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8001_{C35525C1-9C7F-4B25-BCAE-59B22AD65D0C}" xr6:coauthVersionLast="47" xr6:coauthVersionMax="47" xr10:uidLastSave="{00000000-0000-0000-0000-000000000000}"/>
  <workbookProtection workbookAlgorithmName="SHA-512" workbookHashValue="ajSIeBP1LL/AyfaQt02RIlu1pyPm+lEAPND0Uc92Lj8Ve1hyCFiyPPpipd5VuVnHrs+C1Gn1UEbp3WbBSaHbIA==" workbookSaltValue="50HXwYDrwVMrpyR06owsLw==" workbookSpinCount="100000" lockStructure="1"/>
  <bookViews>
    <workbookView xWindow="-12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4" l="1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I6" i="5"/>
  <c r="G10" i="5"/>
  <c r="F9" i="5"/>
  <c r="D8" i="5"/>
  <c r="E8" i="5" s="1"/>
  <c r="F6" i="5"/>
  <c r="J7" i="5"/>
  <c r="J6" i="5"/>
  <c r="I8" i="5"/>
  <c r="H9" i="5"/>
  <c r="J10" i="5"/>
  <c r="G8" i="5"/>
  <c r="D10" i="5"/>
  <c r="E10" i="5" s="1"/>
  <c r="J9" i="5"/>
  <c r="D6" i="5"/>
  <c r="E6" i="5" s="1"/>
  <c r="F18" i="1"/>
  <c r="I10" i="5"/>
  <c r="H7" i="5"/>
  <c r="H10" i="5"/>
  <c r="H8" i="5"/>
  <c r="G7" i="5"/>
  <c r="I9" i="5" l="1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<sst xmlns="http://schemas.openxmlformats.org/spreadsheetml/2006/main" count="623" uniqueCount="429">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</sst>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FEVEREIRO|24  - FEVEREIRO|25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6.8776341950066877E-2</c:v>
                </c:pt>
                <c:pt idx="1">
                  <c:v>6.6439440210922518E-2</c:v>
                </c:pt>
                <c:pt idx="2">
                  <c:v>6.5798043477400592E-2</c:v>
                </c:pt>
                <c:pt idx="3">
                  <c:v>6.3140558450348383E-2</c:v>
                </c:pt>
                <c:pt idx="4">
                  <c:v>5.9639397794737592E-2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05" sel="288" val="286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05" sel="300" val="292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05" noThreeD="1" sel="300" val="29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2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2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312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312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H16" sqref="H16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FEVEREIRO|24  - FEVEREIRO|25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Histórica'!$B$6:$G$321,Painel!J4+1,0)/VLOOKUP($F$18,'Série Histórica'!$B$6:$G$321,Painel!J4+1,0))</f>
        <v>6.8776341950066877E-2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Histórica'!$B$6:$G$321,Painel!J5+1,0)/VLOOKUP($F$18,'Série Histórica'!$B$6:$G$321,Painel!J5+1,0))</f>
        <v>6.6439440210922518E-2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Histórica'!$B$6:$G$321,Painel!J6+1,0)/VLOOKUP($F$18,'Série Histórica'!$B$6:$G$321,Painel!J6+1,0))</f>
        <v>6.5798043477400592E-2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Histórica'!$B$6:$G$321,Painel!J7+1,0)/VLOOKUP($F$18,'Série Histórica'!$B$6:$G$321,Painel!J7+1,0))</f>
        <v>6.3140558450348383E-2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Histórica'!$B$6:$G$321,Painel!J8+1,0)/VLOOKUP($F$18,'Série Histórica'!$B$6:$G$321,Painel!J8+1,0))</f>
        <v>5.9639397794737592E-2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Histórica'!$B$6:$G$376,INCTFR!$I$286+1,0)/VLOOKUP(F18,'Série Histórica'!$B$6:$G$376,INCTFR!$I$286+1,0))</f>
        <v>6.5798043477400592E-2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Histórica'!$A$6:$C$381,2,0)</f>
        <v>FEVEREIRO|24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Histórica'!$A$6:$C$381,2,0)</f>
        <v>FEVEREIRO|25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0" sqref="L10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Histórica'!$A$6:$G$332,3)</f>
        <v>532.52305388362481</v>
      </c>
      <c r="E6" s="125">
        <f>D6-100</f>
        <v>432.52305388362481</v>
      </c>
      <c r="F6" s="143">
        <f>IF(INCTFR!$K$286&lt;37,"0,00",-1+VLOOKUP(INCTFR!$K$286,'Série Histórica'!$A$6:$G$332,3,0)/VLOOKUP(INCTFR!$L$286,'Série Histórica'!$A$6:$G$332,3,0))*100</f>
        <v>19.562423815489872</v>
      </c>
      <c r="G6" s="143">
        <f>IF(INCTFR!$K$286&lt;25,"0,00",-1+VLOOKUP(INCTFR!$K$286,'Série Histórica'!$A$6:$G$332,3,0)/VLOOKUP(INCTFR!$M$286,'Série Histórica'!$A$6:$G$332,3,0))*100</f>
        <v>10.71042811422409</v>
      </c>
      <c r="H6" s="143">
        <f>IF(INCTFR!$K$286&lt;13,"0,00",-1+VLOOKUP(INCTFR!$K$286,'Série Histórica'!$A$6:$G$332,3,0)/VLOOKUP(INCTFR!$N$286,'Série Histórica'!$A$6:$G$332,3,0))*100</f>
        <v>6.8776341950066877</v>
      </c>
      <c r="I6" s="143">
        <f>IF(INCTFR!$K$286&lt;11,"0,00",-100+VLOOKUP(INCTFR!$K$286,'Série Histórica'!$A$6:$H$332,3,0)/VLOOKUP(INCTFR!$O$286,'Série Histórica'!$A$6:$H$332,3,0)*100)</f>
        <v>1.6598246534252894</v>
      </c>
      <c r="J6" s="144">
        <f>IF(INCTFR!$K$286&lt;2,"0,00",-100+VLOOKUP(INCTFR!$K$286,'Série Histórica'!$A$6:$G$332,3,0)/VLOOKUP(INCTFR!$P$286,'Série Histórica'!$A$6:$G$332,3,0)*100)</f>
        <v>0.19577324242756333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Histórica'!$A$6:$G$332,4)</f>
        <v>569.37689065320205</v>
      </c>
      <c r="E7" s="125">
        <f>D7-100</f>
        <v>469.37689065320205</v>
      </c>
      <c r="F7" s="143">
        <f>IF(INCTFR!$K$286&lt;37,"0,00",-1+VLOOKUP(INCTFR!$K$286,'Série Histórica'!$A$6:$G$332,4,0)/VLOOKUP(INCTFR!$L$286,'Série Histórica'!$A$6:$G$332,4,0))*100</f>
        <v>19.244314718993394</v>
      </c>
      <c r="G7" s="143">
        <f>IF(INCTFR!$K$286&lt;25,"0,00",-1+VLOOKUP(INCTFR!$K$286,'Série Histórica'!$A$6:$G$332,4,0)/VLOOKUP(INCTFR!$M$286,'Série Histórica'!$A$6:$G$332,4,0))*100</f>
        <v>10.558871983734686</v>
      </c>
      <c r="H7" s="143">
        <f>IF(INCTFR!$K$286&lt;13,"0,00",-1+VLOOKUP(INCTFR!$K$286,'Série Histórica'!$A$6:$G$332,4,0)/VLOOKUP(INCTFR!$N$286,'Série Histórica'!$A$6:$G$332,4,0))*100</f>
        <v>6.6439440210922518</v>
      </c>
      <c r="I7" s="143">
        <f>IF(INCTFR!$K$286&lt;11,"0,00",-100+VLOOKUP(INCTFR!$K$286,'Série Histórica'!$A$6:$H$332,4,0)/VLOOKUP(INCTFR!$O$286,'Série Histórica'!$A$6:$H$332,4,0)*100)</f>
        <v>1.7950666081348174</v>
      </c>
      <c r="J7" s="144">
        <f>IF(INCTFR!$K$286&lt;2,"0,00",-100+VLOOKUP(INCTFR!$K$286,'Série Histórica'!$A$6:$G$332,4,0)/VLOOKUP(INCTFR!$P$286,'Série Histórica'!$A$6:$G$332,4,0)*100)</f>
        <v>0.50198872391864313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Histórica'!$A$6:$G$332,5)</f>
        <v>593.80183358573549</v>
      </c>
      <c r="E8" s="128">
        <f>D8-100</f>
        <v>493.80183358573549</v>
      </c>
      <c r="F8" s="145">
        <f>IF(INCTFR!$K$286&lt;37,"0,00",-1+VLOOKUP(INCTFR!$K$286,'Série Histórica'!$A$6:$G$332,5,0)/VLOOKUP(INCTFR!$L$286,'Série Histórica'!$A$6:$G$332,5,0))*100</f>
        <v>19.096500393312212</v>
      </c>
      <c r="G8" s="145">
        <f>IF(INCTFR!$K$286&lt;25,"0,00",-1+VLOOKUP(INCTFR!$K$286,'Série Histórica'!$A$6:$G$332,5,0)/VLOOKUP(INCTFR!$M$286,'Série Histórica'!$A$6:$G$332,5,0))*100</f>
        <v>10.440138103606289</v>
      </c>
      <c r="H8" s="145">
        <f>IF(INCTFR!$K$286&lt;13,"0,00",-1+VLOOKUP(INCTFR!$K$286,'Série Histórica'!$A$6:$G$332,5,0)/VLOOKUP(INCTFR!$N$286,'Série Histórica'!$A$6:$G$332,5,0))*100</f>
        <v>6.5798043477400592</v>
      </c>
      <c r="I8" s="141">
        <f>IF(INCTFR!$K$286&lt;11,"0,00",-100+VLOOKUP(INCTFR!$K$286,'Série Histórica'!$A$6:$H$332,5,0)/VLOOKUP(INCTFR!$O$286,'Série Histórica'!$A$6:$H$332,5,0)*100)</f>
        <v>1.8871368609273134</v>
      </c>
      <c r="J8" s="146">
        <f>IF(INCTFR!$K$286&lt;2,"0,00",-100+VLOOKUP(INCTFR!$K$286,'Série Histórica'!$A$6:$G$332,5,0)/VLOOKUP(INCTFR!$P$286,'Série Histórica'!$A$6:$G$332,5,0)*100)</f>
        <v>0.66031851890946314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Histórica'!$A$6:$G$332,6)</f>
        <v>642.51830459603798</v>
      </c>
      <c r="E9" s="125">
        <f>D9-100</f>
        <v>542.51830459603798</v>
      </c>
      <c r="F9" s="143">
        <f>IF(INCTFR!$K$286&lt;37,"0,00",-1+VLOOKUP(INCTFR!$K$286,'Série Histórica'!$A$6:$G$332,6,0)/VLOOKUP(INCTFR!$L$286,'Série Histórica'!$A$6:$G$332,6,0))*100</f>
        <v>19.576827459765788</v>
      </c>
      <c r="G9" s="143">
        <f>IF(INCTFR!$K$286&lt;25,"0,00",-1+VLOOKUP(INCTFR!$K$286,'Série Histórica'!$A$6:$G$332,6,0)/VLOOKUP(INCTFR!$M$286,'Série Histórica'!$A$6:$G$332,6,0))*100</f>
        <v>10.634056178895701</v>
      </c>
      <c r="H9" s="137">
        <f>IF(INCTFR!$K$286&lt;13,"0,00",-1+VLOOKUP(INCTFR!$K$286,'Série Histórica'!$A$6:$G$332,6,0)/VLOOKUP(INCTFR!$N$286,'Série Histórica'!$A$6:$G$332,6,0))*100</f>
        <v>6.3140558450348383</v>
      </c>
      <c r="I9" s="137">
        <f>IF(INCTFR!$K$286&lt;11,"0,00",-100+VLOOKUP(INCTFR!$K$286,'Série Histórica'!$A$6:$H$332,6,0)/VLOOKUP(INCTFR!$O$286,'Série Histórica'!$A$6:$H$332,6,0)*100)</f>
        <v>2.0861508626031338</v>
      </c>
      <c r="J9" s="147">
        <f>IF(INCTFR!$K$286&lt;2,"0,00",-100+VLOOKUP(INCTFR!$K$286,'Série Histórica'!$A$6:$G$332,6,0)/VLOOKUP(INCTFR!$P$286,'Série Histórica'!$A$6:$G$332,6,0)*100)</f>
        <v>0.9723491218912983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Histórica'!$A$6:$G$332,7)</f>
        <v>687.15408182684996</v>
      </c>
      <c r="E10" s="132">
        <f>D10-100</f>
        <v>587.15408182684996</v>
      </c>
      <c r="F10" s="148">
        <f>IF(INCTFR!$K$286&lt;37,"0,00",-1+VLOOKUP(INCTFR!$K$286,'Série Histórica'!$A$6:$G$332,7,0)/VLOOKUP(INCTFR!$L$286,'Série Histórica'!$A$6:$G$332,7,0))*100</f>
        <v>19.822515446883383</v>
      </c>
      <c r="G10" s="148">
        <f>IF(INCTFR!$K$286&lt;25,"0,00",-1+VLOOKUP(INCTFR!$K$286,'Série Histórica'!$A$6:$G$332,7,0)/VLOOKUP(INCTFR!$M$286,'Série Histórica'!$A$6:$G$332,7,0))*100</f>
        <v>10.782535317841946</v>
      </c>
      <c r="H10" s="140">
        <f>IF(INCTFR!$K$286&lt;13,"0,00",-1+VLOOKUP(INCTFR!$K$286,'Série Histórica'!$A$6:$G$332,7,0)/VLOOKUP(INCTFR!$N$286,'Série Histórica'!$A$6:$G$332,7,0))*100</f>
        <v>5.9639397794737592</v>
      </c>
      <c r="I10" s="140">
        <f>IF(INCTFR!$K$286&lt;11,"0,00",-100+VLOOKUP(INCTFR!$K$286,'Série Histórica'!$A$6:$H$332,7,0)/VLOOKUP(INCTFR!$O$286,'Série Histórica'!$A$6:$H$332,7,0)*100)</f>
        <v>2.2597192999364921</v>
      </c>
      <c r="J10" s="142">
        <f>IF(INCTFR!$K$286&lt;2,"0,00",-100+VLOOKUP(INCTFR!$K$286,'Série Histórica'!$A$6:$G$332,7,0)/VLOOKUP(INCTFR!$P$286,'Série Histórica'!$A$6:$G$332,7,0)*100)</f>
        <v>1.3211113011588651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n0biGV4j0kVRxTsupbn6DsMRyIJF0d4iZ3YpFeXs0rcB2dtcRr6xHFjB+s2mXDeYcHOthwKRyWOVaybqyBWj0w==" saltValue="sVWrZd6ZDql7Nzg+Ra8rpg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0"/>
  <sheetViews>
    <sheetView showGridLines="0" topLeftCell="A352" workbookViewId="0">
      <selection activeCell="H371" sqref="H371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288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300</v>
      </c>
      <c r="K286">
        <v>300</v>
      </c>
      <c r="L286">
        <f>$K$286-36</f>
        <v>264</v>
      </c>
      <c r="M286">
        <f>$K$286-24</f>
        <v>276</v>
      </c>
      <c r="N286">
        <f>$K$286-12</f>
        <v>288</v>
      </c>
      <c r="O286">
        <f>$K$286-VLOOKUP($K$286,'Série Histórica'!$A$6:$H$332,8)</f>
        <v>298</v>
      </c>
      <c r="P286">
        <f>$K$286-1</f>
        <v>299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>A365+1</f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>A366+1</f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>A367+1</f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>A368+1</f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.75" thickBot="1" x14ac:dyDescent="0.3">
      <c r="A370" s="1">
        <f>A369+1</f>
        <v>369</v>
      </c>
      <c r="B370" s="57" t="s">
        <v>428</v>
      </c>
      <c r="C370" s="58">
        <f>[2]geral!C309</f>
        <v>532.52305388362481</v>
      </c>
      <c r="D370" s="58">
        <f>[2]geral!D309</f>
        <v>569.37689065320205</v>
      </c>
      <c r="E370" s="58">
        <f>[2]geral!E309</f>
        <v>593.80183358573549</v>
      </c>
      <c r="F370" s="58">
        <f>[2]geral!F309</f>
        <v>642.51830459603798</v>
      </c>
      <c r="G370" s="59">
        <f>[2]geral!G309</f>
        <v>687.15408182684996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18"/>
  <sheetViews>
    <sheetView showGridLines="0" workbookViewId="0">
      <pane ySplit="2685" topLeftCell="A296" activePane="bottomLeft"/>
      <selection activeCell="H3" sqref="H3"/>
      <selection pane="bottomLeft" activeCell="H306" sqref="H306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>A302+1</f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>A303+1</f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thickBot="1" x14ac:dyDescent="0.3">
      <c r="A305" s="134">
        <f>A304+1</f>
        <v>300</v>
      </c>
      <c r="B305" s="57" t="str">
        <f>INCTFR!B370</f>
        <v>FEVEREIRO|25</v>
      </c>
      <c r="C305" s="97">
        <f>[2]geral!C309</f>
        <v>532.52305388362481</v>
      </c>
      <c r="D305" s="97">
        <f>[2]geral!D309</f>
        <v>569.37689065320205</v>
      </c>
      <c r="E305" s="97">
        <f>[2]geral!E309</f>
        <v>593.80183358573549</v>
      </c>
      <c r="F305" s="97">
        <f>[2]geral!F309</f>
        <v>642.51830459603798</v>
      </c>
      <c r="G305" s="98">
        <f>[2]geral!G309</f>
        <v>687.15408182684996</v>
      </c>
      <c r="H305" s="88">
        <v>2</v>
      </c>
    </row>
    <row r="306" spans="1:8" s="149" customFormat="1" x14ac:dyDescent="0.2">
      <c r="B306" s="150" t="s">
        <v>332</v>
      </c>
      <c r="H306" s="151"/>
    </row>
    <row r="307" spans="1:8" s="76" customFormat="1" x14ac:dyDescent="0.2">
      <c r="B307" s="5" t="s">
        <v>327</v>
      </c>
      <c r="H307" s="73"/>
    </row>
    <row r="308" spans="1:8" x14ac:dyDescent="0.2">
      <c r="B308" s="5" t="s">
        <v>328</v>
      </c>
      <c r="H308" s="73"/>
    </row>
    <row r="309" spans="1:8" x14ac:dyDescent="0.2">
      <c r="B309" s="5" t="s">
        <v>329</v>
      </c>
      <c r="F309" s="77"/>
      <c r="H309" s="73"/>
    </row>
    <row r="310" spans="1:8" x14ac:dyDescent="0.2">
      <c r="B310" s="5"/>
      <c r="H310" s="73"/>
    </row>
    <row r="311" spans="1:8" x14ac:dyDescent="0.2">
      <c r="B311" s="5" t="s">
        <v>330</v>
      </c>
    </row>
    <row r="317" spans="1:8" x14ac:dyDescent="0.2">
      <c r="B317" s="167" t="s">
        <v>331</v>
      </c>
      <c r="C317" s="167"/>
      <c r="D317" s="167"/>
      <c r="E317" s="167"/>
      <c r="F317" s="167"/>
      <c r="G317" s="167"/>
    </row>
    <row r="318" spans="1:8" x14ac:dyDescent="0.2">
      <c r="B318" s="167"/>
      <c r="C318" s="167"/>
      <c r="D318" s="167"/>
      <c r="E318" s="167"/>
      <c r="F318" s="167"/>
      <c r="G318" s="167"/>
    </row>
  </sheetData>
  <sheetProtection algorithmName="SHA-512" hashValue="RE93rzsYGH8ugJIDGdP+5XD1FBmYH2ZxdtD4bLLA0WReLtVHhheEk2HeGekgtUnzDdbAAqEK9o1Zf9ErxgIl2A==" saltValue="PrdYE2eTrIZzLeV3mAithQ==" spinCount="100000" sheet="1"/>
  <mergeCells count="4">
    <mergeCell ref="D1:G1"/>
    <mergeCell ref="B2:G2"/>
    <mergeCell ref="B4:B5"/>
    <mergeCell ref="B317:G3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2025-03-10T16:16:24Z</dcterms:modified>
</cp:coreProperties>
</file>