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AA9D7AC2-6CC0-43D6-862B-EDA3565BD9CC}" xr6:coauthVersionLast="47" xr6:coauthVersionMax="47" xr10:uidLastSave="{00000000-0000-0000-0000-000000000000}"/>
  <bookViews>
    <workbookView xWindow="-120" yWindow="-120" windowWidth="20730" windowHeight="11040" activeTab="1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9" i="4" l="1"/>
  <c r="B309" i="4"/>
  <c r="C309" i="4"/>
  <c r="D309" i="4"/>
  <c r="E309" i="4"/>
  <c r="F309" i="4"/>
  <c r="G309" i="4"/>
  <c r="A374" i="2"/>
  <c r="C374" i="2"/>
  <c r="D374" i="2"/>
  <c r="E374" i="2"/>
  <c r="F374" i="2"/>
  <c r="G374" i="2"/>
  <c r="B308" i="4"/>
  <c r="C308" i="4"/>
  <c r="D308" i="4"/>
  <c r="E308" i="4"/>
  <c r="F308" i="4"/>
  <c r="G308" i="4"/>
  <c r="A373" i="2"/>
  <c r="C373" i="2"/>
  <c r="D373" i="2"/>
  <c r="E373" i="2"/>
  <c r="F373" i="2"/>
  <c r="G373" i="2"/>
  <c r="G307" i="4"/>
  <c r="F307" i="4"/>
  <c r="E307" i="4"/>
  <c r="D307" i="4"/>
  <c r="C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<sst xmlns="http://schemas.openxmlformats.org/spreadsheetml/2006/main" count="627" uniqueCount="433">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</sst>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JUNHO|24  - JUNHO|25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6.5644567030158862E-2</c:v>
                </c:pt>
                <c:pt idx="1">
                  <c:v>5.8237830592826612E-2</c:v>
                </c:pt>
                <c:pt idx="2">
                  <c:v>5.5238099262263196E-2</c:v>
                </c:pt>
                <c:pt idx="3">
                  <c:v>4.8517678357250293E-2</c:v>
                </c:pt>
                <c:pt idx="4">
                  <c:v>3.9810613265286232E-2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09" sel="292" val="290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09" sel="304" val="296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09" noThreeD="1" sel="304" val="29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316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316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  <sheetName val="Conet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548.60999756753756</v>
          </cell>
          <cell r="D313">
            <v>581.87893407271474</v>
          </cell>
          <cell r="E313">
            <v>604.60349040826998</v>
          </cell>
          <cell r="F313">
            <v>650.54258364851648</v>
          </cell>
          <cell r="G313">
            <v>690.37420347139789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zoomScaleNormal="100" workbookViewId="0">
      <selection activeCell="M18" sqref="M18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JUNHO|24  - JUNHO|25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Histórica'!$B$6:$G$325,Painel!J4+1,0)/VLOOKUP($F$18,'Série Histórica'!$B$6:$G$325,Painel!J4+1,0))</f>
        <v>6.5644567030158862E-2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Histórica'!$B$6:$G$325,Painel!J5+1,0)/VLOOKUP($F$18,'Série Histórica'!$B$6:$G$325,Painel!J5+1,0))</f>
        <v>5.8237830592826612E-2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Histórica'!$B$6:$G$325,Painel!J6+1,0)/VLOOKUP($F$18,'Série Histórica'!$B$6:$G$325,Painel!J6+1,0))</f>
        <v>5.5238099262263196E-2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Histórica'!$B$6:$G$325,Painel!J7+1,0)/VLOOKUP($F$18,'Série Histórica'!$B$6:$G$325,Painel!J7+1,0))</f>
        <v>4.8517678357250293E-2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Histórica'!$B$6:$G$325,Painel!J8+1,0)/VLOOKUP($F$18,'Série Histórica'!$B$6:$G$325,Painel!J8+1,0))</f>
        <v>3.9810613265286232E-2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Histórica'!$B$6:$G$380,INCTFR!$I$286+1,0)/VLOOKUP(F18,'Série Histórica'!$B$6:$G$380,INCTFR!$I$286+1,0))</f>
        <v>5.5238099262263196E-2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Histórica'!$A$6:$C$385,2,0)</f>
        <v>JUNHO|24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Histórica'!$A$6:$C$385,2,0)</f>
        <v>JUNHO|25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sheetProtection algorithmName="SHA-512" hashValue="ztevxphyKvF5A/O9l7S4GIEQeLaDF0nSY9vNmnMGggH/t84xdhnguIHYwm41BIjx3+kxBgeZ39pYezUNDcuJew==" saltValue="fLP+PFzCad3yiZ2QgOfZZA==" spinCount="100000" sheet="1" objects="1" scenarios="1"/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tabSelected="1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Histórica'!$A$6:$G$336,3)</f>
        <v>548.60999756753756</v>
      </c>
      <c r="E6" s="125">
        <f>D6-100</f>
        <v>448.60999756753756</v>
      </c>
      <c r="F6" s="143">
        <f>IF(INCTFR!$K$286&lt;37,"0,00",-1+VLOOKUP(INCTFR!$K$286,'Série Histórica'!$A$6:$G$336,3,0)/VLOOKUP(INCTFR!$L$286,'Série Histórica'!$A$6:$G$336,3,0))*100</f>
        <v>14.770824201482968</v>
      </c>
      <c r="G6" s="143">
        <f>IF(INCTFR!$K$286&lt;25,"0,00",-1+VLOOKUP(INCTFR!$K$286,'Série Histórica'!$A$6:$G$336,3,0)/VLOOKUP(INCTFR!$M$286,'Série Histórica'!$A$6:$G$336,3,0))*100</f>
        <v>10.165530504516141</v>
      </c>
      <c r="H6" s="143">
        <f>IF(INCTFR!$K$286&lt;13,"0,00",-1+VLOOKUP(INCTFR!$K$286,'Série Histórica'!$A$6:$G$336,3,0)/VLOOKUP(INCTFR!$N$286,'Série Histórica'!$A$6:$G$336,3,0))*100</f>
        <v>6.5644567030158862</v>
      </c>
      <c r="I6" s="143">
        <f>IF(INCTFR!$K$286&lt;11,"0,00",-100+VLOOKUP(INCTFR!$K$286,'Série Histórica'!$A$6:$H$336,3,0)/VLOOKUP(INCTFR!$O$286,'Série Histórica'!$A$6:$H$336,3,0)*100)</f>
        <v>4.7308576578921588</v>
      </c>
      <c r="J6" s="144">
        <f>IF(INCTFR!$K$286&lt;2,"0,00",-100+VLOOKUP(INCTFR!$K$286,'Série Histórica'!$A$6:$G$336,3,0)/VLOOKUP(INCTFR!$P$286,'Série Histórica'!$A$6:$G$336,3,0)*100)</f>
        <v>2.7960900531222421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Histórica'!$A$6:$G$336,4)</f>
        <v>581.87893407271474</v>
      </c>
      <c r="E7" s="125">
        <f>D7-100</f>
        <v>481.87893407271474</v>
      </c>
      <c r="F7" s="143">
        <f>IF(INCTFR!$K$286&lt;37,"0,00",-1+VLOOKUP(INCTFR!$K$286,'Série Histórica'!$A$6:$G$336,4,0)/VLOOKUP(INCTFR!$L$286,'Série Histórica'!$A$6:$G$336,4,0))*100</f>
        <v>11.756776802374457</v>
      </c>
      <c r="G7" s="143">
        <f>IF(INCTFR!$K$286&lt;25,"0,00",-1+VLOOKUP(INCTFR!$K$286,'Série Histórica'!$A$6:$G$336,4,0)/VLOOKUP(INCTFR!$M$286,'Série Histórica'!$A$6:$G$336,4,0))*100</f>
        <v>10.052118852590453</v>
      </c>
      <c r="H7" s="143">
        <f>IF(INCTFR!$K$286&lt;13,"0,00",-1+VLOOKUP(INCTFR!$K$286,'Série Histórica'!$A$6:$G$336,4,0)/VLOOKUP(INCTFR!$N$286,'Série Histórica'!$A$6:$G$336,4,0))*100</f>
        <v>5.8237830592826612</v>
      </c>
      <c r="I7" s="143">
        <f>IF(INCTFR!$K$286&lt;11,"0,00",-100+VLOOKUP(INCTFR!$K$286,'Série Histórica'!$A$6:$H$336,4,0)/VLOOKUP(INCTFR!$O$286,'Série Histórica'!$A$6:$H$336,4,0)*100)</f>
        <v>4.0302229053408354</v>
      </c>
      <c r="J7" s="144">
        <f>IF(INCTFR!$K$286&lt;2,"0,00",-100+VLOOKUP(INCTFR!$K$286,'Série Histórica'!$A$6:$G$336,4,0)/VLOOKUP(INCTFR!$P$286,'Série Histórica'!$A$6:$G$336,4,0)*100)</f>
        <v>2.3317209804102816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Histórica'!$A$6:$G$336,5)</f>
        <v>604.60349040826998</v>
      </c>
      <c r="E8" s="128">
        <f>D8-100</f>
        <v>504.60349040826998</v>
      </c>
      <c r="F8" s="145">
        <f>IF(INCTFR!$K$286&lt;37,"0,00",-1+VLOOKUP(INCTFR!$K$286,'Série Histórica'!$A$6:$G$336,5,0)/VLOOKUP(INCTFR!$L$286,'Série Histórica'!$A$6:$G$336,5,0))*100</f>
        <v>10.203269791872094</v>
      </c>
      <c r="G8" s="145">
        <f>IF(INCTFR!$K$286&lt;25,"0,00",-1+VLOOKUP(INCTFR!$K$286,'Série Histórica'!$A$6:$G$336,5,0)/VLOOKUP(INCTFR!$M$286,'Série Histórica'!$A$6:$G$336,5,0))*100</f>
        <v>10.157703600400602</v>
      </c>
      <c r="H8" s="145">
        <f>IF(INCTFR!$K$286&lt;13,"0,00",-1+VLOOKUP(INCTFR!$K$286,'Série Histórica'!$A$6:$G$336,5,0)/VLOOKUP(INCTFR!$N$286,'Série Histórica'!$A$6:$G$336,5,0))*100</f>
        <v>5.5238099262263196</v>
      </c>
      <c r="I8" s="141">
        <f>IF(INCTFR!$K$286&lt;11,"0,00",-100+VLOOKUP(INCTFR!$K$286,'Série Histórica'!$A$6:$H$336,5,0)/VLOOKUP(INCTFR!$O$286,'Série Histórica'!$A$6:$H$336,5,0)*100)</f>
        <v>3.7405327663534678</v>
      </c>
      <c r="J8" s="146">
        <f>IF(INCTFR!$K$286&lt;2,"0,00",-100+VLOOKUP(INCTFR!$K$286,'Série Histórica'!$A$6:$G$336,5,0)/VLOOKUP(INCTFR!$P$286,'Série Histórica'!$A$6:$G$336,5,0)*100)</f>
        <v>2.1553974849365147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Histórica'!$A$6:$G$336,6)</f>
        <v>650.54258364851648</v>
      </c>
      <c r="E9" s="125">
        <f>D9-100</f>
        <v>550.54258364851648</v>
      </c>
      <c r="F9" s="143">
        <f>IF(INCTFR!$K$286&lt;37,"0,00",-1+VLOOKUP(INCTFR!$K$286,'Série Histórica'!$A$6:$G$336,6,0)/VLOOKUP(INCTFR!$L$286,'Série Histórica'!$A$6:$G$336,6,0))*100</f>
        <v>8.1336526844505208</v>
      </c>
      <c r="G9" s="143">
        <f>IF(INCTFR!$K$286&lt;25,"0,00",-1+VLOOKUP(INCTFR!$K$286,'Série Histórica'!$A$6:$G$336,6,0)/VLOOKUP(INCTFR!$M$286,'Série Histórica'!$A$6:$G$336,6,0))*100</f>
        <v>10.373145410756779</v>
      </c>
      <c r="H9" s="137">
        <f>IF(INCTFR!$K$286&lt;13,"0,00",-1+VLOOKUP(INCTFR!$K$286,'Série Histórica'!$A$6:$G$336,6,0)/VLOOKUP(INCTFR!$N$286,'Série Histórica'!$A$6:$G$336,6,0))*100</f>
        <v>4.8517678357250293</v>
      </c>
      <c r="I9" s="137">
        <f>IF(INCTFR!$K$286&lt;11,"0,00",-100+VLOOKUP(INCTFR!$K$286,'Série Histórica'!$A$6:$H$336,6,0)/VLOOKUP(INCTFR!$O$286,'Série Histórica'!$A$6:$H$336,6,0)*100)</f>
        <v>3.3610838194625785</v>
      </c>
      <c r="J9" s="147">
        <f>IF(INCTFR!$K$286&lt;2,"0,00",-100+VLOOKUP(INCTFR!$K$286,'Série Histórica'!$A$6:$G$336,6,0)/VLOOKUP(INCTFR!$P$286,'Série Histórica'!$A$6:$G$336,6,0)*100)</f>
        <v>1.9614200447880279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Histórica'!$A$6:$G$336,7)</f>
        <v>690.37420347139789</v>
      </c>
      <c r="E10" s="132">
        <f>D10-100</f>
        <v>590.37420347139789</v>
      </c>
      <c r="F10" s="148">
        <f>IF(INCTFR!$K$286&lt;37,"0,00",-1+VLOOKUP(INCTFR!$K$286,'Série Histórica'!$A$6:$G$336,7,0)/VLOOKUP(INCTFR!$L$286,'Série Histórica'!$A$6:$G$336,7,0))*100</f>
        <v>5.682059164576625</v>
      </c>
      <c r="G10" s="148">
        <f>IF(INCTFR!$K$286&lt;25,"0,00",-1+VLOOKUP(INCTFR!$K$286,'Série Histórica'!$A$6:$G$336,7,0)/VLOOKUP(INCTFR!$M$286,'Série Histórica'!$A$6:$G$336,7,0))*100</f>
        <v>10.299729891660059</v>
      </c>
      <c r="H10" s="140">
        <f>IF(INCTFR!$K$286&lt;13,"0,00",-1+VLOOKUP(INCTFR!$K$286,'Série Histórica'!$A$6:$G$336,7,0)/VLOOKUP(INCTFR!$N$286,'Série Histórica'!$A$6:$G$336,7,0))*100</f>
        <v>3.9810613265286232</v>
      </c>
      <c r="I10" s="140">
        <f>IF(INCTFR!$K$286&lt;11,"0,00",-100+VLOOKUP(INCTFR!$K$286,'Série Histórica'!$A$6:$H$336,7,0)/VLOOKUP(INCTFR!$O$286,'Série Histórica'!$A$6:$H$336,7,0)*100)</f>
        <v>2.738925847917244</v>
      </c>
      <c r="J10" s="142">
        <f>IF(INCTFR!$K$286&lt;2,"0,00",-100+VLOOKUP(INCTFR!$K$286,'Série Histórica'!$A$6:$G$336,7,0)/VLOOKUP(INCTFR!$P$286,'Série Histórica'!$A$6:$G$336,7,0)*100)</f>
        <v>1.571238735397344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f0yNiqMfcS5jJW6nqWU6DmW8Kifeqf3yEs7U6dq5qRKiSV7PmGd1ZSHL7Wiv5Z149JK6vyOQIMaufeaRF3Hi0g==" saltValue="mQI3Kovt7UAJ/lo7biy1nA==" spinCount="100000" sheet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74"/>
  <sheetViews>
    <sheetView showGridLines="0" topLeftCell="A356" workbookViewId="0">
      <selection activeCell="H374" sqref="H374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292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304</v>
      </c>
      <c r="K286">
        <v>304</v>
      </c>
      <c r="L286">
        <f>$K$286-36</f>
        <v>268</v>
      </c>
      <c r="M286">
        <f>$K$286-24</f>
        <v>280</v>
      </c>
      <c r="N286">
        <f>$K$286-12</f>
        <v>292</v>
      </c>
      <c r="O286">
        <f>$K$286-VLOOKUP($K$286,'Série Histórica'!$A$6:$H$336,8)</f>
        <v>298</v>
      </c>
      <c r="P286">
        <f>$K$286-1</f>
        <v>303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74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" x14ac:dyDescent="0.25">
      <c r="A372" s="1">
        <f t="shared" si="17"/>
        <v>371</v>
      </c>
      <c r="B372" s="56" t="s">
        <v>430</v>
      </c>
      <c r="C372" s="68">
        <f>[2]geral!C311</f>
        <v>533.97646936330625</v>
      </c>
      <c r="D372" s="68">
        <f>[2]geral!D311</f>
        <v>570.13926029877723</v>
      </c>
      <c r="E372" s="68">
        <f>[2]geral!E311</f>
        <v>594.05251972162466</v>
      </c>
      <c r="F372" s="68">
        <f>[2]geral!F311</f>
        <v>641.80261881354841</v>
      </c>
      <c r="G372" s="69">
        <f>[2]geral!G311</f>
        <v>685.41537062000145</v>
      </c>
    </row>
    <row r="373" spans="1:7" ht="15" x14ac:dyDescent="0.25">
      <c r="A373" s="1">
        <f t="shared" si="17"/>
        <v>372</v>
      </c>
      <c r="B373" s="56" t="s">
        <v>431</v>
      </c>
      <c r="C373" s="68">
        <f>[2]geral!C312</f>
        <v>533.68761135178465</v>
      </c>
      <c r="D373" s="68">
        <f>[2]geral!D312</f>
        <v>568.6202953472324</v>
      </c>
      <c r="E373" s="68">
        <f>[2]geral!E312</f>
        <v>591.84683853579327</v>
      </c>
      <c r="F373" s="68">
        <f>[2]geral!F312</f>
        <v>638.02817120706663</v>
      </c>
      <c r="G373" s="69">
        <f>[2]geral!G312</f>
        <v>679.6945789643147</v>
      </c>
    </row>
    <row r="374" spans="1:7" ht="15.75" thickBot="1" x14ac:dyDescent="0.3">
      <c r="A374" s="1">
        <f t="shared" si="17"/>
        <v>373</v>
      </c>
      <c r="B374" s="57" t="s">
        <v>432</v>
      </c>
      <c r="C374" s="58">
        <f>[2]geral!C313</f>
        <v>548.60999756753756</v>
      </c>
      <c r="D374" s="58">
        <f>[2]geral!D313</f>
        <v>581.87893407271474</v>
      </c>
      <c r="E374" s="58">
        <f>[2]geral!E313</f>
        <v>604.60349040826998</v>
      </c>
      <c r="F374" s="58">
        <f>[2]geral!F313</f>
        <v>650.54258364851648</v>
      </c>
      <c r="G374" s="59">
        <f>[2]geral!G313</f>
        <v>690.37420347139789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22"/>
  <sheetViews>
    <sheetView showGridLines="0" workbookViewId="0">
      <pane ySplit="2685" topLeftCell="A302" activePane="bottomLeft"/>
      <selection activeCell="H3" sqref="H3"/>
      <selection pane="bottomLeft" activeCell="H310" sqref="H310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09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x14ac:dyDescent="0.25">
      <c r="A307" s="134">
        <f t="shared" si="20"/>
        <v>302</v>
      </c>
      <c r="B307" s="56" t="str">
        <f>INCTFR!B372</f>
        <v>ABRIL|25</v>
      </c>
      <c r="C307" s="95">
        <f>[2]geral!C311</f>
        <v>533.98615961462826</v>
      </c>
      <c r="D307" s="95">
        <f>[2]geral!D311</f>
        <v>570.1476076154205</v>
      </c>
      <c r="E307" s="95">
        <f>[2]geral!E311</f>
        <v>594.06048107741481</v>
      </c>
      <c r="F307" s="95">
        <f>[2]geral!F311</f>
        <v>641.80994873173972</v>
      </c>
      <c r="G307" s="96">
        <f>[2]geral!G311</f>
        <v>685.42084609968197</v>
      </c>
      <c r="H307" s="88">
        <v>4</v>
      </c>
    </row>
    <row r="308" spans="1:8" ht="18" customHeight="1" x14ac:dyDescent="0.25">
      <c r="A308" s="134">
        <f t="shared" si="20"/>
        <v>303</v>
      </c>
      <c r="B308" s="56" t="str">
        <f>INCTFR!B373</f>
        <v>MAIO|25</v>
      </c>
      <c r="C308" s="95">
        <f>[2]geral!C312</f>
        <v>533.68761135178465</v>
      </c>
      <c r="D308" s="95">
        <f>[2]geral!D312</f>
        <v>568.6202953472324</v>
      </c>
      <c r="E308" s="95">
        <f>[2]geral!E312</f>
        <v>591.84683853579327</v>
      </c>
      <c r="F308" s="95">
        <f>[2]geral!F312</f>
        <v>638.02817120706663</v>
      </c>
      <c r="G308" s="96">
        <f>[2]geral!G312</f>
        <v>679.6945789643147</v>
      </c>
      <c r="H308" s="88">
        <v>5</v>
      </c>
    </row>
    <row r="309" spans="1:8" ht="18" customHeight="1" thickBot="1" x14ac:dyDescent="0.3">
      <c r="A309" s="134">
        <f t="shared" si="20"/>
        <v>304</v>
      </c>
      <c r="B309" s="57" t="str">
        <f>INCTFR!B374</f>
        <v>JUNHO|25</v>
      </c>
      <c r="C309" s="97">
        <f>[2]geral!C313</f>
        <v>548.60999756753756</v>
      </c>
      <c r="D309" s="97">
        <f>[2]geral!D313</f>
        <v>581.87893407271474</v>
      </c>
      <c r="E309" s="97">
        <f>[2]geral!E313</f>
        <v>604.60349040826998</v>
      </c>
      <c r="F309" s="97">
        <f>[2]geral!F313</f>
        <v>650.54258364851648</v>
      </c>
      <c r="G309" s="98">
        <f>[2]geral!G313</f>
        <v>690.37420347139789</v>
      </c>
      <c r="H309" s="88">
        <v>6</v>
      </c>
    </row>
    <row r="310" spans="1:8" s="149" customFormat="1" x14ac:dyDescent="0.2">
      <c r="B310" s="150" t="s">
        <v>332</v>
      </c>
      <c r="H310" s="151"/>
    </row>
    <row r="311" spans="1:8" s="76" customFormat="1" x14ac:dyDescent="0.2">
      <c r="B311" s="5" t="s">
        <v>327</v>
      </c>
      <c r="H311" s="73"/>
    </row>
    <row r="312" spans="1:8" x14ac:dyDescent="0.2">
      <c r="B312" s="5" t="s">
        <v>328</v>
      </c>
      <c r="H312" s="73"/>
    </row>
    <row r="313" spans="1:8" x14ac:dyDescent="0.2">
      <c r="B313" s="5" t="s">
        <v>329</v>
      </c>
      <c r="F313" s="77"/>
      <c r="H313" s="73"/>
    </row>
    <row r="314" spans="1:8" x14ac:dyDescent="0.2">
      <c r="B314" s="5"/>
      <c r="H314" s="73"/>
    </row>
    <row r="315" spans="1:8" x14ac:dyDescent="0.2">
      <c r="B315" s="5" t="s">
        <v>330</v>
      </c>
    </row>
    <row r="321" spans="2:7" x14ac:dyDescent="0.2">
      <c r="B321" s="167" t="s">
        <v>331</v>
      </c>
      <c r="C321" s="167"/>
      <c r="D321" s="167"/>
      <c r="E321" s="167"/>
      <c r="F321" s="167"/>
      <c r="G321" s="167"/>
    </row>
    <row r="322" spans="2:7" x14ac:dyDescent="0.2">
      <c r="B322" s="167"/>
      <c r="C322" s="167"/>
      <c r="D322" s="167"/>
      <c r="E322" s="167"/>
      <c r="F322" s="167"/>
      <c r="G322" s="167"/>
    </row>
  </sheetData>
  <sheetProtection algorithmName="SHA-512" hashValue="xL/iKDdLCX5ZK21ZGXkiicD99Df5yVjhSgZor21YzMMUJMrXTiaxthMfgiKGbH7ARgchC1KxgK5t8+56B3hQdQ==" saltValue="MKu+lwojo1PBn1ktHycXRg==" spinCount="100000" sheet="1"/>
  <mergeCells count="4">
    <mergeCell ref="D1:G1"/>
    <mergeCell ref="B2:G2"/>
    <mergeCell ref="B4:B5"/>
    <mergeCell ref="B321:G3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2025-07-07T18:34:44Z</dcterms:modified>
</cp:coreProperties>
</file>