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32422A26-ECE6-4F18-928F-CAA2C283724B}" xr6:coauthVersionLast="47" xr6:coauthVersionMax="47" xr10:uidLastSave="{00000000-0000-0000-0000-000000000000}"/>
  <workbookProtection workbookAlgorithmName="SHA-512" workbookHashValue="DaHHhbvi0yCD3+Dxo59SjsLh2MA44O+L0bOInRB93qXGYETSYACe0NMxmZYJvxoZWm3zb3NuVbSzwuHNq4MDuA==" workbookSaltValue="XyXF+EnK39ZPkFxvtsp/xQ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Histórica'!$B$1:$Q$406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3" i="2" l="1"/>
  <c r="C373" i="2"/>
  <c r="D373" i="2"/>
  <c r="E373" i="2"/>
  <c r="F373" i="2"/>
  <c r="G373" i="2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F19" i="1"/>
  <c r="F18" i="1"/>
  <c r="P287" i="2"/>
  <c r="E13" i="1" l="1"/>
  <c r="L3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15" i="1" s="1"/>
  <c r="M374" i="3"/>
  <c r="J374" i="3"/>
  <c r="Q374" i="3"/>
  <c r="M18" i="1" s="1"/>
  <c r="O374" i="3"/>
  <c r="M16" i="1" s="1"/>
  <c r="P374" i="3"/>
  <c r="L374" i="3"/>
  <c r="M13" i="1" s="1"/>
  <c r="H374" i="3"/>
  <c r="M9" i="1" s="1"/>
  <c r="G374" i="3"/>
  <c r="F374" i="3"/>
  <c r="M7" i="1" s="1"/>
  <c r="I374" i="3"/>
  <c r="M10" i="1" s="1"/>
  <c r="D374" i="3"/>
  <c r="C374" i="3"/>
  <c r="M4" i="1" s="1"/>
  <c r="E374" i="3"/>
  <c r="M6" i="1" s="1"/>
  <c r="K374" i="3"/>
  <c r="M12" i="1" s="1"/>
  <c r="H10" i="5" l="1"/>
  <c r="G10" i="5"/>
  <c r="J10" i="5"/>
  <c r="F10" i="5"/>
  <c r="D10" i="5"/>
  <c r="E10" i="5" s="1"/>
  <c r="I10" i="5"/>
  <c r="M17" i="1"/>
  <c r="Q16" i="1" s="1"/>
  <c r="F8" i="5"/>
  <c r="H8" i="5"/>
  <c r="G8" i="5"/>
  <c r="J8" i="5"/>
  <c r="D8" i="5"/>
  <c r="E8" i="5" s="1"/>
  <c r="I8" i="5"/>
  <c r="M11" i="1"/>
  <c r="Q14" i="1" s="1"/>
  <c r="G7" i="5"/>
  <c r="H7" i="5"/>
  <c r="F7" i="5"/>
  <c r="D7" i="5"/>
  <c r="E7" i="5" s="1"/>
  <c r="J7" i="5"/>
  <c r="M8" i="1"/>
  <c r="Q13" i="1" s="1"/>
  <c r="I7" i="5"/>
  <c r="H9" i="5"/>
  <c r="D9" i="5"/>
  <c r="E9" i="5" s="1"/>
  <c r="G9" i="5"/>
  <c r="F9" i="5"/>
  <c r="J9" i="5"/>
  <c r="I9" i="5"/>
  <c r="M14" i="1"/>
  <c r="Q15" i="1" s="1"/>
  <c r="D6" i="5"/>
  <c r="E6" i="5" s="1"/>
  <c r="F6" i="5"/>
  <c r="H6" i="5"/>
  <c r="G6" i="5"/>
  <c r="J6" i="5"/>
  <c r="M5" i="1"/>
  <c r="Q12" i="1" s="1"/>
  <c r="I6" i="5"/>
</calcChain>
</file>

<file path=xl/sharedStrings.xml><?xml version="1.0" encoding="utf-8"?>
<sst xmlns="http://schemas.openxmlformats.org/spreadsheetml/2006/main" count="741" uniqueCount="447">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</sst>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8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1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MAIO|24  - MAIO|25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4.3140599113790534E-2</c:v>
                </c:pt>
                <c:pt idx="1">
                  <c:v>3.9785852613142492E-2</c:v>
                </c:pt>
                <c:pt idx="2">
                  <c:v>3.7504864099428215E-2</c:v>
                </c:pt>
                <c:pt idx="3">
                  <c:v>3.0656388677498869E-2</c:v>
                </c:pt>
                <c:pt idx="4">
                  <c:v>2.3797400711810246E-2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76" sel="360" val="359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76" sel="372" val="364"/>
</file>

<file path=xl/ctrlProps/ctrlProp3.xml><?xml version="1.0" encoding="utf-8"?>
<formControlPr xmlns="http://schemas.microsoft.com/office/spreadsheetml/2009/9/main" objectType="Drop" dropStyle="combo" dx="22" fmlaLink="INCTFR!$J$287" fmlaRange="$L$4:$L$18" noThreeD="1" sel="8" val="7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76" noThreeD="1" sel="372" val="36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396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396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533.97646936330625</v>
          </cell>
          <cell r="D311">
            <v>570.13926029877723</v>
          </cell>
          <cell r="E311">
            <v>594.05251972162466</v>
          </cell>
          <cell r="F311">
            <v>641.80261881354841</v>
          </cell>
          <cell r="G311">
            <v>685.41537062000145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1062.3612627957407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1031.3258849289218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</sheetData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L18" sqref="L18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1" t="s">
        <v>293</v>
      </c>
      <c r="D1" s="291"/>
      <c r="E1" s="291"/>
      <c r="F1" s="291"/>
      <c r="G1" s="291"/>
      <c r="H1" s="291"/>
      <c r="I1" s="291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MAIO|24  - MAIO|25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Histórica'!$B$5:$Q$383,Painel!J4+1,0)/VLOOKUP($F$18,'Série Histórica'!$B$5:$Q$383,Painel!J4+1,0))</f>
        <v>4.409871428247869E-2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Histórica'!$B$5:$Q$383,Painel!J5+1,0)/VLOOKUP($F$18,'Série Histórica'!$B$5:$Q$383,Painel!J5+1,0))</f>
        <v>4.3140599113790534E-2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Histórica'!$B$5:$Q$383,Painel!J6+1,0)/VLOOKUP($F$18,'Série Histórica'!$B$5:$Q$383,Painel!J6+1,0))</f>
        <v>4.1811716026468604E-2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Histórica'!$B$5:$Q$383,Painel!J7+1,0)/VLOOKUP($F$18,'Série Histórica'!$B$5:$Q$383,Painel!J7+1,0))</f>
        <v>4.0379932299143606E-2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Histórica'!$B$5:$Q$383,Painel!J8+1,0)/VLOOKUP($F$18,'Série Histórica'!$B$5:$Q$383,Painel!J8+1,0))</f>
        <v>3.9785852613142492E-2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Histórica'!$B$5:$Q$383,Painel!J9+1,0)/VLOOKUP($F$18,'Série Histórica'!$B$5:$Q$383,Painel!J9+1,0))</f>
        <v>3.8939632778725919E-2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Histórica'!$B$5:$Q$383,Painel!J10+1,0)/VLOOKUP($F$18,'Série Histórica'!$B$5:$Q$383,Painel!J10+1,0))</f>
        <v>4.134828769451282E-2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Histórica'!$B$5:$Q$383,Painel!J11+1,0)/VLOOKUP($F$18,'Série Histórica'!$B$5:$Q$383,Painel!J11+1,0))</f>
        <v>3.7504864099428215E-2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Histórica'!$B$5:$Q$383,Painel!J12+1,0)/VLOOKUP($F$18,'Série Histórica'!$B$5:$Q$383,Painel!J12+1,0))</f>
        <v>3.6994616918375467E-2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4.3140599113790534E-2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2">
        <f>IF(INCTFR!$K$287&lt;=INCTFR!$K$286,"PERÍODO NÃO ACEITO",-1+VLOOKUP(F19,'Série Histórica'!$B$5:$Q$383,INCTFR!$J$287+1,0)/VLOOKUP(F18,'Série Histórica'!$B$5:$Q$383,INCTFR!$J$287+1,0))</f>
        <v>3.7504864099428215E-2</v>
      </c>
      <c r="F13" s="292"/>
      <c r="G13" s="292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Histórica'!$B$5:$Q$383,Painel!J13+1,0)/VLOOKUP($F$18,'Série Histórica'!$B$5:$Q$383,Painel!J13+1,0))</f>
        <v>3.6352738959709141E-2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3.9785852613142492E-2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Histórica'!$B$5:$Q$383,Painel!J14+1,0)/VLOOKUP($F$18,'Série Histórica'!$B$5:$Q$383,Painel!J14+1,0))</f>
        <v>3.0656388677498869E-2</v>
      </c>
      <c r="N14" s="44"/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3.7504864099428215E-2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Histórica'!$B$5:$Q$383,Painel!J15+1,0)/VLOOKUP($F$18,'Série Histórica'!$B$5:$Q$383,Painel!J15+1,0))</f>
        <v>3.0648290937673073E-2</v>
      </c>
      <c r="N15" s="44"/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3.0656388677498869E-2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Histórica'!$B$5:$Q$383,Painel!J16+1,0)/VLOOKUP($F$18,'Série Histórica'!$B$5:$Q$383,Painel!J16+1,0))</f>
        <v>2.3688706110209123E-2</v>
      </c>
      <c r="N16" s="44"/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2.3797400711810246E-2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Histórica'!$B$5:$Q$383,Painel!J17+1,0)/VLOOKUP($F$18,'Série Histórica'!$B$5:$Q$383,Painel!J17+1,0))</f>
        <v>2.3797400711810246E-2</v>
      </c>
      <c r="N17" s="44"/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Histórica'!$A$5:$C$388,2,0)</f>
        <v>MAIO|24</v>
      </c>
      <c r="G18" s="43"/>
      <c r="H18" s="43"/>
      <c r="I18" s="43"/>
      <c r="J18" s="47">
        <v>15</v>
      </c>
      <c r="K18" s="47">
        <v>3</v>
      </c>
      <c r="L18" s="47" t="s">
        <v>150</v>
      </c>
      <c r="M18" s="49">
        <f>IF($F$17&lt;$F$16,"0,00%",-1+VLOOKUP($F$19,'Série Histórica'!$B$5:$Q$383,Painel!J18+1,0)/VLOOKUP($F$18,'Série Histórica'!$B$5:$Q$383,Painel!J18+1,0))</f>
        <v>2.3971017248888504E-2</v>
      </c>
      <c r="N18" s="44"/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Histórica'!$A$5:$C$388,2,0)</f>
        <v>MAIO|25</v>
      </c>
      <c r="G19" s="43"/>
      <c r="H19" s="43"/>
      <c r="I19" s="43"/>
      <c r="N19" s="44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48"/>
      <c r="M20" s="47"/>
      <c r="N20" s="59"/>
      <c r="O20" s="47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0" t="s">
        <v>294</v>
      </c>
      <c r="D36" s="290"/>
      <c r="E36" s="290"/>
      <c r="F36" s="290"/>
      <c r="G36" s="290"/>
      <c r="H36" s="290"/>
      <c r="I36" s="290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89" t="s">
        <v>298</v>
      </c>
      <c r="D38" s="289"/>
      <c r="E38" s="289"/>
      <c r="F38" s="289"/>
      <c r="G38" s="289"/>
      <c r="H38" s="289"/>
      <c r="I38" s="289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89"/>
      <c r="D39" s="289"/>
      <c r="E39" s="289"/>
      <c r="F39" s="289"/>
      <c r="G39" s="289"/>
      <c r="H39" s="289"/>
      <c r="I39" s="289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c2x2E78WwfBmbVwhMwDCUMfzdyKp3moW5lqGXQGO3Xh4EwLWot/iM298vd1z5dogkKwM2LnOf+QWiFqA4snxPg==" saltValue="foLN8lDZtEdanVNy6V5nRQ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3"/>
  <sheetViews>
    <sheetView showGridLines="0" topLeftCell="A357" workbookViewId="0">
      <selection activeCell="H373" sqref="H373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3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360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372</v>
      </c>
      <c r="L287" s="237">
        <v>372</v>
      </c>
      <c r="M287" s="104">
        <f>$L$287-36</f>
        <v>336</v>
      </c>
      <c r="N287" s="104">
        <f>$L$287-24</f>
        <v>348</v>
      </c>
      <c r="O287" s="104">
        <f>$L$287-12</f>
        <v>360</v>
      </c>
      <c r="P287" s="104">
        <f>$L$287-VLOOKUP($L$287,'Série Histórica'!$A$5:$R$437,18)</f>
        <v>367</v>
      </c>
      <c r="Q287" s="104">
        <f>$L$287-1</f>
        <v>371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533.97646936330625</v>
      </c>
      <c r="D372" s="102">
        <f>[2]geral!D311</f>
        <v>570.13926029877723</v>
      </c>
      <c r="E372" s="102">
        <f>[2]geral!E311</f>
        <v>594.05251972162466</v>
      </c>
      <c r="F372" s="102">
        <f>[2]geral!F311</f>
        <v>641.80261881354841</v>
      </c>
      <c r="G372" s="103">
        <f>[2]geral!G311</f>
        <v>685.41537062000145</v>
      </c>
      <c r="H372" s="288"/>
    </row>
    <row r="373" spans="1:8" ht="15.75" thickBot="1" x14ac:dyDescent="0.3">
      <c r="A373" s="1">
        <f t="shared" si="4"/>
        <v>372</v>
      </c>
      <c r="B373" s="252" t="s">
        <v>446</v>
      </c>
      <c r="C373" s="276">
        <f>[2]geral!C312</f>
        <v>533.68761135178465</v>
      </c>
      <c r="D373" s="276">
        <f>[2]geral!D312</f>
        <v>568.6202953472324</v>
      </c>
      <c r="E373" s="276">
        <f>[2]geral!E312</f>
        <v>591.84683853579327</v>
      </c>
      <c r="F373" s="276">
        <f>[2]geral!F312</f>
        <v>638.02817120706663</v>
      </c>
      <c r="G373" s="277">
        <f>[2]geral!G312</f>
        <v>679.6945789643147</v>
      </c>
      <c r="H373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3" t="s">
        <v>445</v>
      </c>
      <c r="E1" s="294"/>
      <c r="F1" s="294"/>
      <c r="G1" s="294"/>
      <c r="H1" s="294"/>
      <c r="I1" s="294"/>
      <c r="J1" s="294"/>
    </row>
    <row r="2" spans="2:15" ht="15" customHeight="1" x14ac:dyDescent="0.2">
      <c r="B2" s="207"/>
      <c r="C2" s="207"/>
      <c r="D2" s="294"/>
      <c r="E2" s="294"/>
      <c r="F2" s="294"/>
      <c r="G2" s="294"/>
      <c r="H2" s="294"/>
      <c r="I2" s="294"/>
      <c r="J2" s="294"/>
    </row>
    <row r="3" spans="2:15" ht="26.25" customHeight="1" thickBot="1" x14ac:dyDescent="0.25">
      <c r="B3" s="208"/>
      <c r="C3" s="208"/>
      <c r="D3" s="295"/>
      <c r="E3" s="295"/>
      <c r="F3" s="295"/>
      <c r="G3" s="295"/>
      <c r="H3" s="295"/>
      <c r="I3" s="295"/>
      <c r="J3" s="295"/>
    </row>
    <row r="4" spans="2:15" ht="23.25" thickBot="1" x14ac:dyDescent="0.25">
      <c r="B4" s="296" t="s">
        <v>313</v>
      </c>
      <c r="C4" s="297"/>
      <c r="D4" s="297"/>
      <c r="E4" s="297"/>
      <c r="F4" s="297"/>
      <c r="G4" s="297"/>
      <c r="H4" s="209"/>
      <c r="I4" s="298"/>
      <c r="J4" s="299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Histórica'!$A$5:$Q$437,4)</f>
        <v>1046.2871645311072</v>
      </c>
      <c r="E6" s="215">
        <f>+D6-100</f>
        <v>946.28716453110724</v>
      </c>
      <c r="F6" s="253">
        <f>IF(INCTFR!$L$287&lt;37,"0,00",-1+VLOOKUP(INCTFR!$L$287,'Série Histórica'!$A$5:$Q$437,4,0)/VLOOKUP(INCTFR!$M$287,'Série Histórica'!$A$5:$Q$437,4,0))*100</f>
        <v>11.835050389692569</v>
      </c>
      <c r="G6" s="253">
        <f>IF(INCTFR!$L$287&lt;25,"0,00",-1+VLOOKUP(INCTFR!$L$287,'Série Histórica'!$A$5:$Q$437,4,0)/VLOOKUP(INCTFR!$N$287,'Série Histórica'!$A$5:$Q$437,4,0))*100</f>
        <v>8.717822773398364</v>
      </c>
      <c r="H6" s="253">
        <f>IF(INCTFR!$L$287&lt;13,"0,00",-1+VLOOKUP(INCTFR!$L$287,'Série Histórica'!$A$5:$Q$437,4,0)/VLOOKUP(INCTFR!$O$287,'Série Histórica'!$A$5:$Q$437,4,0))*100</f>
        <v>4.3140599113790534</v>
      </c>
      <c r="I6" s="240">
        <f>IF(INCTFR!$L$287&lt;8,"0,00",-100+VLOOKUP(INCTFR!$L$287,'Série Histórica'!$A$5:$Q$437,4,0)/VLOOKUP(INCTFR!$P$287,'Série Histórica'!$A$5:$Q$437,4,0)*100)</f>
        <v>1.7829208737147866</v>
      </c>
      <c r="J6" s="241">
        <f>IF(INCTFR!$L$287&lt;2,"0,00",-100+VLOOKUP(INCTFR!$L$287,'Série Histórica'!$A$5:$Q$437,4,0)/VLOOKUP(INCTFR!$Q$287,'Série Histórica'!$A$5:$Q$437,4,0)*100)</f>
        <v>-0.11658355638746798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Histórica'!$A$5:$Q$437,7)</f>
        <v>1039.1125103335462</v>
      </c>
      <c r="E7" s="215">
        <f>+D7-100</f>
        <v>939.1125103335462</v>
      </c>
      <c r="F7" s="253">
        <f>IF(INCTFR!$L$287&lt;37,"0,00",-1+VLOOKUP(INCTFR!$L$287,'Série Histórica'!$A$5:$Q$437,7,0)/VLOOKUP(INCTFR!$M$287,'Série Histórica'!$A$5:$Q$437,7,0))*100</f>
        <v>10.633069114851935</v>
      </c>
      <c r="G7" s="253">
        <f>IF(INCTFR!$L$287&lt;25,"0,00",-1+VLOOKUP(INCTFR!$L$287,'Série Histórica'!$A$5:$Q$437,7,0)/VLOOKUP(INCTFR!$N$287,'Série Histórica'!$A$5:$Q$437,7,0))*100</f>
        <v>9.2608412358671455</v>
      </c>
      <c r="H7" s="253">
        <f>IF(INCTFR!$L$287&lt;13,"0,00",-1+VLOOKUP(INCTFR!$L$287,'Série Histórica'!$A$5:$Q$437,7,0)/VLOOKUP(INCTFR!$O$287,'Série Histórica'!$A$5:$Q$437,7,0))*100</f>
        <v>3.9785852613142492</v>
      </c>
      <c r="I7" s="240">
        <f>IF(INCTFR!$L$287&lt;8,"0,00",-100+VLOOKUP(INCTFR!$L$287,'Série Histórica'!$A$5:$Q$437,7,0)/VLOOKUP(INCTFR!$P$287,'Série Histórica'!$A$5:$Q$437,7,0)*100)</f>
        <v>1.6296627310788239</v>
      </c>
      <c r="J7" s="241">
        <f>IF(INCTFR!$L$287&lt;2,"0,00",-100+VLOOKUP(INCTFR!$L$287,'Série Histórica'!$A$5:$Q$437,7,0)/VLOOKUP(INCTFR!$Q$287,'Série Histórica'!$A$5:$Q$437,7,0)*100)</f>
        <v>-0.26768590666706871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Histórica'!$A$5:$Q$437,10)</f>
        <v>1036.3160535305019</v>
      </c>
      <c r="E8" s="218">
        <f>+D8-100</f>
        <v>936.3160535305019</v>
      </c>
      <c r="F8" s="254">
        <f>IF(INCTFR!$L$287&lt;37,"0,00",-1+VLOOKUP(INCTFR!$L$287,'Série Histórica'!$A$5:$Q$437,10,0)/VLOOKUP(INCTFR!$M$287,'Série Histórica'!$A$5:$Q$437,10,0))*100</f>
        <v>9.8883301364835585</v>
      </c>
      <c r="G8" s="254">
        <f>IF(INCTFR!$L$287&lt;25,"0,00",-1+VLOOKUP(INCTFR!$L$287,'Série Histórica'!$A$5:$Q$437,10,0)/VLOOKUP(INCTFR!$N$287,'Série Histórica'!$A$5:$Q$437,10,0))*100</f>
        <v>9.5225718513806346</v>
      </c>
      <c r="H8" s="254">
        <f>IF(INCTFR!$L$287&lt;13,"0,00",-1+VLOOKUP(INCTFR!$L$287,'Série Histórica'!$A$5:$Q$437,10,0)/VLOOKUP(INCTFR!$O$287,'Série Histórica'!$A$5:$Q$437,10,0))*100</f>
        <v>3.7504864099428215</v>
      </c>
      <c r="I8" s="242">
        <f>IF(INCTFR!$L$287&lt;8,"0,00",-100+VLOOKUP(INCTFR!$L$287,'Série Histórica'!$A$5:$Q$437,10,0)/VLOOKUP(INCTFR!$P$287,'Série Histórica'!$A$5:$Q$437,10,0)*100)</f>
        <v>1.5488836646727862</v>
      </c>
      <c r="J8" s="243">
        <f>IF(INCTFR!$L$287&lt;2,"0,00",-100+VLOOKUP(INCTFR!$L$287,'Série Histórica'!$A$5:$Q$437,10,0)/VLOOKUP(INCTFR!$Q$287,'Série Histórica'!$A$5:$Q$437,10,0)*100)</f>
        <v>-0.35232749762850801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Histórica'!$A$5:$Q$437,13)</f>
        <v>1056.5128613713184</v>
      </c>
      <c r="E9" s="215">
        <f>+D9-100</f>
        <v>956.51286137131842</v>
      </c>
      <c r="F9" s="253">
        <f>IF(INCTFR!$L$287&lt;37,"0,00",-1+VLOOKUP(INCTFR!$L$287,'Série Histórica'!$A$5:$Q$437,13,0)/VLOOKUP(INCTFR!$M$287,'Série Histórica'!$A$5:$Q$437,13,0))*100</f>
        <v>8.8480178066080448</v>
      </c>
      <c r="G9" s="253">
        <f>IF(INCTFR!$L$287&lt;25,"0,00",-1+VLOOKUP(INCTFR!$L$287,'Série Histórica'!$A$5:$Q$437,13,0)/VLOOKUP(INCTFR!$N$287,'Série Histórica'!$A$5:$Q$437,13,0))*100</f>
        <v>10.282023149064145</v>
      </c>
      <c r="H9" s="240">
        <f>IF(INCTFR!$L$287&lt;13,"0,00",-1+VLOOKUP(INCTFR!$L$287,'Série Histórica'!$A$5:$Q$437,13,0)/VLOOKUP(INCTFR!$O$287,'Série Histórica'!$A$5:$Q$437,13,0))*100</f>
        <v>3.0656388677498869</v>
      </c>
      <c r="I9" s="240">
        <f>IF(INCTFR!$L$287&lt;8,"0,00",-100+VLOOKUP(INCTFR!$L$287,'Série Histórica'!$A$5:$Q$437,13,0)/VLOOKUP(INCTFR!$P$287,'Série Histórica'!$A$5:$Q$437,13,0)*100)</f>
        <v>1.3912697416873954</v>
      </c>
      <c r="J9" s="241">
        <f>IF(INCTFR!$L$287&lt;2,"0,00",-100+VLOOKUP(INCTFR!$L$287,'Série Histórica'!$A$5:$Q$437,13,0)/VLOOKUP(INCTFR!$Q$287,'Série Histórica'!$A$5:$Q$437,13,0)*100)</f>
        <v>-0.55297057165407182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Histórica'!$A$5:$Q$437,16)</f>
        <v>1098.5240790170521</v>
      </c>
      <c r="E10" s="222">
        <f>+D10-100</f>
        <v>998.52407901705214</v>
      </c>
      <c r="F10" s="255">
        <f>IF(INCTFR!$L$287&lt;37,"0,00",-1+VLOOKUP(INCTFR!$L$287,'Série Histórica'!$A$5:$Q$437,16,0)/VLOOKUP(INCTFR!$M$287,'Série Histórica'!$A$5:$Q$437,16,0))*100</f>
        <v>7.5372172438692875</v>
      </c>
      <c r="G10" s="255">
        <f>IF(INCTFR!$L$287&lt;25,"0,00",-1+VLOOKUP(INCTFR!$L$287,'Série Histórica'!$A$5:$Q$437,16,0)/VLOOKUP(INCTFR!$N$287,'Série Histórica'!$A$5:$Q$437,16,0))*100</f>
        <v>11.286930048459531</v>
      </c>
      <c r="H10" s="244">
        <f>IF(INCTFR!$L$287&lt;13,"0,00",-1+VLOOKUP(INCTFR!$L$287,'Série Histórica'!$A$5:$Q$437,16,0)/VLOOKUP(INCTFR!$O$287,'Série Histórica'!$A$5:$Q$437,16,0))*100</f>
        <v>2.3797400711810246</v>
      </c>
      <c r="I10" s="244">
        <f>IF(INCTFR!$L$287&lt;8,"0,00",-100+VLOOKUP(INCTFR!$L$287,'Série Histórica'!$A$5:$Q$437,16,0)/VLOOKUP(INCTFR!$P$287,'Série Histórica'!$A$5:$Q$437,16,0)*100)</f>
        <v>1.1753524170186438</v>
      </c>
      <c r="J10" s="245">
        <f>IF(INCTFR!$L$287&lt;2,"0,00",-100+VLOOKUP(INCTFR!$L$287,'Série Histórica'!$A$5:$Q$437,16,0)/VLOOKUP(INCTFR!$Q$287,'Série Histórica'!$A$5:$Q$437,16,0)*100)</f>
        <v>-0.79776739067958147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Bbay/Thb4/U38ug7fjNFHd0rYwDotRMtSg6yX0TpH7qrO8tma5+oLByWpbNMPXV7ivr6AMRY6HwA/8Vg4Ebv+w==" saltValue="qiVLBliixE44kgQMK/zjZA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07"/>
  <sheetViews>
    <sheetView showGridLines="0" zoomScale="87" zoomScaleNormal="87" workbookViewId="0">
      <pane ySplit="2940" topLeftCell="A364" activePane="bottomLeft"/>
      <selection activeCell="B2" sqref="B2:E2"/>
      <selection pane="bottomLeft" activeCell="Q377" sqref="Q377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18" t="s">
        <v>274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126"/>
    </row>
    <row r="2" spans="1:18" s="105" customFormat="1" ht="24" customHeight="1" thickBot="1" x14ac:dyDescent="0.25">
      <c r="A2" s="126"/>
      <c r="B2" s="319" t="s">
        <v>275</v>
      </c>
      <c r="C2" s="320"/>
      <c r="D2" s="320"/>
      <c r="E2" s="321"/>
      <c r="F2" s="322" t="s">
        <v>276</v>
      </c>
      <c r="G2" s="322"/>
      <c r="H2" s="323"/>
      <c r="I2" s="324" t="s">
        <v>277</v>
      </c>
      <c r="J2" s="320"/>
      <c r="K2" s="325"/>
      <c r="L2" s="326" t="s">
        <v>278</v>
      </c>
      <c r="M2" s="320"/>
      <c r="N2" s="327"/>
      <c r="O2" s="328" t="s">
        <v>279</v>
      </c>
      <c r="P2" s="329"/>
      <c r="Q2" s="330"/>
      <c r="R2" s="126"/>
    </row>
    <row r="3" spans="1:18" s="105" customFormat="1" ht="24" customHeight="1" thickBot="1" x14ac:dyDescent="0.25">
      <c r="A3" s="126"/>
      <c r="B3" s="305" t="s">
        <v>280</v>
      </c>
      <c r="C3" s="306"/>
      <c r="D3" s="306"/>
      <c r="E3" s="307"/>
      <c r="F3" s="308" t="s">
        <v>280</v>
      </c>
      <c r="G3" s="309"/>
      <c r="H3" s="310"/>
      <c r="I3" s="311" t="s">
        <v>280</v>
      </c>
      <c r="J3" s="312"/>
      <c r="K3" s="313"/>
      <c r="L3" s="314" t="s">
        <v>280</v>
      </c>
      <c r="M3" s="306"/>
      <c r="N3" s="315"/>
      <c r="O3" s="316" t="s">
        <v>280</v>
      </c>
      <c r="P3" s="306"/>
      <c r="Q3" s="317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6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ht="15.75" thickBot="1" x14ac:dyDescent="0.25">
      <c r="A376" s="137">
        <f t="shared" si="4"/>
        <v>372</v>
      </c>
      <c r="B376" s="266" t="str">
        <f>+INCTFR!B373</f>
        <v>MAIO|25</v>
      </c>
      <c r="C376" s="267">
        <f>'[3]50x10km'!D382</f>
        <v>1024.2391465377193</v>
      </c>
      <c r="D376" s="267">
        <f>'[3]50x40km'!D383</f>
        <v>1046.2871645311072</v>
      </c>
      <c r="E376" s="268">
        <f>'[3]50x90km'!D382</f>
        <v>1083.8316868303466</v>
      </c>
      <c r="F376" s="269">
        <f>'[3]400x10km'!D382</f>
        <v>1025.0257519715794</v>
      </c>
      <c r="G376" s="269">
        <f>'[3]400x40km'!D383</f>
        <v>1039.1125103335462</v>
      </c>
      <c r="H376" s="270">
        <f>'[3]400x90km'!D382</f>
        <v>1065.370260849493</v>
      </c>
      <c r="I376" s="271">
        <f>'[3]800x10km'!D382</f>
        <v>1031.3258849289218</v>
      </c>
      <c r="J376" s="271">
        <f>'[3]800x40km'!D383</f>
        <v>1036.3160535305019</v>
      </c>
      <c r="K376" s="272">
        <f>'[3]800x90km'!D382</f>
        <v>1054.5339409910541</v>
      </c>
      <c r="L376" s="273">
        <f>'[3]2400x10km'!D382</f>
        <v>1062.3612627957407</v>
      </c>
      <c r="M376" s="269">
        <f>'[3]2400x40km'!D383</f>
        <v>1056.5128613713184</v>
      </c>
      <c r="N376" s="270">
        <f>'[3]2400x90km'!D382</f>
        <v>1063.8442886098946</v>
      </c>
      <c r="O376" s="280">
        <f>+('[3]6000x10km'!D382)</f>
        <v>1102.643191476076</v>
      </c>
      <c r="P376" s="274">
        <f>'[3]6000x40km'!D383</f>
        <v>1098.5240790170521</v>
      </c>
      <c r="Q376" s="275">
        <f>'[3]6000x90km'!D382</f>
        <v>1102.6170944475389</v>
      </c>
      <c r="R376" s="250">
        <v>5</v>
      </c>
    </row>
    <row r="377" spans="1:18" x14ac:dyDescent="0.2">
      <c r="B377" s="249" t="s">
        <v>284</v>
      </c>
      <c r="C377" s="108"/>
      <c r="D377" s="108"/>
      <c r="E377" s="109"/>
      <c r="F377" s="108"/>
      <c r="G377" s="108"/>
      <c r="H377" s="108"/>
      <c r="I377" s="108"/>
      <c r="J377" s="109"/>
      <c r="K377" s="108"/>
      <c r="L377" s="108"/>
      <c r="M377" s="108"/>
      <c r="N377" s="108"/>
      <c r="O377" s="110"/>
      <c r="P377" s="108"/>
      <c r="Q377" s="108"/>
    </row>
    <row r="378" spans="1:18" x14ac:dyDescent="0.2">
      <c r="E378" s="112"/>
    </row>
    <row r="379" spans="1:18" ht="15" customHeight="1" x14ac:dyDescent="0.25">
      <c r="B379" s="20" t="s">
        <v>344</v>
      </c>
      <c r="C379" s="113"/>
      <c r="D379" s="113"/>
      <c r="E379" s="113"/>
      <c r="F379" s="113"/>
      <c r="G379" s="114"/>
    </row>
    <row r="380" spans="1:18" ht="15" customHeight="1" x14ac:dyDescent="0.25">
      <c r="B380" s="20" t="s">
        <v>345</v>
      </c>
      <c r="C380" s="115"/>
      <c r="D380" s="115"/>
      <c r="E380" s="115"/>
      <c r="F380" s="115"/>
      <c r="G380" s="116"/>
      <c r="H380" s="117"/>
    </row>
    <row r="381" spans="1:18" ht="15.75" x14ac:dyDescent="0.25">
      <c r="B381" s="118"/>
      <c r="C381" s="118"/>
      <c r="D381" s="118"/>
      <c r="E381" s="119"/>
      <c r="F381" s="114"/>
      <c r="G381" s="114"/>
      <c r="H381" s="117"/>
    </row>
    <row r="382" spans="1:18" x14ac:dyDescent="0.2">
      <c r="B382" s="304" t="s">
        <v>298</v>
      </c>
      <c r="C382" s="304"/>
      <c r="D382" s="304"/>
      <c r="E382" s="304"/>
      <c r="F382" s="304"/>
      <c r="G382" s="304"/>
      <c r="H382" s="304"/>
    </row>
    <row r="383" spans="1:18" ht="15.75" thickBot="1" x14ac:dyDescent="0.25">
      <c r="B383" s="304"/>
      <c r="C383" s="304"/>
      <c r="D383" s="304"/>
      <c r="E383" s="304"/>
      <c r="F383" s="304"/>
      <c r="G383" s="304"/>
      <c r="H383" s="304"/>
    </row>
    <row r="384" spans="1:18" ht="30.75" customHeight="1" x14ac:dyDescent="0.2">
      <c r="B384" s="302" t="s">
        <v>299</v>
      </c>
      <c r="C384" s="301"/>
      <c r="D384" s="303"/>
      <c r="E384" s="300" t="s">
        <v>300</v>
      </c>
      <c r="F384" s="301"/>
      <c r="G384" s="301"/>
      <c r="H384" s="8"/>
    </row>
    <row r="385" spans="2:10" x14ac:dyDescent="0.2">
      <c r="B385" s="26" t="s">
        <v>301</v>
      </c>
      <c r="C385" s="27"/>
      <c r="D385" s="28"/>
      <c r="E385" s="10" t="s">
        <v>302</v>
      </c>
      <c r="F385" s="11"/>
      <c r="G385" s="12"/>
      <c r="H385" s="8"/>
    </row>
    <row r="386" spans="2:10" x14ac:dyDescent="0.2">
      <c r="B386" s="29" t="s">
        <v>303</v>
      </c>
      <c r="C386" s="30"/>
      <c r="D386" s="31"/>
      <c r="E386" s="10" t="s">
        <v>304</v>
      </c>
      <c r="F386" s="11"/>
      <c r="G386" s="12"/>
      <c r="H386" s="8"/>
    </row>
    <row r="387" spans="2:10" x14ac:dyDescent="0.2">
      <c r="B387" s="29" t="s">
        <v>305</v>
      </c>
      <c r="C387" s="30"/>
      <c r="D387" s="31"/>
      <c r="E387" s="10" t="s">
        <v>306</v>
      </c>
      <c r="F387" s="11"/>
      <c r="G387" s="12"/>
      <c r="H387" s="8"/>
    </row>
    <row r="388" spans="2:10" ht="15.75" x14ac:dyDescent="0.25">
      <c r="B388" s="29" t="s">
        <v>307</v>
      </c>
      <c r="C388" s="30"/>
      <c r="D388" s="31"/>
      <c r="E388" s="13"/>
      <c r="F388" s="14"/>
      <c r="G388" s="15"/>
      <c r="H388" s="8"/>
    </row>
    <row r="389" spans="2:10" ht="16.5" thickBot="1" x14ac:dyDescent="0.3">
      <c r="B389" s="32" t="s">
        <v>308</v>
      </c>
      <c r="C389" s="33"/>
      <c r="D389" s="34"/>
      <c r="E389" s="16"/>
      <c r="F389" s="17"/>
      <c r="G389" s="18"/>
      <c r="H389" s="8"/>
    </row>
    <row r="390" spans="2:10" ht="15.75" x14ac:dyDescent="0.25">
      <c r="B390" s="9"/>
      <c r="C390" s="9"/>
      <c r="D390" s="19"/>
      <c r="E390" s="19"/>
      <c r="F390" s="19"/>
      <c r="G390" s="19"/>
      <c r="H390" s="8"/>
    </row>
    <row r="391" spans="2:10" ht="15.75" x14ac:dyDescent="0.25">
      <c r="B391" s="20" t="s">
        <v>309</v>
      </c>
      <c r="C391" s="21"/>
      <c r="D391" s="22"/>
      <c r="E391" s="22"/>
      <c r="F391" s="22"/>
      <c r="G391" s="22"/>
      <c r="H391" s="19"/>
    </row>
    <row r="392" spans="2:10" x14ac:dyDescent="0.2">
      <c r="B392" s="23" t="s">
        <v>310</v>
      </c>
      <c r="C392" s="21"/>
      <c r="D392" s="22"/>
      <c r="E392" s="22"/>
      <c r="F392" s="22"/>
      <c r="G392" s="22"/>
      <c r="H392" s="22"/>
    </row>
    <row r="393" spans="2:10" x14ac:dyDescent="0.2">
      <c r="B393" s="23" t="s">
        <v>346</v>
      </c>
      <c r="C393" s="24"/>
      <c r="D393" s="25"/>
      <c r="E393" s="25"/>
      <c r="F393" s="25"/>
      <c r="G393" s="25"/>
      <c r="H393" s="22"/>
    </row>
    <row r="394" spans="2:10" x14ac:dyDescent="0.2">
      <c r="B394" s="23" t="s">
        <v>349</v>
      </c>
      <c r="C394" s="24"/>
      <c r="D394" s="25"/>
      <c r="E394" s="25"/>
      <c r="F394" s="25"/>
      <c r="G394" s="25"/>
      <c r="H394" s="25"/>
    </row>
    <row r="395" spans="2:10" x14ac:dyDescent="0.2">
      <c r="B395" s="23"/>
      <c r="C395" s="24"/>
      <c r="D395" s="25"/>
      <c r="E395" s="25"/>
      <c r="F395" s="25"/>
      <c r="G395" s="25"/>
      <c r="H395" s="25"/>
    </row>
    <row r="396" spans="2:10" x14ac:dyDescent="0.2">
      <c r="B396" s="23" t="s">
        <v>347</v>
      </c>
      <c r="C396" s="24"/>
      <c r="D396" s="25"/>
      <c r="E396" s="25"/>
      <c r="F396" s="25"/>
      <c r="G396" s="25"/>
      <c r="H396" s="25"/>
    </row>
    <row r="397" spans="2:10" ht="23.25" x14ac:dyDescent="0.25">
      <c r="B397" s="120"/>
      <c r="C397" s="119"/>
      <c r="D397" s="119"/>
      <c r="E397" s="119"/>
      <c r="F397" s="119"/>
      <c r="G397" s="121"/>
      <c r="J397" s="122"/>
    </row>
    <row r="398" spans="2:10" ht="23.25" x14ac:dyDescent="0.25">
      <c r="B398" s="120"/>
      <c r="C398" s="123"/>
      <c r="D398" s="119"/>
      <c r="E398" s="119"/>
      <c r="F398" s="119"/>
      <c r="G398" s="121"/>
    </row>
    <row r="399" spans="2:10" ht="15.75" x14ac:dyDescent="0.25">
      <c r="B399" s="124"/>
      <c r="C399" s="115"/>
      <c r="D399" s="119"/>
      <c r="E399" s="119"/>
      <c r="F399" s="119"/>
      <c r="G399" s="125"/>
    </row>
    <row r="400" spans="2:10" ht="15.75" x14ac:dyDescent="0.25">
      <c r="B400" s="124"/>
      <c r="C400" s="115"/>
      <c r="D400" s="119"/>
      <c r="E400" s="119"/>
      <c r="F400" s="119"/>
      <c r="G400" s="125"/>
    </row>
    <row r="401" spans="2:9" ht="15.75" x14ac:dyDescent="0.25">
      <c r="B401" s="36" t="s">
        <v>285</v>
      </c>
      <c r="C401" s="115"/>
      <c r="D401" s="123"/>
      <c r="E401" s="123"/>
      <c r="F401" s="115"/>
      <c r="G401" s="116"/>
    </row>
    <row r="402" spans="2:9" ht="15.75" x14ac:dyDescent="0.25">
      <c r="B402" s="36" t="s">
        <v>286</v>
      </c>
      <c r="C402" s="119"/>
      <c r="D402" s="115"/>
      <c r="E402" s="115"/>
      <c r="F402" s="115"/>
      <c r="G402" s="116"/>
    </row>
    <row r="403" spans="2:9" ht="15.75" x14ac:dyDescent="0.25">
      <c r="B403" s="36" t="s">
        <v>287</v>
      </c>
      <c r="C403" s="119"/>
      <c r="D403" s="115"/>
      <c r="E403" s="115"/>
      <c r="F403" s="115"/>
      <c r="G403" s="116"/>
    </row>
    <row r="404" spans="2:9" ht="9" customHeight="1" x14ac:dyDescent="0.25">
      <c r="D404" s="119"/>
      <c r="E404" s="119"/>
      <c r="F404" s="119"/>
      <c r="G404" s="119"/>
    </row>
    <row r="405" spans="2:9" ht="15.75" customHeight="1" x14ac:dyDescent="0.2">
      <c r="B405" s="304" t="s">
        <v>348</v>
      </c>
      <c r="C405" s="304"/>
      <c r="D405" s="304"/>
      <c r="E405" s="304"/>
      <c r="F405" s="304"/>
      <c r="G405" s="304"/>
      <c r="H405" s="304"/>
      <c r="I405" s="304"/>
    </row>
    <row r="406" spans="2:9" ht="15.75" customHeight="1" x14ac:dyDescent="0.2">
      <c r="B406" s="304"/>
      <c r="C406" s="304"/>
      <c r="D406" s="304"/>
      <c r="E406" s="304"/>
      <c r="F406" s="304"/>
      <c r="G406" s="304"/>
      <c r="H406" s="304"/>
      <c r="I406" s="304"/>
    </row>
    <row r="407" spans="2:9" x14ac:dyDescent="0.2">
      <c r="B407" s="35"/>
      <c r="C407" s="35"/>
      <c r="D407" s="35"/>
      <c r="E407" s="35"/>
      <c r="F407" s="35"/>
      <c r="G407" s="35"/>
      <c r="H407" s="35"/>
      <c r="I407" s="35"/>
    </row>
  </sheetData>
  <sheetProtection algorithmName="SHA-512" hashValue="BLXaaMkch9VN16NsvCneFFGdYfo+wJEIByTiO1rflx6O/dsP0FV7walcZBNkTVxgJU9eNz4xTewNWC46YdTsow==" saltValue="+CftU6iRP7oWmG0tsu7/fA==" spinCount="100000" sheet="1" objects="1" scenarios="1"/>
  <mergeCells count="15">
    <mergeCell ref="L3:N3"/>
    <mergeCell ref="O3:Q3"/>
    <mergeCell ref="B382:H383"/>
    <mergeCell ref="D1:Q1"/>
    <mergeCell ref="B2:E2"/>
    <mergeCell ref="F2:H2"/>
    <mergeCell ref="I2:K2"/>
    <mergeCell ref="L2:N2"/>
    <mergeCell ref="O2:Q2"/>
    <mergeCell ref="E384:G384"/>
    <mergeCell ref="B384:D384"/>
    <mergeCell ref="B405:I406"/>
    <mergeCell ref="B3:E3"/>
    <mergeCell ref="F3:H3"/>
    <mergeCell ref="I3:K3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2025-06-10T11:57:35Z</dcterms:modified>
</cp:coreProperties>
</file>