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XC_DECO\INDTRANS\"/>
    </mc:Choice>
  </mc:AlternateContent>
  <xr:revisionPtr revIDLastSave="0" documentId="13_ncr:1_{1EB1ED47-C96E-4AB3-AEF2-EAFA23B68C09}" xr6:coauthVersionLast="47" xr6:coauthVersionMax="47" xr10:uidLastSave="{00000000-0000-0000-0000-000000000000}"/>
  <bookViews>
    <workbookView xWindow="-120" yWindow="-120" windowWidth="24240" windowHeight="13020" xr2:uid="{066CD5C0-14A8-4CA1-A8F0-2EF3D9B4E962}"/>
  </bookViews>
  <sheets>
    <sheet name="Resumo" sheetId="20" r:id="rId1"/>
    <sheet name="IGPM" sheetId="1" r:id="rId2"/>
    <sheet name="IGPDI" sheetId="2" r:id="rId3"/>
    <sheet name="IPCAIBGE" sheetId="3" r:id="rId4"/>
    <sheet name="IPCAE" sheetId="4" r:id="rId5"/>
    <sheet name="INPCIBGE" sheetId="5" r:id="rId6"/>
    <sheet name="ICVDIEESE" sheetId="6" r:id="rId7"/>
    <sheet name="IPCFIPE" sheetId="7" r:id="rId8"/>
    <sheet name="IPA-DI FGV" sheetId="8" r:id="rId9"/>
    <sheet name="IPC|BR - DI.FGV" sheetId="9" r:id="rId10"/>
    <sheet name="IPA-IGPM" sheetId="10" r:id="rId11"/>
    <sheet name="INCC-SINDUSCON" sheetId="12" r:id="rId12"/>
    <sheet name="Poupanca" sheetId="13" r:id="rId13"/>
    <sheet name="Txbas" sheetId="14" r:id="rId14"/>
    <sheet name="SELIC" sheetId="15" r:id="rId15"/>
    <sheet name="Selicacum" sheetId="16" r:id="rId16"/>
    <sheet name="TJLP" sheetId="17" r:id="rId17"/>
    <sheet name="Dolar" sheetId="18" r:id="rId18"/>
    <sheet name="Salário Mínimo" sheetId="19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0" l="1"/>
  <c r="E27" i="20"/>
  <c r="D27" i="20"/>
  <c r="C27" i="20"/>
  <c r="F25" i="20"/>
  <c r="E25" i="20"/>
  <c r="D25" i="20"/>
  <c r="C25" i="20"/>
  <c r="E23" i="20"/>
  <c r="D23" i="20"/>
  <c r="E22" i="20"/>
  <c r="D22" i="20"/>
  <c r="F21" i="20"/>
  <c r="E21" i="20"/>
  <c r="D21" i="20"/>
  <c r="C21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2" i="20"/>
  <c r="E12" i="20"/>
  <c r="D12" i="20"/>
  <c r="C12" i="20"/>
  <c r="F11" i="20"/>
  <c r="E11" i="20"/>
  <c r="D11" i="20"/>
  <c r="C11" i="20"/>
  <c r="F10" i="20"/>
  <c r="E10" i="20"/>
  <c r="D10" i="20"/>
  <c r="C10" i="20"/>
  <c r="F9" i="20"/>
  <c r="E9" i="20"/>
  <c r="D9" i="20"/>
  <c r="C9" i="20"/>
  <c r="F8" i="20"/>
  <c r="E8" i="20"/>
  <c r="D8" i="20"/>
  <c r="C8" i="20"/>
  <c r="F7" i="20"/>
  <c r="E7" i="20"/>
  <c r="D7" i="20"/>
  <c r="C7" i="20"/>
  <c r="F6" i="20"/>
  <c r="E6" i="20"/>
  <c r="D6" i="20"/>
  <c r="C6" i="20"/>
  <c r="F5" i="20"/>
  <c r="E5" i="20"/>
  <c r="D5" i="20"/>
  <c r="C5" i="20"/>
  <c r="F4" i="20"/>
  <c r="E4" i="20"/>
  <c r="D4" i="20"/>
  <c r="C4" i="20"/>
  <c r="A371" i="19"/>
  <c r="D371" i="19"/>
  <c r="F371" i="19" s="1"/>
  <c r="E371" i="19"/>
  <c r="G351" i="18"/>
  <c r="G350" i="18"/>
  <c r="G349" i="18"/>
  <c r="G348" i="18"/>
  <c r="G347" i="18"/>
  <c r="G346" i="18"/>
  <c r="G345" i="18"/>
  <c r="G344" i="18"/>
  <c r="G343" i="18"/>
  <c r="G342" i="18"/>
  <c r="G341" i="18"/>
  <c r="G340" i="18"/>
  <c r="G339" i="18"/>
  <c r="G338" i="18"/>
  <c r="G337" i="18"/>
  <c r="G336" i="18"/>
  <c r="G335" i="18"/>
  <c r="G334" i="18"/>
  <c r="G333" i="18"/>
  <c r="G332" i="18"/>
  <c r="G331" i="18"/>
  <c r="G330" i="18"/>
  <c r="G329" i="18"/>
  <c r="G328" i="18"/>
  <c r="G327" i="18"/>
  <c r="G326" i="18"/>
  <c r="G325" i="18"/>
  <c r="G324" i="18"/>
  <c r="G323" i="18"/>
  <c r="G322" i="18"/>
  <c r="G321" i="18"/>
  <c r="G320" i="18"/>
  <c r="G319" i="18"/>
  <c r="G318" i="18"/>
  <c r="G317" i="18"/>
  <c r="G316" i="18"/>
  <c r="G315" i="18"/>
  <c r="G314" i="18"/>
  <c r="G313" i="18"/>
  <c r="G312" i="18"/>
  <c r="G311" i="18"/>
  <c r="G310" i="18"/>
  <c r="G309" i="18"/>
  <c r="G308" i="18"/>
  <c r="G307" i="18"/>
  <c r="G306" i="18"/>
  <c r="G305" i="18"/>
  <c r="G304" i="18"/>
  <c r="G303" i="18"/>
  <c r="G302" i="18"/>
  <c r="G301" i="18"/>
  <c r="G300" i="18"/>
  <c r="G299" i="18"/>
  <c r="G298" i="18"/>
  <c r="G297" i="18"/>
  <c r="G296" i="18"/>
  <c r="G295" i="18"/>
  <c r="G294" i="18"/>
  <c r="G293" i="18"/>
  <c r="G292" i="18"/>
  <c r="G291" i="18"/>
  <c r="G290" i="18"/>
  <c r="G289" i="18"/>
  <c r="G288" i="18"/>
  <c r="G287" i="18"/>
  <c r="G286" i="18"/>
  <c r="G285" i="18"/>
  <c r="G284" i="18"/>
  <c r="G283" i="18"/>
  <c r="G282" i="18"/>
  <c r="G281" i="18"/>
  <c r="G280" i="18"/>
  <c r="G279" i="18"/>
  <c r="G278" i="18"/>
  <c r="G277" i="18"/>
  <c r="G276" i="18"/>
  <c r="G275" i="18"/>
  <c r="G274" i="18"/>
  <c r="G273" i="18"/>
  <c r="G272" i="18"/>
  <c r="G271" i="18"/>
  <c r="G270" i="18"/>
  <c r="G269" i="18"/>
  <c r="G268" i="18"/>
  <c r="G267" i="18"/>
  <c r="G266" i="18"/>
  <c r="G265" i="18"/>
  <c r="G264" i="18"/>
  <c r="G263" i="18"/>
  <c r="G262" i="18"/>
  <c r="G261" i="18"/>
  <c r="G260" i="18"/>
  <c r="G259" i="18"/>
  <c r="G258" i="18"/>
  <c r="G257" i="18"/>
  <c r="G256" i="18"/>
  <c r="G255" i="18"/>
  <c r="G254" i="18"/>
  <c r="G253" i="18"/>
  <c r="G252" i="18"/>
  <c r="G251" i="18"/>
  <c r="G250" i="18"/>
  <c r="G249" i="18"/>
  <c r="G248" i="18"/>
  <c r="G247" i="18"/>
  <c r="G246" i="18"/>
  <c r="G245" i="18"/>
  <c r="G244" i="18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C351" i="18"/>
  <c r="E351" i="18"/>
  <c r="H351" i="18"/>
  <c r="A351" i="18"/>
  <c r="A349" i="17"/>
  <c r="D349" i="17"/>
  <c r="A355" i="15"/>
  <c r="D355" i="15"/>
  <c r="G394" i="13"/>
  <c r="G393" i="13"/>
  <c r="G392" i="13"/>
  <c r="G391" i="13"/>
  <c r="G390" i="13"/>
  <c r="G389" i="13"/>
  <c r="G388" i="13"/>
  <c r="G387" i="13"/>
  <c r="G386" i="13"/>
  <c r="G385" i="13"/>
  <c r="G384" i="13"/>
  <c r="G383" i="13"/>
  <c r="G382" i="13"/>
  <c r="G381" i="13"/>
  <c r="G380" i="13"/>
  <c r="G379" i="13"/>
  <c r="G378" i="13"/>
  <c r="G377" i="13"/>
  <c r="G376" i="13"/>
  <c r="G375" i="13"/>
  <c r="G374" i="13"/>
  <c r="G373" i="13"/>
  <c r="G372" i="13"/>
  <c r="G371" i="13"/>
  <c r="G370" i="13"/>
  <c r="G369" i="13"/>
  <c r="G368" i="13"/>
  <c r="G367" i="13"/>
  <c r="G366" i="13"/>
  <c r="G365" i="13"/>
  <c r="G364" i="13"/>
  <c r="G363" i="13"/>
  <c r="G362" i="13"/>
  <c r="G361" i="13"/>
  <c r="G360" i="13"/>
  <c r="G359" i="13"/>
  <c r="G358" i="13"/>
  <c r="G357" i="13"/>
  <c r="G356" i="13"/>
  <c r="G355" i="13"/>
  <c r="G354" i="13"/>
  <c r="G353" i="13"/>
  <c r="G352" i="13"/>
  <c r="G351" i="13"/>
  <c r="G350" i="13"/>
  <c r="G349" i="13"/>
  <c r="G348" i="13"/>
  <c r="G347" i="13"/>
  <c r="G346" i="13"/>
  <c r="G345" i="13"/>
  <c r="G344" i="13"/>
  <c r="G343" i="13"/>
  <c r="G342" i="13"/>
  <c r="G341" i="13"/>
  <c r="G340" i="13"/>
  <c r="G339" i="13"/>
  <c r="G338" i="13"/>
  <c r="G337" i="13"/>
  <c r="G336" i="13"/>
  <c r="G335" i="13"/>
  <c r="G334" i="13"/>
  <c r="G333" i="13"/>
  <c r="G332" i="13"/>
  <c r="G331" i="13"/>
  <c r="G330" i="13"/>
  <c r="G329" i="13"/>
  <c r="G328" i="13"/>
  <c r="G327" i="13"/>
  <c r="G326" i="13"/>
  <c r="G325" i="13"/>
  <c r="G324" i="13"/>
  <c r="G323" i="13"/>
  <c r="G322" i="13"/>
  <c r="G321" i="13"/>
  <c r="G320" i="13"/>
  <c r="G319" i="13"/>
  <c r="G318" i="13"/>
  <c r="G317" i="13"/>
  <c r="G316" i="13"/>
  <c r="G315" i="13"/>
  <c r="G314" i="13"/>
  <c r="G313" i="13"/>
  <c r="G312" i="13"/>
  <c r="G311" i="13"/>
  <c r="G310" i="13"/>
  <c r="G309" i="13"/>
  <c r="G308" i="13"/>
  <c r="G307" i="13"/>
  <c r="G306" i="13"/>
  <c r="G305" i="13"/>
  <c r="G304" i="13"/>
  <c r="G303" i="13"/>
  <c r="G302" i="13"/>
  <c r="G301" i="13"/>
  <c r="G300" i="13"/>
  <c r="G299" i="13"/>
  <c r="G298" i="13"/>
  <c r="G297" i="13"/>
  <c r="G296" i="13"/>
  <c r="G295" i="13"/>
  <c r="G294" i="13"/>
  <c r="G293" i="13"/>
  <c r="G292" i="13"/>
  <c r="G291" i="13"/>
  <c r="G290" i="13"/>
  <c r="G289" i="13"/>
  <c r="G288" i="13"/>
  <c r="G287" i="13"/>
  <c r="G286" i="13"/>
  <c r="G285" i="13"/>
  <c r="G284" i="13"/>
  <c r="G283" i="13"/>
  <c r="G282" i="13"/>
  <c r="G281" i="13"/>
  <c r="G280" i="13"/>
  <c r="G279" i="13"/>
  <c r="G278" i="13"/>
  <c r="G277" i="13"/>
  <c r="G276" i="13"/>
  <c r="G275" i="13"/>
  <c r="G274" i="13"/>
  <c r="G273" i="13"/>
  <c r="G272" i="13"/>
  <c r="G271" i="13"/>
  <c r="G270" i="13"/>
  <c r="G269" i="13"/>
  <c r="G268" i="13"/>
  <c r="G267" i="13"/>
  <c r="G266" i="13"/>
  <c r="G265" i="13"/>
  <c r="G264" i="13"/>
  <c r="G263" i="13"/>
  <c r="G262" i="13"/>
  <c r="G261" i="13"/>
  <c r="G260" i="13"/>
  <c r="G259" i="13"/>
  <c r="G258" i="13"/>
  <c r="G257" i="13"/>
  <c r="G256" i="13"/>
  <c r="G255" i="13"/>
  <c r="G254" i="13"/>
  <c r="G253" i="13"/>
  <c r="G252" i="13"/>
  <c r="G251" i="13"/>
  <c r="G250" i="13"/>
  <c r="G249" i="13"/>
  <c r="G248" i="13"/>
  <c r="G247" i="13"/>
  <c r="G246" i="13"/>
  <c r="G245" i="13"/>
  <c r="G244" i="13"/>
  <c r="G243" i="13"/>
  <c r="G242" i="13"/>
  <c r="G241" i="13"/>
  <c r="G240" i="13"/>
  <c r="G239" i="13"/>
  <c r="G238" i="13"/>
  <c r="G237" i="13"/>
  <c r="G236" i="13"/>
  <c r="G235" i="13"/>
  <c r="G234" i="13"/>
  <c r="G233" i="13"/>
  <c r="G232" i="13"/>
  <c r="G231" i="13"/>
  <c r="G230" i="13"/>
  <c r="G229" i="13"/>
  <c r="G228" i="13"/>
  <c r="G227" i="13"/>
  <c r="G226" i="13"/>
  <c r="G225" i="13"/>
  <c r="G224" i="13"/>
  <c r="G223" i="13"/>
  <c r="G222" i="13"/>
  <c r="G221" i="13"/>
  <c r="G220" i="13"/>
  <c r="G219" i="13"/>
  <c r="G218" i="13"/>
  <c r="G217" i="13"/>
  <c r="G216" i="13"/>
  <c r="G215" i="13"/>
  <c r="G214" i="13"/>
  <c r="G213" i="13"/>
  <c r="G212" i="13"/>
  <c r="G211" i="13"/>
  <c r="G210" i="13"/>
  <c r="G209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G183" i="13"/>
  <c r="G182" i="13"/>
  <c r="G181" i="13"/>
  <c r="G180" i="13"/>
  <c r="G179" i="13"/>
  <c r="G178" i="13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A394" i="13"/>
  <c r="C394" i="13"/>
  <c r="E394" i="13" s="1"/>
  <c r="I351" i="18" l="1"/>
  <c r="D351" i="18"/>
  <c r="F351" i="18"/>
  <c r="F394" i="13"/>
  <c r="A387" i="7"/>
  <c r="A301" i="4"/>
  <c r="A383" i="5"/>
  <c r="A383" i="3"/>
  <c r="A383" i="9"/>
  <c r="A301" i="10"/>
  <c r="A383" i="8"/>
  <c r="D375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A375" i="2"/>
  <c r="F375" i="2"/>
  <c r="E375" i="2"/>
  <c r="G240" i="1"/>
  <c r="G232" i="1"/>
  <c r="G224" i="1"/>
  <c r="G216" i="1"/>
  <c r="G208" i="1"/>
  <c r="G200" i="1"/>
  <c r="G192" i="1"/>
  <c r="G184" i="1"/>
  <c r="G176" i="1"/>
  <c r="G168" i="1"/>
  <c r="G160" i="1"/>
  <c r="G152" i="1"/>
  <c r="G144" i="1"/>
  <c r="G136" i="1"/>
  <c r="G128" i="1"/>
  <c r="G119" i="1"/>
  <c r="G110" i="1"/>
  <c r="G102" i="1"/>
  <c r="G93" i="1"/>
  <c r="G84" i="1"/>
  <c r="G76" i="1"/>
  <c r="G67" i="1"/>
  <c r="G58" i="1"/>
  <c r="G50" i="1"/>
  <c r="G41" i="1"/>
  <c r="G32" i="1"/>
  <c r="G24" i="1"/>
  <c r="G15" i="1"/>
  <c r="G7" i="1"/>
  <c r="A392" i="1"/>
  <c r="C392" i="1"/>
  <c r="E392" i="1" s="1"/>
  <c r="C350" i="18"/>
  <c r="A370" i="19"/>
  <c r="D370" i="19"/>
  <c r="G179" i="18"/>
  <c r="G176" i="18"/>
  <c r="G170" i="18"/>
  <c r="G167" i="18"/>
  <c r="G162" i="18"/>
  <c r="G159" i="18"/>
  <c r="G154" i="18"/>
  <c r="G151" i="18"/>
  <c r="G146" i="18"/>
  <c r="G143" i="18"/>
  <c r="G138" i="18"/>
  <c r="G135" i="18"/>
  <c r="G130" i="18"/>
  <c r="G127" i="18"/>
  <c r="G122" i="18"/>
  <c r="G119" i="18"/>
  <c r="G114" i="18"/>
  <c r="G111" i="18"/>
  <c r="G106" i="18"/>
  <c r="G103" i="18"/>
  <c r="G98" i="18"/>
  <c r="G94" i="18"/>
  <c r="G89" i="18"/>
  <c r="G86" i="18"/>
  <c r="G80" i="18"/>
  <c r="G77" i="18"/>
  <c r="G72" i="18"/>
  <c r="G68" i="18"/>
  <c r="G63" i="18"/>
  <c r="G60" i="18"/>
  <c r="G54" i="18"/>
  <c r="G51" i="18"/>
  <c r="G46" i="18"/>
  <c r="G42" i="18"/>
  <c r="G37" i="18"/>
  <c r="G34" i="18"/>
  <c r="G31" i="18"/>
  <c r="G28" i="18"/>
  <c r="G26" i="18"/>
  <c r="G25" i="18"/>
  <c r="G20" i="18"/>
  <c r="G18" i="18"/>
  <c r="G16" i="18"/>
  <c r="G7" i="18"/>
  <c r="A350" i="18"/>
  <c r="A348" i="17"/>
  <c r="D348" i="17"/>
  <c r="A354" i="15"/>
  <c r="D354" i="15"/>
  <c r="G35" i="18" l="1"/>
  <c r="G44" i="18"/>
  <c r="G52" i="18"/>
  <c r="G61" i="18"/>
  <c r="G70" i="18"/>
  <c r="G78" i="18"/>
  <c r="G87" i="18"/>
  <c r="G96" i="18"/>
  <c r="G104" i="18"/>
  <c r="G112" i="18"/>
  <c r="G120" i="18"/>
  <c r="G128" i="18"/>
  <c r="G136" i="18"/>
  <c r="G144" i="18"/>
  <c r="G152" i="18"/>
  <c r="G160" i="18"/>
  <c r="G168" i="18"/>
  <c r="G177" i="18"/>
  <c r="G19" i="18"/>
  <c r="G27" i="18"/>
  <c r="G36" i="18"/>
  <c r="G45" i="18"/>
  <c r="G53" i="18"/>
  <c r="G62" i="18"/>
  <c r="G71" i="18"/>
  <c r="G79" i="18"/>
  <c r="G88" i="18"/>
  <c r="G97" i="18"/>
  <c r="G105" i="18"/>
  <c r="G113" i="18"/>
  <c r="G121" i="18"/>
  <c r="G129" i="18"/>
  <c r="G137" i="18"/>
  <c r="G145" i="18"/>
  <c r="G153" i="18"/>
  <c r="G161" i="18"/>
  <c r="G169" i="18"/>
  <c r="G178" i="18"/>
  <c r="G9" i="18"/>
  <c r="G21" i="18"/>
  <c r="G29" i="18"/>
  <c r="G38" i="18"/>
  <c r="G47" i="18"/>
  <c r="G55" i="18"/>
  <c r="G64" i="18"/>
  <c r="G73" i="18"/>
  <c r="G81" i="18"/>
  <c r="G90" i="18"/>
  <c r="G99" i="18"/>
  <c r="G107" i="18"/>
  <c r="G115" i="18"/>
  <c r="G123" i="18"/>
  <c r="G131" i="18"/>
  <c r="G139" i="18"/>
  <c r="G147" i="18"/>
  <c r="G155" i="18"/>
  <c r="G163" i="18"/>
  <c r="G171" i="18"/>
  <c r="G10" i="18"/>
  <c r="G22" i="18"/>
  <c r="G39" i="18"/>
  <c r="G48" i="18"/>
  <c r="G57" i="18"/>
  <c r="G65" i="18"/>
  <c r="G74" i="18"/>
  <c r="G83" i="18"/>
  <c r="G91" i="18"/>
  <c r="G100" i="18"/>
  <c r="G108" i="18"/>
  <c r="G116" i="18"/>
  <c r="G124" i="18"/>
  <c r="G132" i="18"/>
  <c r="G140" i="18"/>
  <c r="G148" i="18"/>
  <c r="G156" i="18"/>
  <c r="G164" i="18"/>
  <c r="G172" i="18"/>
  <c r="G12" i="18"/>
  <c r="G23" i="18"/>
  <c r="G32" i="18"/>
  <c r="G40" i="18"/>
  <c r="G49" i="18"/>
  <c r="G58" i="18"/>
  <c r="G66" i="18"/>
  <c r="G75" i="18"/>
  <c r="G84" i="18"/>
  <c r="G92" i="18"/>
  <c r="G101" i="18"/>
  <c r="G109" i="18"/>
  <c r="G117" i="18"/>
  <c r="G125" i="18"/>
  <c r="G133" i="18"/>
  <c r="G141" i="18"/>
  <c r="G149" i="18"/>
  <c r="G157" i="18"/>
  <c r="G165" i="18"/>
  <c r="G173" i="18"/>
  <c r="G14" i="18"/>
  <c r="G24" i="18"/>
  <c r="G33" i="18"/>
  <c r="G41" i="18"/>
  <c r="G50" i="18"/>
  <c r="G59" i="18"/>
  <c r="G67" i="18"/>
  <c r="G76" i="18"/>
  <c r="G85" i="18"/>
  <c r="G93" i="18"/>
  <c r="G102" i="18"/>
  <c r="G110" i="18"/>
  <c r="G118" i="18"/>
  <c r="G126" i="18"/>
  <c r="G134" i="18"/>
  <c r="G142" i="18"/>
  <c r="G150" i="18"/>
  <c r="G158" i="18"/>
  <c r="G166" i="18"/>
  <c r="G174" i="18"/>
  <c r="G8" i="1"/>
  <c r="G16" i="1"/>
  <c r="G25" i="1"/>
  <c r="G34" i="1"/>
  <c r="G42" i="1"/>
  <c r="G51" i="1"/>
  <c r="G60" i="1"/>
  <c r="G68" i="1"/>
  <c r="G77" i="1"/>
  <c r="G86" i="1"/>
  <c r="G94" i="1"/>
  <c r="G103" i="1"/>
  <c r="G112" i="1"/>
  <c r="G120" i="1"/>
  <c r="G129" i="1"/>
  <c r="G137" i="1"/>
  <c r="G145" i="1"/>
  <c r="G153" i="1"/>
  <c r="G161" i="1"/>
  <c r="G169" i="1"/>
  <c r="G177" i="1"/>
  <c r="G185" i="1"/>
  <c r="G193" i="1"/>
  <c r="G201" i="1"/>
  <c r="G209" i="1"/>
  <c r="G217" i="1"/>
  <c r="G225" i="1"/>
  <c r="G233" i="1"/>
  <c r="G241" i="1"/>
  <c r="G249" i="1"/>
  <c r="G257" i="1"/>
  <c r="G265" i="1"/>
  <c r="G273" i="1"/>
  <c r="G281" i="1"/>
  <c r="G289" i="1"/>
  <c r="G297" i="1"/>
  <c r="G305" i="1"/>
  <c r="G313" i="1"/>
  <c r="G321" i="1"/>
  <c r="G329" i="1"/>
  <c r="G337" i="1"/>
  <c r="G345" i="1"/>
  <c r="G353" i="1"/>
  <c r="G361" i="1"/>
  <c r="G369" i="1"/>
  <c r="G377" i="1"/>
  <c r="G385" i="1"/>
  <c r="G9" i="1"/>
  <c r="G17" i="1"/>
  <c r="G26" i="1"/>
  <c r="G35" i="1"/>
  <c r="G43" i="1"/>
  <c r="G52" i="1"/>
  <c r="G61" i="1"/>
  <c r="G69" i="1"/>
  <c r="G78" i="1"/>
  <c r="G87" i="1"/>
  <c r="G95" i="1"/>
  <c r="G104" i="1"/>
  <c r="G113" i="1"/>
  <c r="G121" i="1"/>
  <c r="G130" i="1"/>
  <c r="G138" i="1"/>
  <c r="G146" i="1"/>
  <c r="G154" i="1"/>
  <c r="G162" i="1"/>
  <c r="G170" i="1"/>
  <c r="G178" i="1"/>
  <c r="G186" i="1"/>
  <c r="G194" i="1"/>
  <c r="G202" i="1"/>
  <c r="G210" i="1"/>
  <c r="G218" i="1"/>
  <c r="G226" i="1"/>
  <c r="G234" i="1"/>
  <c r="G242" i="1"/>
  <c r="G250" i="1"/>
  <c r="G258" i="1"/>
  <c r="G266" i="1"/>
  <c r="G274" i="1"/>
  <c r="G282" i="1"/>
  <c r="G290" i="1"/>
  <c r="G298" i="1"/>
  <c r="G306" i="1"/>
  <c r="G314" i="1"/>
  <c r="G322" i="1"/>
  <c r="G330" i="1"/>
  <c r="G338" i="1"/>
  <c r="G346" i="1"/>
  <c r="G354" i="1"/>
  <c r="G362" i="1"/>
  <c r="G370" i="1"/>
  <c r="G378" i="1"/>
  <c r="G386" i="1"/>
  <c r="G10" i="1"/>
  <c r="G18" i="1"/>
  <c r="G27" i="1"/>
  <c r="G36" i="1"/>
  <c r="G44" i="1"/>
  <c r="G53" i="1"/>
  <c r="G62" i="1"/>
  <c r="G70" i="1"/>
  <c r="G79" i="1"/>
  <c r="G88" i="1"/>
  <c r="G96" i="1"/>
  <c r="G105" i="1"/>
  <c r="G114" i="1"/>
  <c r="G122" i="1"/>
  <c r="G131" i="1"/>
  <c r="G139" i="1"/>
  <c r="G147" i="1"/>
  <c r="G155" i="1"/>
  <c r="G163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67" i="1"/>
  <c r="G275" i="1"/>
  <c r="G283" i="1"/>
  <c r="G291" i="1"/>
  <c r="G299" i="1"/>
  <c r="G307" i="1"/>
  <c r="G315" i="1"/>
  <c r="G323" i="1"/>
  <c r="G331" i="1"/>
  <c r="G339" i="1"/>
  <c r="G347" i="1"/>
  <c r="G355" i="1"/>
  <c r="G363" i="1"/>
  <c r="G371" i="1"/>
  <c r="G379" i="1"/>
  <c r="G387" i="1"/>
  <c r="G11" i="1"/>
  <c r="G19" i="1"/>
  <c r="G28" i="1"/>
  <c r="G37" i="1"/>
  <c r="G45" i="1"/>
  <c r="G54" i="1"/>
  <c r="G63" i="1"/>
  <c r="G71" i="1"/>
  <c r="G80" i="1"/>
  <c r="G89" i="1"/>
  <c r="G97" i="1"/>
  <c r="G106" i="1"/>
  <c r="G115" i="1"/>
  <c r="G123" i="1"/>
  <c r="G132" i="1"/>
  <c r="G140" i="1"/>
  <c r="G148" i="1"/>
  <c r="G156" i="1"/>
  <c r="G164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68" i="1"/>
  <c r="G276" i="1"/>
  <c r="G284" i="1"/>
  <c r="G292" i="1"/>
  <c r="G300" i="1"/>
  <c r="G308" i="1"/>
  <c r="G316" i="1"/>
  <c r="G324" i="1"/>
  <c r="G332" i="1"/>
  <c r="G340" i="1"/>
  <c r="G348" i="1"/>
  <c r="G356" i="1"/>
  <c r="G364" i="1"/>
  <c r="G372" i="1"/>
  <c r="G380" i="1"/>
  <c r="G388" i="1"/>
  <c r="G12" i="1"/>
  <c r="G21" i="1"/>
  <c r="G29" i="1"/>
  <c r="G38" i="1"/>
  <c r="G47" i="1"/>
  <c r="G55" i="1"/>
  <c r="G64" i="1"/>
  <c r="G73" i="1"/>
  <c r="G81" i="1"/>
  <c r="G90" i="1"/>
  <c r="G99" i="1"/>
  <c r="G107" i="1"/>
  <c r="G116" i="1"/>
  <c r="G125" i="1"/>
  <c r="G133" i="1"/>
  <c r="G141" i="1"/>
  <c r="G149" i="1"/>
  <c r="G157" i="1"/>
  <c r="G165" i="1"/>
  <c r="G173" i="1"/>
  <c r="G181" i="1"/>
  <c r="G189" i="1"/>
  <c r="G197" i="1"/>
  <c r="G205" i="1"/>
  <c r="G213" i="1"/>
  <c r="G221" i="1"/>
  <c r="G229" i="1"/>
  <c r="G237" i="1"/>
  <c r="G245" i="1"/>
  <c r="G253" i="1"/>
  <c r="G261" i="1"/>
  <c r="G269" i="1"/>
  <c r="G277" i="1"/>
  <c r="G285" i="1"/>
  <c r="G293" i="1"/>
  <c r="G301" i="1"/>
  <c r="G309" i="1"/>
  <c r="G317" i="1"/>
  <c r="G325" i="1"/>
  <c r="G333" i="1"/>
  <c r="G341" i="1"/>
  <c r="G349" i="1"/>
  <c r="G357" i="1"/>
  <c r="G365" i="1"/>
  <c r="G373" i="1"/>
  <c r="G381" i="1"/>
  <c r="G389" i="1"/>
  <c r="G13" i="1"/>
  <c r="G22" i="1"/>
  <c r="G30" i="1"/>
  <c r="G39" i="1"/>
  <c r="G48" i="1"/>
  <c r="G56" i="1"/>
  <c r="G65" i="1"/>
  <c r="G74" i="1"/>
  <c r="G82" i="1"/>
  <c r="G91" i="1"/>
  <c r="G100" i="1"/>
  <c r="G108" i="1"/>
  <c r="G117" i="1"/>
  <c r="G126" i="1"/>
  <c r="G134" i="1"/>
  <c r="G142" i="1"/>
  <c r="G150" i="1"/>
  <c r="G158" i="1"/>
  <c r="G166" i="1"/>
  <c r="G174" i="1"/>
  <c r="G182" i="1"/>
  <c r="G190" i="1"/>
  <c r="G198" i="1"/>
  <c r="G206" i="1"/>
  <c r="G214" i="1"/>
  <c r="G222" i="1"/>
  <c r="G230" i="1"/>
  <c r="G238" i="1"/>
  <c r="G246" i="1"/>
  <c r="G254" i="1"/>
  <c r="G262" i="1"/>
  <c r="G270" i="1"/>
  <c r="G278" i="1"/>
  <c r="G286" i="1"/>
  <c r="G294" i="1"/>
  <c r="G302" i="1"/>
  <c r="G310" i="1"/>
  <c r="G318" i="1"/>
  <c r="G326" i="1"/>
  <c r="G334" i="1"/>
  <c r="G342" i="1"/>
  <c r="G350" i="1"/>
  <c r="G358" i="1"/>
  <c r="G366" i="1"/>
  <c r="G374" i="1"/>
  <c r="G382" i="1"/>
  <c r="G390" i="1"/>
  <c r="G14" i="1"/>
  <c r="G23" i="1"/>
  <c r="G31" i="1"/>
  <c r="G40" i="1"/>
  <c r="G49" i="1"/>
  <c r="G57" i="1"/>
  <c r="G66" i="1"/>
  <c r="G75" i="1"/>
  <c r="G83" i="1"/>
  <c r="G92" i="1"/>
  <c r="G101" i="1"/>
  <c r="G109" i="1"/>
  <c r="G118" i="1"/>
  <c r="G127" i="1"/>
  <c r="G135" i="1"/>
  <c r="G143" i="1"/>
  <c r="G151" i="1"/>
  <c r="G159" i="1"/>
  <c r="G167" i="1"/>
  <c r="G175" i="1"/>
  <c r="G183" i="1"/>
  <c r="G191" i="1"/>
  <c r="G199" i="1"/>
  <c r="G207" i="1"/>
  <c r="G215" i="1"/>
  <c r="G223" i="1"/>
  <c r="G231" i="1"/>
  <c r="G239" i="1"/>
  <c r="G247" i="1"/>
  <c r="G255" i="1"/>
  <c r="G263" i="1"/>
  <c r="G271" i="1"/>
  <c r="G279" i="1"/>
  <c r="G287" i="1"/>
  <c r="G295" i="1"/>
  <c r="G303" i="1"/>
  <c r="G311" i="1"/>
  <c r="G319" i="1"/>
  <c r="G327" i="1"/>
  <c r="G335" i="1"/>
  <c r="G343" i="1"/>
  <c r="G351" i="1"/>
  <c r="G359" i="1"/>
  <c r="G367" i="1"/>
  <c r="G375" i="1"/>
  <c r="G383" i="1"/>
  <c r="G391" i="1"/>
  <c r="G248" i="1"/>
  <c r="G256" i="1"/>
  <c r="G264" i="1"/>
  <c r="G272" i="1"/>
  <c r="G280" i="1"/>
  <c r="G288" i="1"/>
  <c r="G296" i="1"/>
  <c r="G304" i="1"/>
  <c r="G312" i="1"/>
  <c r="G320" i="1"/>
  <c r="G328" i="1"/>
  <c r="G336" i="1"/>
  <c r="G344" i="1"/>
  <c r="G352" i="1"/>
  <c r="G360" i="1"/>
  <c r="G368" i="1"/>
  <c r="G376" i="1"/>
  <c r="G384" i="1"/>
  <c r="G392" i="1"/>
  <c r="F392" i="1"/>
  <c r="G175" i="18"/>
  <c r="H350" i="18"/>
  <c r="A393" i="13" l="1"/>
  <c r="A386" i="7" l="1"/>
  <c r="A300" i="4"/>
  <c r="A382" i="5"/>
  <c r="A382" i="3"/>
  <c r="A382" i="9"/>
  <c r="A300" i="10"/>
  <c r="A382" i="8"/>
  <c r="A374" i="2"/>
  <c r="A391" i="1"/>
  <c r="A369" i="19"/>
  <c r="D369" i="19"/>
  <c r="C349" i="18"/>
  <c r="A349" i="18"/>
  <c r="A347" i="17"/>
  <c r="D347" i="17"/>
  <c r="D353" i="15"/>
  <c r="A353" i="15"/>
  <c r="A392" i="13"/>
  <c r="H349" i="18" l="1"/>
  <c r="D350" i="18"/>
  <c r="A385" i="7"/>
  <c r="A381" i="5"/>
  <c r="A299" i="4"/>
  <c r="A381" i="3"/>
  <c r="A381" i="9"/>
  <c r="A299" i="10"/>
  <c r="A381" i="8"/>
  <c r="A373" i="2"/>
  <c r="A390" i="1"/>
  <c r="D12" i="19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E45" i="19" s="1"/>
  <c r="E46" i="19" s="1"/>
  <c r="E47" i="19" s="1"/>
  <c r="E48" i="19" s="1"/>
  <c r="E49" i="19" s="1"/>
  <c r="E50" i="19" s="1"/>
  <c r="E51" i="19" s="1"/>
  <c r="E52" i="19" s="1"/>
  <c r="E53" i="19" s="1"/>
  <c r="E54" i="19" s="1"/>
  <c r="E55" i="19" s="1"/>
  <c r="E56" i="19" s="1"/>
  <c r="E57" i="19" s="1"/>
  <c r="E58" i="19" s="1"/>
  <c r="E59" i="19" s="1"/>
  <c r="E60" i="19" s="1"/>
  <c r="E61" i="19" s="1"/>
  <c r="E62" i="19" s="1"/>
  <c r="E63" i="19" s="1"/>
  <c r="E64" i="19" s="1"/>
  <c r="E65" i="19" s="1"/>
  <c r="E66" i="19" s="1"/>
  <c r="E67" i="19" s="1"/>
  <c r="E68" i="19" s="1"/>
  <c r="E69" i="19" s="1"/>
  <c r="E70" i="19" s="1"/>
  <c r="E71" i="19" s="1"/>
  <c r="E72" i="19" s="1"/>
  <c r="E73" i="19" s="1"/>
  <c r="E74" i="19" s="1"/>
  <c r="E75" i="19" s="1"/>
  <c r="E76" i="19" s="1"/>
  <c r="E77" i="19" s="1"/>
  <c r="E78" i="19" s="1"/>
  <c r="E79" i="19" s="1"/>
  <c r="E80" i="19" s="1"/>
  <c r="E81" i="19" s="1"/>
  <c r="E82" i="19" s="1"/>
  <c r="E83" i="19" s="1"/>
  <c r="E84" i="19" s="1"/>
  <c r="E85" i="19" s="1"/>
  <c r="E86" i="19" s="1"/>
  <c r="E87" i="19" s="1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E100" i="19" s="1"/>
  <c r="E101" i="19" s="1"/>
  <c r="E102" i="19" s="1"/>
  <c r="E103" i="19" s="1"/>
  <c r="E104" i="19" s="1"/>
  <c r="E105" i="19" s="1"/>
  <c r="E106" i="19" s="1"/>
  <c r="E107" i="19" s="1"/>
  <c r="E108" i="19" s="1"/>
  <c r="E109" i="19" s="1"/>
  <c r="E110" i="19" s="1"/>
  <c r="E111" i="19" s="1"/>
  <c r="E112" i="19" s="1"/>
  <c r="E113" i="19" s="1"/>
  <c r="E114" i="19" s="1"/>
  <c r="E115" i="19" s="1"/>
  <c r="E116" i="19" s="1"/>
  <c r="E117" i="19" s="1"/>
  <c r="E118" i="19" s="1"/>
  <c r="E119" i="19" s="1"/>
  <c r="E120" i="19" s="1"/>
  <c r="E121" i="19" s="1"/>
  <c r="E122" i="19" s="1"/>
  <c r="E123" i="19" s="1"/>
  <c r="E124" i="19" s="1"/>
  <c r="E125" i="19" s="1"/>
  <c r="E126" i="19" s="1"/>
  <c r="E127" i="19" s="1"/>
  <c r="E128" i="19" s="1"/>
  <c r="E129" i="19" s="1"/>
  <c r="E130" i="19" s="1"/>
  <c r="E131" i="19" s="1"/>
  <c r="E132" i="19" s="1"/>
  <c r="E133" i="19" s="1"/>
  <c r="E134" i="19" s="1"/>
  <c r="E135" i="19" s="1"/>
  <c r="E136" i="19" s="1"/>
  <c r="E137" i="19" s="1"/>
  <c r="E138" i="19" s="1"/>
  <c r="E139" i="19" s="1"/>
  <c r="E140" i="19" s="1"/>
  <c r="E141" i="19" s="1"/>
  <c r="E142" i="19" s="1"/>
  <c r="E143" i="19" s="1"/>
  <c r="E144" i="19" s="1"/>
  <c r="E145" i="19" s="1"/>
  <c r="E146" i="19" s="1"/>
  <c r="E147" i="19" s="1"/>
  <c r="E148" i="19" s="1"/>
  <c r="E149" i="19" s="1"/>
  <c r="E150" i="19" s="1"/>
  <c r="E151" i="19" s="1"/>
  <c r="E152" i="19" s="1"/>
  <c r="E153" i="19" s="1"/>
  <c r="E154" i="19" s="1"/>
  <c r="E155" i="19" s="1"/>
  <c r="E156" i="19" s="1"/>
  <c r="E157" i="19" s="1"/>
  <c r="E158" i="19" s="1"/>
  <c r="E159" i="19" s="1"/>
  <c r="E160" i="19" s="1"/>
  <c r="E161" i="19" s="1"/>
  <c r="E162" i="19" s="1"/>
  <c r="E163" i="19" s="1"/>
  <c r="E164" i="19" s="1"/>
  <c r="E165" i="19" s="1"/>
  <c r="E166" i="19" s="1"/>
  <c r="E167" i="19" s="1"/>
  <c r="E168" i="19" s="1"/>
  <c r="E169" i="19" s="1"/>
  <c r="E170" i="19" s="1"/>
  <c r="E171" i="19" s="1"/>
  <c r="E172" i="19" s="1"/>
  <c r="E173" i="19" s="1"/>
  <c r="E174" i="19" s="1"/>
  <c r="E175" i="19" s="1"/>
  <c r="E176" i="19" s="1"/>
  <c r="E177" i="19" s="1"/>
  <c r="E178" i="19" s="1"/>
  <c r="E179" i="19" s="1"/>
  <c r="E180" i="19" s="1"/>
  <c r="E181" i="19" s="1"/>
  <c r="E182" i="19" s="1"/>
  <c r="E183" i="19" s="1"/>
  <c r="E184" i="19" s="1"/>
  <c r="E185" i="19" s="1"/>
  <c r="E186" i="19" s="1"/>
  <c r="E187" i="19" s="1"/>
  <c r="E188" i="19" s="1"/>
  <c r="E189" i="19" s="1"/>
  <c r="E190" i="19" s="1"/>
  <c r="E191" i="19" s="1"/>
  <c r="E192" i="19" s="1"/>
  <c r="E193" i="19" s="1"/>
  <c r="E194" i="19" s="1"/>
  <c r="E195" i="19" s="1"/>
  <c r="E196" i="19" s="1"/>
  <c r="E197" i="19" s="1"/>
  <c r="E198" i="19" s="1"/>
  <c r="E199" i="19" s="1"/>
  <c r="E200" i="19" s="1"/>
  <c r="E201" i="19" s="1"/>
  <c r="E202" i="19" s="1"/>
  <c r="E203" i="19" s="1"/>
  <c r="E204" i="19" s="1"/>
  <c r="E205" i="19" s="1"/>
  <c r="E206" i="19" s="1"/>
  <c r="E207" i="19" s="1"/>
  <c r="E208" i="19" s="1"/>
  <c r="E209" i="19" s="1"/>
  <c r="E210" i="19" s="1"/>
  <c r="E211" i="19" s="1"/>
  <c r="E212" i="19" s="1"/>
  <c r="E213" i="19" s="1"/>
  <c r="E214" i="19" s="1"/>
  <c r="E215" i="19" s="1"/>
  <c r="E216" i="19" s="1"/>
  <c r="E217" i="19" s="1"/>
  <c r="E218" i="19" s="1"/>
  <c r="E219" i="19" s="1"/>
  <c r="E220" i="19" s="1"/>
  <c r="E221" i="19" s="1"/>
  <c r="E222" i="19" s="1"/>
  <c r="E223" i="19" s="1"/>
  <c r="E224" i="19" s="1"/>
  <c r="E225" i="19" s="1"/>
  <c r="E226" i="19" s="1"/>
  <c r="E227" i="19" s="1"/>
  <c r="E228" i="19" s="1"/>
  <c r="E229" i="19" s="1"/>
  <c r="E230" i="19" s="1"/>
  <c r="E231" i="19" s="1"/>
  <c r="E232" i="19" s="1"/>
  <c r="E233" i="19" s="1"/>
  <c r="E234" i="19" s="1"/>
  <c r="E235" i="19" s="1"/>
  <c r="E236" i="19" s="1"/>
  <c r="E237" i="19" s="1"/>
  <c r="E238" i="19" s="1"/>
  <c r="E239" i="19" s="1"/>
  <c r="E240" i="19" s="1"/>
  <c r="E241" i="19" s="1"/>
  <c r="E242" i="19" s="1"/>
  <c r="E243" i="19" s="1"/>
  <c r="E244" i="19" s="1"/>
  <c r="E245" i="19" s="1"/>
  <c r="E246" i="19" s="1"/>
  <c r="E247" i="19" s="1"/>
  <c r="E248" i="19" s="1"/>
  <c r="E249" i="19" s="1"/>
  <c r="E250" i="19" s="1"/>
  <c r="E251" i="19" s="1"/>
  <c r="E252" i="19" s="1"/>
  <c r="E253" i="19" s="1"/>
  <c r="E254" i="19" s="1"/>
  <c r="E255" i="19" s="1"/>
  <c r="E256" i="19" s="1"/>
  <c r="E257" i="19" s="1"/>
  <c r="E258" i="19" s="1"/>
  <c r="E259" i="19" s="1"/>
  <c r="E260" i="19" s="1"/>
  <c r="E261" i="19" s="1"/>
  <c r="E262" i="19" s="1"/>
  <c r="E263" i="19" s="1"/>
  <c r="E264" i="19" s="1"/>
  <c r="E265" i="19" s="1"/>
  <c r="E266" i="19" s="1"/>
  <c r="E267" i="19" s="1"/>
  <c r="E268" i="19" s="1"/>
  <c r="E269" i="19" s="1"/>
  <c r="E270" i="19" s="1"/>
  <c r="E271" i="19" s="1"/>
  <c r="E272" i="19" s="1"/>
  <c r="E273" i="19" s="1"/>
  <c r="E274" i="19" s="1"/>
  <c r="E275" i="19" s="1"/>
  <c r="E276" i="19" s="1"/>
  <c r="E277" i="19" s="1"/>
  <c r="E278" i="19" s="1"/>
  <c r="E279" i="19" s="1"/>
  <c r="E280" i="19" s="1"/>
  <c r="E281" i="19" s="1"/>
  <c r="E282" i="19" s="1"/>
  <c r="E283" i="19" s="1"/>
  <c r="E284" i="19" s="1"/>
  <c r="E285" i="19" s="1"/>
  <c r="E286" i="19" s="1"/>
  <c r="E287" i="19" s="1"/>
  <c r="E288" i="19" s="1"/>
  <c r="E289" i="19" s="1"/>
  <c r="E290" i="19" s="1"/>
  <c r="E291" i="19" s="1"/>
  <c r="E292" i="19" s="1"/>
  <c r="E293" i="19" s="1"/>
  <c r="E294" i="19" s="1"/>
  <c r="E295" i="19" s="1"/>
  <c r="E296" i="19" s="1"/>
  <c r="E297" i="19" s="1"/>
  <c r="E298" i="19" s="1"/>
  <c r="E299" i="19" s="1"/>
  <c r="E300" i="19" s="1"/>
  <c r="E301" i="19" s="1"/>
  <c r="E302" i="19" s="1"/>
  <c r="E303" i="19" s="1"/>
  <c r="E304" i="19" s="1"/>
  <c r="E305" i="19" s="1"/>
  <c r="E306" i="19" s="1"/>
  <c r="E307" i="19" s="1"/>
  <c r="E308" i="19" s="1"/>
  <c r="E309" i="19" s="1"/>
  <c r="E310" i="19" s="1"/>
  <c r="E311" i="19" s="1"/>
  <c r="E312" i="19" s="1"/>
  <c r="E313" i="19" s="1"/>
  <c r="E314" i="19" s="1"/>
  <c r="E315" i="19" s="1"/>
  <c r="E316" i="19" s="1"/>
  <c r="E317" i="19" s="1"/>
  <c r="E318" i="19" s="1"/>
  <c r="E319" i="19" s="1"/>
  <c r="E320" i="19" s="1"/>
  <c r="E321" i="19" s="1"/>
  <c r="E322" i="19" s="1"/>
  <c r="E323" i="19" s="1"/>
  <c r="E324" i="19" s="1"/>
  <c r="E325" i="19" s="1"/>
  <c r="E326" i="19" s="1"/>
  <c r="E327" i="19" s="1"/>
  <c r="E328" i="19" s="1"/>
  <c r="E329" i="19" s="1"/>
  <c r="E330" i="19" s="1"/>
  <c r="E331" i="19" s="1"/>
  <c r="E332" i="19" s="1"/>
  <c r="E333" i="19" s="1"/>
  <c r="E334" i="19" s="1"/>
  <c r="E335" i="19" s="1"/>
  <c r="E336" i="19" s="1"/>
  <c r="E337" i="19" s="1"/>
  <c r="E338" i="19" s="1"/>
  <c r="E339" i="19" s="1"/>
  <c r="E340" i="19" s="1"/>
  <c r="E341" i="19" s="1"/>
  <c r="E342" i="19" s="1"/>
  <c r="E343" i="19" s="1"/>
  <c r="E344" i="19" s="1"/>
  <c r="E345" i="19" s="1"/>
  <c r="E346" i="19" s="1"/>
  <c r="E347" i="19" s="1"/>
  <c r="E348" i="19" s="1"/>
  <c r="E349" i="19" s="1"/>
  <c r="E350" i="19" s="1"/>
  <c r="E351" i="19" s="1"/>
  <c r="E352" i="19" s="1"/>
  <c r="E353" i="19" s="1"/>
  <c r="E354" i="19" s="1"/>
  <c r="E355" i="19" s="1"/>
  <c r="E356" i="19" s="1"/>
  <c r="E357" i="19" s="1"/>
  <c r="E358" i="19" s="1"/>
  <c r="E359" i="19" s="1"/>
  <c r="E360" i="19" s="1"/>
  <c r="E361" i="19" s="1"/>
  <c r="E362" i="19" s="1"/>
  <c r="E363" i="19" s="1"/>
  <c r="E364" i="19" s="1"/>
  <c r="E365" i="19" s="1"/>
  <c r="E366" i="19" s="1"/>
  <c r="E367" i="19" s="1"/>
  <c r="E368" i="19" s="1"/>
  <c r="E369" i="19" s="1"/>
  <c r="E370" i="19" s="1"/>
  <c r="F370" i="19" l="1"/>
  <c r="F369" i="19"/>
  <c r="F13" i="20"/>
  <c r="E13" i="20"/>
  <c r="D13" i="20"/>
  <c r="C13" i="20"/>
  <c r="F36" i="20"/>
  <c r="E36" i="20"/>
  <c r="D36" i="20"/>
  <c r="C36" i="20"/>
  <c r="F35" i="20"/>
  <c r="E35" i="20"/>
  <c r="D35" i="20"/>
  <c r="C35" i="20"/>
  <c r="F34" i="20"/>
  <c r="E34" i="20"/>
  <c r="D34" i="20"/>
  <c r="C34" i="20"/>
  <c r="F33" i="20"/>
  <c r="E33" i="20"/>
  <c r="D33" i="20"/>
  <c r="C33" i="20"/>
  <c r="F32" i="20"/>
  <c r="E32" i="20"/>
  <c r="D32" i="20"/>
  <c r="C32" i="20"/>
  <c r="F26" i="20"/>
  <c r="E26" i="20"/>
  <c r="D26" i="20"/>
  <c r="C26" i="20"/>
  <c r="F24" i="20"/>
  <c r="E24" i="20"/>
  <c r="D24" i="20"/>
  <c r="F20" i="20"/>
  <c r="E20" i="20"/>
  <c r="D20" i="20"/>
  <c r="C20" i="20"/>
  <c r="D368" i="19" l="1"/>
  <c r="A368" i="19"/>
  <c r="D367" i="19"/>
  <c r="A367" i="19"/>
  <c r="D366" i="19"/>
  <c r="A366" i="19"/>
  <c r="D365" i="19"/>
  <c r="A365" i="19"/>
  <c r="D364" i="19"/>
  <c r="A364" i="19"/>
  <c r="D363" i="19"/>
  <c r="A363" i="19"/>
  <c r="D362" i="19"/>
  <c r="A362" i="19"/>
  <c r="D361" i="19"/>
  <c r="A361" i="19"/>
  <c r="D360" i="19"/>
  <c r="A360" i="19"/>
  <c r="D359" i="19"/>
  <c r="A359" i="19"/>
  <c r="D358" i="19"/>
  <c r="A358" i="19"/>
  <c r="D357" i="19"/>
  <c r="A357" i="19"/>
  <c r="D356" i="19"/>
  <c r="A356" i="19"/>
  <c r="D355" i="19"/>
  <c r="A355" i="19"/>
  <c r="D354" i="19"/>
  <c r="A354" i="19"/>
  <c r="D353" i="19"/>
  <c r="A353" i="19"/>
  <c r="D352" i="19"/>
  <c r="A352" i="19"/>
  <c r="D351" i="19"/>
  <c r="A351" i="19"/>
  <c r="D350" i="19"/>
  <c r="A350" i="19"/>
  <c r="D349" i="19"/>
  <c r="A349" i="19"/>
  <c r="D348" i="19"/>
  <c r="A348" i="19"/>
  <c r="D347" i="19"/>
  <c r="A347" i="19"/>
  <c r="D346" i="19"/>
  <c r="A346" i="19"/>
  <c r="D345" i="19"/>
  <c r="A345" i="19"/>
  <c r="D344" i="19"/>
  <c r="A344" i="19"/>
  <c r="D343" i="19"/>
  <c r="A343" i="19"/>
  <c r="D342" i="19"/>
  <c r="A342" i="19"/>
  <c r="D341" i="19"/>
  <c r="A341" i="19"/>
  <c r="D340" i="19"/>
  <c r="A340" i="19"/>
  <c r="D339" i="19"/>
  <c r="A339" i="19"/>
  <c r="D338" i="19"/>
  <c r="A338" i="19"/>
  <c r="D337" i="19"/>
  <c r="A337" i="19"/>
  <c r="D336" i="19"/>
  <c r="A336" i="19"/>
  <c r="D335" i="19"/>
  <c r="A335" i="19"/>
  <c r="D334" i="19"/>
  <c r="A334" i="19"/>
  <c r="D333" i="19"/>
  <c r="A333" i="19"/>
  <c r="D332" i="19"/>
  <c r="A332" i="19"/>
  <c r="D331" i="19"/>
  <c r="A331" i="19"/>
  <c r="D330" i="19"/>
  <c r="A330" i="19"/>
  <c r="D329" i="19"/>
  <c r="A329" i="19"/>
  <c r="D328" i="19"/>
  <c r="A328" i="19"/>
  <c r="D327" i="19"/>
  <c r="A327" i="19"/>
  <c r="D326" i="19"/>
  <c r="A326" i="19"/>
  <c r="D325" i="19"/>
  <c r="A325" i="19"/>
  <c r="D324" i="19"/>
  <c r="A324" i="19"/>
  <c r="D323" i="19"/>
  <c r="A323" i="19"/>
  <c r="D322" i="19"/>
  <c r="A322" i="19"/>
  <c r="D321" i="19"/>
  <c r="A321" i="19"/>
  <c r="D320" i="19"/>
  <c r="A320" i="19"/>
  <c r="D319" i="19"/>
  <c r="A319" i="19"/>
  <c r="D318" i="19"/>
  <c r="A318" i="19"/>
  <c r="D317" i="19"/>
  <c r="A317" i="19"/>
  <c r="D316" i="19"/>
  <c r="A316" i="19"/>
  <c r="D315" i="19"/>
  <c r="A315" i="19"/>
  <c r="D314" i="19"/>
  <c r="A314" i="19"/>
  <c r="D313" i="19"/>
  <c r="A313" i="19"/>
  <c r="D312" i="19"/>
  <c r="A312" i="19"/>
  <c r="D311" i="19"/>
  <c r="A311" i="19"/>
  <c r="D310" i="19"/>
  <c r="A310" i="19"/>
  <c r="D309" i="19"/>
  <c r="A309" i="19"/>
  <c r="D308" i="19"/>
  <c r="A308" i="19"/>
  <c r="D307" i="19"/>
  <c r="A307" i="19"/>
  <c r="D306" i="19"/>
  <c r="A306" i="19"/>
  <c r="D305" i="19"/>
  <c r="A305" i="19"/>
  <c r="D304" i="19"/>
  <c r="A304" i="19"/>
  <c r="D303" i="19"/>
  <c r="A303" i="19"/>
  <c r="D302" i="19"/>
  <c r="A302" i="19"/>
  <c r="D301" i="19"/>
  <c r="A301" i="19"/>
  <c r="D300" i="19"/>
  <c r="A300" i="19"/>
  <c r="D299" i="19"/>
  <c r="A299" i="19"/>
  <c r="D298" i="19"/>
  <c r="A298" i="19"/>
  <c r="D297" i="19"/>
  <c r="A297" i="19"/>
  <c r="D296" i="19"/>
  <c r="A296" i="19"/>
  <c r="D295" i="19"/>
  <c r="A295" i="19"/>
  <c r="D294" i="19"/>
  <c r="A294" i="19"/>
  <c r="D293" i="19"/>
  <c r="A293" i="19"/>
  <c r="D292" i="19"/>
  <c r="A292" i="19"/>
  <c r="D291" i="19"/>
  <c r="A291" i="19"/>
  <c r="D290" i="19"/>
  <c r="A290" i="19"/>
  <c r="D289" i="19"/>
  <c r="A289" i="19"/>
  <c r="D288" i="19"/>
  <c r="A288" i="19"/>
  <c r="D287" i="19"/>
  <c r="A287" i="19"/>
  <c r="D286" i="19"/>
  <c r="A286" i="19"/>
  <c r="D285" i="19"/>
  <c r="A285" i="19"/>
  <c r="D284" i="19"/>
  <c r="A284" i="19"/>
  <c r="D283" i="19"/>
  <c r="A283" i="19"/>
  <c r="D282" i="19"/>
  <c r="A282" i="19"/>
  <c r="D281" i="19"/>
  <c r="A281" i="19"/>
  <c r="D280" i="19"/>
  <c r="A280" i="19"/>
  <c r="D279" i="19"/>
  <c r="A279" i="19"/>
  <c r="D278" i="19"/>
  <c r="A278" i="19"/>
  <c r="D277" i="19"/>
  <c r="A277" i="19"/>
  <c r="D276" i="19"/>
  <c r="A276" i="19"/>
  <c r="D275" i="19"/>
  <c r="A275" i="19"/>
  <c r="D274" i="19"/>
  <c r="A274" i="19"/>
  <c r="D273" i="19"/>
  <c r="A273" i="19"/>
  <c r="D272" i="19"/>
  <c r="A272" i="19"/>
  <c r="D271" i="19"/>
  <c r="A271" i="19"/>
  <c r="D270" i="19"/>
  <c r="A270" i="19"/>
  <c r="D269" i="19"/>
  <c r="A269" i="19"/>
  <c r="D268" i="19"/>
  <c r="A268" i="19"/>
  <c r="D267" i="19"/>
  <c r="A267" i="19"/>
  <c r="D266" i="19"/>
  <c r="A266" i="19"/>
  <c r="D265" i="19"/>
  <c r="A265" i="19"/>
  <c r="D264" i="19"/>
  <c r="A264" i="19"/>
  <c r="D263" i="19"/>
  <c r="A263" i="19"/>
  <c r="D262" i="19"/>
  <c r="A262" i="19"/>
  <c r="D261" i="19"/>
  <c r="A261" i="19"/>
  <c r="D260" i="19"/>
  <c r="A260" i="19"/>
  <c r="D259" i="19"/>
  <c r="A259" i="19"/>
  <c r="D258" i="19"/>
  <c r="A258" i="19"/>
  <c r="D257" i="19"/>
  <c r="A257" i="19"/>
  <c r="D256" i="19"/>
  <c r="A256" i="19"/>
  <c r="D255" i="19"/>
  <c r="A255" i="19"/>
  <c r="D254" i="19"/>
  <c r="A254" i="19"/>
  <c r="D253" i="19"/>
  <c r="A253" i="19"/>
  <c r="D252" i="19"/>
  <c r="A252" i="19"/>
  <c r="D251" i="19"/>
  <c r="A251" i="19"/>
  <c r="D250" i="19"/>
  <c r="A250" i="19"/>
  <c r="D249" i="19"/>
  <c r="A249" i="19"/>
  <c r="D248" i="19"/>
  <c r="A248" i="19"/>
  <c r="D247" i="19"/>
  <c r="A247" i="19"/>
  <c r="D246" i="19"/>
  <c r="A246" i="19"/>
  <c r="D245" i="19"/>
  <c r="A245" i="19"/>
  <c r="D244" i="19"/>
  <c r="A244" i="19"/>
  <c r="D243" i="19"/>
  <c r="A243" i="19"/>
  <c r="D242" i="19"/>
  <c r="A242" i="19"/>
  <c r="D241" i="19"/>
  <c r="A241" i="19"/>
  <c r="D240" i="19"/>
  <c r="A240" i="19"/>
  <c r="D239" i="19"/>
  <c r="A239" i="19"/>
  <c r="D238" i="19"/>
  <c r="A238" i="19"/>
  <c r="D237" i="19"/>
  <c r="A237" i="19"/>
  <c r="D236" i="19"/>
  <c r="A236" i="19"/>
  <c r="D235" i="19"/>
  <c r="A235" i="19"/>
  <c r="D234" i="19"/>
  <c r="A234" i="19"/>
  <c r="D233" i="19"/>
  <c r="A233" i="19"/>
  <c r="D232" i="19"/>
  <c r="A232" i="19"/>
  <c r="D231" i="19"/>
  <c r="A231" i="19"/>
  <c r="D230" i="19"/>
  <c r="A230" i="19"/>
  <c r="D229" i="19"/>
  <c r="A229" i="19"/>
  <c r="D228" i="19"/>
  <c r="A228" i="19"/>
  <c r="D227" i="19"/>
  <c r="A227" i="19"/>
  <c r="D226" i="19"/>
  <c r="A226" i="19"/>
  <c r="D225" i="19"/>
  <c r="A225" i="19"/>
  <c r="D224" i="19"/>
  <c r="A224" i="19"/>
  <c r="D223" i="19"/>
  <c r="A223" i="19"/>
  <c r="D222" i="19"/>
  <c r="A222" i="19"/>
  <c r="D221" i="19"/>
  <c r="A221" i="19"/>
  <c r="D220" i="19"/>
  <c r="A220" i="19"/>
  <c r="D219" i="19"/>
  <c r="A219" i="19"/>
  <c r="D218" i="19"/>
  <c r="A218" i="19"/>
  <c r="D217" i="19"/>
  <c r="A217" i="19"/>
  <c r="D216" i="19"/>
  <c r="A216" i="19"/>
  <c r="D215" i="19"/>
  <c r="A215" i="19"/>
  <c r="D214" i="19"/>
  <c r="A214" i="19"/>
  <c r="D213" i="19"/>
  <c r="A213" i="19"/>
  <c r="D212" i="19"/>
  <c r="A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1" i="19"/>
  <c r="D10" i="19"/>
  <c r="D9" i="19"/>
  <c r="F8" i="19"/>
  <c r="C348" i="18"/>
  <c r="A348" i="18"/>
  <c r="C347" i="18"/>
  <c r="A347" i="18"/>
  <c r="C346" i="18"/>
  <c r="A346" i="18"/>
  <c r="C345" i="18"/>
  <c r="A345" i="18"/>
  <c r="C344" i="18"/>
  <c r="A344" i="18"/>
  <c r="C343" i="18"/>
  <c r="A343" i="18"/>
  <c r="C342" i="18"/>
  <c r="A342" i="18"/>
  <c r="C341" i="18"/>
  <c r="A341" i="18"/>
  <c r="C340" i="18"/>
  <c r="A340" i="18"/>
  <c r="C339" i="18"/>
  <c r="A339" i="18"/>
  <c r="C338" i="18"/>
  <c r="A338" i="18"/>
  <c r="C337" i="18"/>
  <c r="A337" i="18"/>
  <c r="H336" i="18"/>
  <c r="C336" i="18"/>
  <c r="A336" i="18"/>
  <c r="C335" i="18"/>
  <c r="A335" i="18"/>
  <c r="C334" i="18"/>
  <c r="A334" i="18"/>
  <c r="C333" i="18"/>
  <c r="A333" i="18"/>
  <c r="C332" i="18"/>
  <c r="A332" i="18"/>
  <c r="C331" i="18"/>
  <c r="A331" i="18"/>
  <c r="C330" i="18"/>
  <c r="A330" i="18"/>
  <c r="C329" i="18"/>
  <c r="A329" i="18"/>
  <c r="C328" i="18"/>
  <c r="A328" i="18"/>
  <c r="C327" i="18"/>
  <c r="A327" i="18"/>
  <c r="C326" i="18"/>
  <c r="A326" i="18"/>
  <c r="C325" i="18"/>
  <c r="A325" i="18"/>
  <c r="C324" i="18"/>
  <c r="A324" i="18"/>
  <c r="C323" i="18"/>
  <c r="A323" i="18"/>
  <c r="C322" i="18"/>
  <c r="A322" i="18"/>
  <c r="C321" i="18"/>
  <c r="A321" i="18"/>
  <c r="C320" i="18"/>
  <c r="A320" i="18"/>
  <c r="C319" i="18"/>
  <c r="A319" i="18"/>
  <c r="C318" i="18"/>
  <c r="A318" i="18"/>
  <c r="C317" i="18"/>
  <c r="A317" i="18"/>
  <c r="C316" i="18"/>
  <c r="A316" i="18"/>
  <c r="C315" i="18"/>
  <c r="A315" i="18"/>
  <c r="C314" i="18"/>
  <c r="A314" i="18"/>
  <c r="C313" i="18"/>
  <c r="A313" i="18"/>
  <c r="C312" i="18"/>
  <c r="A312" i="18"/>
  <c r="C311" i="18"/>
  <c r="A311" i="18"/>
  <c r="C310" i="18"/>
  <c r="A310" i="18"/>
  <c r="C309" i="18"/>
  <c r="A309" i="18"/>
  <c r="C308" i="18"/>
  <c r="A308" i="18"/>
  <c r="C307" i="18"/>
  <c r="A307" i="18"/>
  <c r="C306" i="18"/>
  <c r="A306" i="18"/>
  <c r="C305" i="18"/>
  <c r="A305" i="18"/>
  <c r="C304" i="18"/>
  <c r="A304" i="18"/>
  <c r="C303" i="18"/>
  <c r="A303" i="18"/>
  <c r="C302" i="18"/>
  <c r="A302" i="18"/>
  <c r="C301" i="18"/>
  <c r="A301" i="18"/>
  <c r="C300" i="18"/>
  <c r="A300" i="18"/>
  <c r="C299" i="18"/>
  <c r="A299" i="18"/>
  <c r="C298" i="18"/>
  <c r="A298" i="18"/>
  <c r="C297" i="18"/>
  <c r="A297" i="18"/>
  <c r="C296" i="18"/>
  <c r="A296" i="18"/>
  <c r="C295" i="18"/>
  <c r="A295" i="18"/>
  <c r="C294" i="18"/>
  <c r="A294" i="18"/>
  <c r="C293" i="18"/>
  <c r="A293" i="18"/>
  <c r="C292" i="18"/>
  <c r="A292" i="18"/>
  <c r="C291" i="18"/>
  <c r="A291" i="18"/>
  <c r="C290" i="18"/>
  <c r="A290" i="18"/>
  <c r="C289" i="18"/>
  <c r="A289" i="18"/>
  <c r="C288" i="18"/>
  <c r="A288" i="18"/>
  <c r="C287" i="18"/>
  <c r="A287" i="18"/>
  <c r="C286" i="18"/>
  <c r="A286" i="18"/>
  <c r="C285" i="18"/>
  <c r="A285" i="18"/>
  <c r="C284" i="18"/>
  <c r="A284" i="18"/>
  <c r="C283" i="18"/>
  <c r="A283" i="18"/>
  <c r="C282" i="18"/>
  <c r="A282" i="18"/>
  <c r="C281" i="18"/>
  <c r="A281" i="18"/>
  <c r="C280" i="18"/>
  <c r="A280" i="18"/>
  <c r="C279" i="18"/>
  <c r="A279" i="18"/>
  <c r="C278" i="18"/>
  <c r="A278" i="18"/>
  <c r="C277" i="18"/>
  <c r="A277" i="18"/>
  <c r="C276" i="18"/>
  <c r="A276" i="18"/>
  <c r="C275" i="18"/>
  <c r="A275" i="18"/>
  <c r="C274" i="18"/>
  <c r="A274" i="18"/>
  <c r="C273" i="18"/>
  <c r="A273" i="18"/>
  <c r="C272" i="18"/>
  <c r="A272" i="18"/>
  <c r="C271" i="18"/>
  <c r="A271" i="18"/>
  <c r="C270" i="18"/>
  <c r="A270" i="18"/>
  <c r="C269" i="18"/>
  <c r="A269" i="18"/>
  <c r="C268" i="18"/>
  <c r="A268" i="18"/>
  <c r="C267" i="18"/>
  <c r="A267" i="18"/>
  <c r="C266" i="18"/>
  <c r="A266" i="18"/>
  <c r="C265" i="18"/>
  <c r="A265" i="18"/>
  <c r="C264" i="18"/>
  <c r="A264" i="18"/>
  <c r="C263" i="18"/>
  <c r="A263" i="18"/>
  <c r="C262" i="18"/>
  <c r="A262" i="18"/>
  <c r="C261" i="18"/>
  <c r="A261" i="18"/>
  <c r="C260" i="18"/>
  <c r="A260" i="18"/>
  <c r="C259" i="18"/>
  <c r="A259" i="18"/>
  <c r="C258" i="18"/>
  <c r="A258" i="18"/>
  <c r="C257" i="18"/>
  <c r="A257" i="18"/>
  <c r="C256" i="18"/>
  <c r="A256" i="18"/>
  <c r="C255" i="18"/>
  <c r="A255" i="18"/>
  <c r="C254" i="18"/>
  <c r="A254" i="18"/>
  <c r="C253" i="18"/>
  <c r="A253" i="18"/>
  <c r="C252" i="18"/>
  <c r="A252" i="18"/>
  <c r="C251" i="18"/>
  <c r="A251" i="18"/>
  <c r="C250" i="18"/>
  <c r="A250" i="18"/>
  <c r="C249" i="18"/>
  <c r="A249" i="18"/>
  <c r="C248" i="18"/>
  <c r="A248" i="18"/>
  <c r="C247" i="18"/>
  <c r="A247" i="18"/>
  <c r="C246" i="18"/>
  <c r="A246" i="18"/>
  <c r="C245" i="18"/>
  <c r="A245" i="18"/>
  <c r="C244" i="18"/>
  <c r="A244" i="18"/>
  <c r="C243" i="18"/>
  <c r="A243" i="18"/>
  <c r="C242" i="18"/>
  <c r="A242" i="18"/>
  <c r="C241" i="18"/>
  <c r="A241" i="18"/>
  <c r="C240" i="18"/>
  <c r="A240" i="18"/>
  <c r="C239" i="18"/>
  <c r="A239" i="18"/>
  <c r="C238" i="18"/>
  <c r="A238" i="18"/>
  <c r="C237" i="18"/>
  <c r="A237" i="18"/>
  <c r="C236" i="18"/>
  <c r="A236" i="18"/>
  <c r="C235" i="18"/>
  <c r="A235" i="18"/>
  <c r="C234" i="18"/>
  <c r="A234" i="18"/>
  <c r="C233" i="18"/>
  <c r="A233" i="18"/>
  <c r="C232" i="18"/>
  <c r="A232" i="18"/>
  <c r="C231" i="18"/>
  <c r="A231" i="18"/>
  <c r="C230" i="18"/>
  <c r="A230" i="18"/>
  <c r="C229" i="18"/>
  <c r="A229" i="18"/>
  <c r="C228" i="18"/>
  <c r="A228" i="18"/>
  <c r="C227" i="18"/>
  <c r="A227" i="18"/>
  <c r="C226" i="18"/>
  <c r="A226" i="18"/>
  <c r="C225" i="18"/>
  <c r="A225" i="18"/>
  <c r="C224" i="18"/>
  <c r="A224" i="18"/>
  <c r="C223" i="18"/>
  <c r="A223" i="18"/>
  <c r="C222" i="18"/>
  <c r="A222" i="18"/>
  <c r="F221" i="18"/>
  <c r="E221" i="18"/>
  <c r="D221" i="18"/>
  <c r="A221" i="18"/>
  <c r="F220" i="18"/>
  <c r="E220" i="18"/>
  <c r="D220" i="18"/>
  <c r="A220" i="18"/>
  <c r="F219" i="18"/>
  <c r="E219" i="18"/>
  <c r="D219" i="18"/>
  <c r="A219" i="18"/>
  <c r="F218" i="18"/>
  <c r="E218" i="18"/>
  <c r="D218" i="18"/>
  <c r="A218" i="18"/>
  <c r="F217" i="18"/>
  <c r="E217" i="18"/>
  <c r="D217" i="18"/>
  <c r="A217" i="18"/>
  <c r="F216" i="18"/>
  <c r="E216" i="18"/>
  <c r="D216" i="18"/>
  <c r="A216" i="18"/>
  <c r="F215" i="18"/>
  <c r="E215" i="18"/>
  <c r="D215" i="18"/>
  <c r="A215" i="18"/>
  <c r="F214" i="18"/>
  <c r="E214" i="18"/>
  <c r="D214" i="18"/>
  <c r="A214" i="18"/>
  <c r="F213" i="18"/>
  <c r="E213" i="18"/>
  <c r="D213" i="18"/>
  <c r="A213" i="18"/>
  <c r="F212" i="18"/>
  <c r="E212" i="18"/>
  <c r="D212" i="18"/>
  <c r="A212" i="18"/>
  <c r="F211" i="18"/>
  <c r="E211" i="18"/>
  <c r="D211" i="18"/>
  <c r="A211" i="18"/>
  <c r="F210" i="18"/>
  <c r="E210" i="18"/>
  <c r="D210" i="18"/>
  <c r="A210" i="18"/>
  <c r="F209" i="18"/>
  <c r="E209" i="18"/>
  <c r="D209" i="18"/>
  <c r="A209" i="18"/>
  <c r="F208" i="18"/>
  <c r="E208" i="18"/>
  <c r="D208" i="18"/>
  <c r="A208" i="18"/>
  <c r="F207" i="18"/>
  <c r="E207" i="18"/>
  <c r="D207" i="18"/>
  <c r="A207" i="18"/>
  <c r="F206" i="18"/>
  <c r="E206" i="18"/>
  <c r="D206" i="18"/>
  <c r="A206" i="18"/>
  <c r="F205" i="18"/>
  <c r="E205" i="18"/>
  <c r="D205" i="18"/>
  <c r="A205" i="18"/>
  <c r="F204" i="18"/>
  <c r="E204" i="18"/>
  <c r="D204" i="18"/>
  <c r="A204" i="18"/>
  <c r="F203" i="18"/>
  <c r="E203" i="18"/>
  <c r="D203" i="18"/>
  <c r="A203" i="18"/>
  <c r="F202" i="18"/>
  <c r="E202" i="18"/>
  <c r="D202" i="18"/>
  <c r="A202" i="18"/>
  <c r="F201" i="18"/>
  <c r="E201" i="18"/>
  <c r="D201" i="18"/>
  <c r="A201" i="18"/>
  <c r="F200" i="18"/>
  <c r="E200" i="18"/>
  <c r="D200" i="18"/>
  <c r="A200" i="18"/>
  <c r="F199" i="18"/>
  <c r="E199" i="18"/>
  <c r="D199" i="18"/>
  <c r="A199" i="18"/>
  <c r="F198" i="18"/>
  <c r="E198" i="18"/>
  <c r="D198" i="18"/>
  <c r="A198" i="18"/>
  <c r="F197" i="18"/>
  <c r="E197" i="18"/>
  <c r="D197" i="18"/>
  <c r="A197" i="18"/>
  <c r="F196" i="18"/>
  <c r="E196" i="18"/>
  <c r="D196" i="18"/>
  <c r="A196" i="18"/>
  <c r="F195" i="18"/>
  <c r="E195" i="18"/>
  <c r="D195" i="18"/>
  <c r="A195" i="18"/>
  <c r="F194" i="18"/>
  <c r="E194" i="18"/>
  <c r="D194" i="18"/>
  <c r="A194" i="18"/>
  <c r="F193" i="18"/>
  <c r="E193" i="18"/>
  <c r="D193" i="18"/>
  <c r="A193" i="18"/>
  <c r="F192" i="18"/>
  <c r="E192" i="18"/>
  <c r="D192" i="18"/>
  <c r="A192" i="18"/>
  <c r="F191" i="18"/>
  <c r="E191" i="18"/>
  <c r="D191" i="18"/>
  <c r="F190" i="18"/>
  <c r="E190" i="18"/>
  <c r="D190" i="18"/>
  <c r="F189" i="18"/>
  <c r="E189" i="18"/>
  <c r="D189" i="18"/>
  <c r="F188" i="18"/>
  <c r="E188" i="18"/>
  <c r="D188" i="18"/>
  <c r="F187" i="18"/>
  <c r="E187" i="18"/>
  <c r="D187" i="18"/>
  <c r="F186" i="18"/>
  <c r="E186" i="18"/>
  <c r="D186" i="18"/>
  <c r="F185" i="18"/>
  <c r="E185" i="18"/>
  <c r="D185" i="18"/>
  <c r="F184" i="18"/>
  <c r="E184" i="18"/>
  <c r="D184" i="18"/>
  <c r="F183" i="18"/>
  <c r="E183" i="18"/>
  <c r="D183" i="18"/>
  <c r="F182" i="18"/>
  <c r="E182" i="18"/>
  <c r="D182" i="18"/>
  <c r="F181" i="18"/>
  <c r="E181" i="18"/>
  <c r="D181" i="18"/>
  <c r="F180" i="18"/>
  <c r="E180" i="18"/>
  <c r="D180" i="18"/>
  <c r="F179" i="18"/>
  <c r="E179" i="18"/>
  <c r="D179" i="18"/>
  <c r="F178" i="18"/>
  <c r="E178" i="18"/>
  <c r="D178" i="18"/>
  <c r="F177" i="18"/>
  <c r="E177" i="18"/>
  <c r="D177" i="18"/>
  <c r="F176" i="18"/>
  <c r="E176" i="18"/>
  <c r="D176" i="18"/>
  <c r="F175" i="18"/>
  <c r="E175" i="18"/>
  <c r="D175" i="18"/>
  <c r="F174" i="18"/>
  <c r="E174" i="18"/>
  <c r="D174" i="18"/>
  <c r="F173" i="18"/>
  <c r="E173" i="18"/>
  <c r="D173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6" i="18"/>
  <c r="E14" i="18"/>
  <c r="F12" i="18"/>
  <c r="E12" i="18"/>
  <c r="F10" i="18"/>
  <c r="E10" i="18"/>
  <c r="D346" i="17"/>
  <c r="A346" i="17"/>
  <c r="D345" i="17"/>
  <c r="A345" i="17"/>
  <c r="D344" i="17"/>
  <c r="A344" i="17"/>
  <c r="D343" i="17"/>
  <c r="A343" i="17"/>
  <c r="D342" i="17"/>
  <c r="A342" i="17"/>
  <c r="D341" i="17"/>
  <c r="A341" i="17"/>
  <c r="D340" i="17"/>
  <c r="A340" i="17"/>
  <c r="D339" i="17"/>
  <c r="A339" i="17"/>
  <c r="D338" i="17"/>
  <c r="A338" i="17"/>
  <c r="D337" i="17"/>
  <c r="A337" i="17"/>
  <c r="D336" i="17"/>
  <c r="A336" i="17"/>
  <c r="D335" i="17"/>
  <c r="A335" i="17"/>
  <c r="D334" i="17"/>
  <c r="A334" i="17"/>
  <c r="D333" i="17"/>
  <c r="A333" i="17"/>
  <c r="D332" i="17"/>
  <c r="A332" i="17"/>
  <c r="D331" i="17"/>
  <c r="A331" i="17"/>
  <c r="D330" i="17"/>
  <c r="A330" i="17"/>
  <c r="D329" i="17"/>
  <c r="A329" i="17"/>
  <c r="D328" i="17"/>
  <c r="A328" i="17"/>
  <c r="D327" i="17"/>
  <c r="A327" i="17"/>
  <c r="D326" i="17"/>
  <c r="A326" i="17"/>
  <c r="D325" i="17"/>
  <c r="A325" i="17"/>
  <c r="D324" i="17"/>
  <c r="A324" i="17"/>
  <c r="D323" i="17"/>
  <c r="A323" i="17"/>
  <c r="D322" i="17"/>
  <c r="A322" i="17"/>
  <c r="D321" i="17"/>
  <c r="A321" i="17"/>
  <c r="D320" i="17"/>
  <c r="A320" i="17"/>
  <c r="D319" i="17"/>
  <c r="A319" i="17"/>
  <c r="D318" i="17"/>
  <c r="A318" i="17"/>
  <c r="D317" i="17"/>
  <c r="A317" i="17"/>
  <c r="D316" i="17"/>
  <c r="A316" i="17"/>
  <c r="D315" i="17"/>
  <c r="A315" i="17"/>
  <c r="D314" i="17"/>
  <c r="A314" i="17"/>
  <c r="D313" i="17"/>
  <c r="A313" i="17"/>
  <c r="D312" i="17"/>
  <c r="A312" i="17"/>
  <c r="D311" i="17"/>
  <c r="A311" i="17"/>
  <c r="D310" i="17"/>
  <c r="A310" i="17"/>
  <c r="D309" i="17"/>
  <c r="A309" i="17"/>
  <c r="D308" i="17"/>
  <c r="A308" i="17"/>
  <c r="D307" i="17"/>
  <c r="A307" i="17"/>
  <c r="D306" i="17"/>
  <c r="A306" i="17"/>
  <c r="D305" i="17"/>
  <c r="A305" i="17"/>
  <c r="D304" i="17"/>
  <c r="A304" i="17"/>
  <c r="D303" i="17"/>
  <c r="A303" i="17"/>
  <c r="D302" i="17"/>
  <c r="A302" i="17"/>
  <c r="D301" i="17"/>
  <c r="A301" i="17"/>
  <c r="D300" i="17"/>
  <c r="A300" i="17"/>
  <c r="D299" i="17"/>
  <c r="A299" i="17"/>
  <c r="D298" i="17"/>
  <c r="A298" i="17"/>
  <c r="D297" i="17"/>
  <c r="A297" i="17"/>
  <c r="D296" i="17"/>
  <c r="A296" i="17"/>
  <c r="D295" i="17"/>
  <c r="A295" i="17"/>
  <c r="D294" i="17"/>
  <c r="A294" i="17"/>
  <c r="D293" i="17"/>
  <c r="A293" i="17"/>
  <c r="D292" i="17"/>
  <c r="A292" i="17"/>
  <c r="D291" i="17"/>
  <c r="A291" i="17"/>
  <c r="D290" i="17"/>
  <c r="A290" i="17"/>
  <c r="D289" i="17"/>
  <c r="A289" i="17"/>
  <c r="D288" i="17"/>
  <c r="A288" i="17"/>
  <c r="D287" i="17"/>
  <c r="A287" i="17"/>
  <c r="D286" i="17"/>
  <c r="A286" i="17"/>
  <c r="D285" i="17"/>
  <c r="A285" i="17"/>
  <c r="D284" i="17"/>
  <c r="A284" i="17"/>
  <c r="D283" i="17"/>
  <c r="A283" i="17"/>
  <c r="D282" i="17"/>
  <c r="A282" i="17"/>
  <c r="D281" i="17"/>
  <c r="A281" i="17"/>
  <c r="D280" i="17"/>
  <c r="A280" i="17"/>
  <c r="D279" i="17"/>
  <c r="A279" i="17"/>
  <c r="D278" i="17"/>
  <c r="A278" i="17"/>
  <c r="D277" i="17"/>
  <c r="A277" i="17"/>
  <c r="D276" i="17"/>
  <c r="A276" i="17"/>
  <c r="D275" i="17"/>
  <c r="A275" i="17"/>
  <c r="D274" i="17"/>
  <c r="A274" i="17"/>
  <c r="D273" i="17"/>
  <c r="A273" i="17"/>
  <c r="D272" i="17"/>
  <c r="A272" i="17"/>
  <c r="D271" i="17"/>
  <c r="A271" i="17"/>
  <c r="D270" i="17"/>
  <c r="A270" i="17"/>
  <c r="D269" i="17"/>
  <c r="A269" i="17"/>
  <c r="D268" i="17"/>
  <c r="A268" i="17"/>
  <c r="D267" i="17"/>
  <c r="A267" i="17"/>
  <c r="D266" i="17"/>
  <c r="A266" i="17"/>
  <c r="D265" i="17"/>
  <c r="A265" i="17"/>
  <c r="D264" i="17"/>
  <c r="A264" i="17"/>
  <c r="D263" i="17"/>
  <c r="A263" i="17"/>
  <c r="D262" i="17"/>
  <c r="A262" i="17"/>
  <c r="D261" i="17"/>
  <c r="A261" i="17"/>
  <c r="D260" i="17"/>
  <c r="A260" i="17"/>
  <c r="D259" i="17"/>
  <c r="A259" i="17"/>
  <c r="D258" i="17"/>
  <c r="A258" i="17"/>
  <c r="D257" i="17"/>
  <c r="A257" i="17"/>
  <c r="D256" i="17"/>
  <c r="A256" i="17"/>
  <c r="D255" i="17"/>
  <c r="A255" i="17"/>
  <c r="D254" i="17"/>
  <c r="A254" i="17"/>
  <c r="D253" i="17"/>
  <c r="A253" i="17"/>
  <c r="D252" i="17"/>
  <c r="A252" i="17"/>
  <c r="D251" i="17"/>
  <c r="A251" i="17"/>
  <c r="D250" i="17"/>
  <c r="A250" i="17"/>
  <c r="D249" i="17"/>
  <c r="A249" i="17"/>
  <c r="D248" i="17"/>
  <c r="A248" i="17"/>
  <c r="D247" i="17"/>
  <c r="A247" i="17"/>
  <c r="D246" i="17"/>
  <c r="A246" i="17"/>
  <c r="D245" i="17"/>
  <c r="A245" i="17"/>
  <c r="D244" i="17"/>
  <c r="A244" i="17"/>
  <c r="D243" i="17"/>
  <c r="A243" i="17"/>
  <c r="D242" i="17"/>
  <c r="A242" i="17"/>
  <c r="D241" i="17"/>
  <c r="A241" i="17"/>
  <c r="D240" i="17"/>
  <c r="A240" i="17"/>
  <c r="D239" i="17"/>
  <c r="A239" i="17"/>
  <c r="D238" i="17"/>
  <c r="A238" i="17"/>
  <c r="D237" i="17"/>
  <c r="A237" i="17"/>
  <c r="D236" i="17"/>
  <c r="A236" i="17"/>
  <c r="D235" i="17"/>
  <c r="A235" i="17"/>
  <c r="D234" i="17"/>
  <c r="A234" i="17"/>
  <c r="D233" i="17"/>
  <c r="A233" i="17"/>
  <c r="D232" i="17"/>
  <c r="A232" i="17"/>
  <c r="D231" i="17"/>
  <c r="A231" i="17"/>
  <c r="D230" i="17"/>
  <c r="A230" i="17"/>
  <c r="D229" i="17"/>
  <c r="A229" i="17"/>
  <c r="D228" i="17"/>
  <c r="A228" i="17"/>
  <c r="D227" i="17"/>
  <c r="A227" i="17"/>
  <c r="D226" i="17"/>
  <c r="A226" i="17"/>
  <c r="D225" i="17"/>
  <c r="A225" i="17"/>
  <c r="D224" i="17"/>
  <c r="A224" i="17"/>
  <c r="D223" i="17"/>
  <c r="A223" i="17"/>
  <c r="D222" i="17"/>
  <c r="A222" i="17"/>
  <c r="D221" i="17"/>
  <c r="A221" i="17"/>
  <c r="D220" i="17"/>
  <c r="A220" i="17"/>
  <c r="D219" i="17"/>
  <c r="A219" i="17"/>
  <c r="D218" i="17"/>
  <c r="A218" i="17"/>
  <c r="D217" i="17"/>
  <c r="A217" i="17"/>
  <c r="D216" i="17"/>
  <c r="A216" i="17"/>
  <c r="D215" i="17"/>
  <c r="A215" i="17"/>
  <c r="D214" i="17"/>
  <c r="A214" i="17"/>
  <c r="D213" i="17"/>
  <c r="A213" i="17"/>
  <c r="D212" i="17"/>
  <c r="A212" i="17"/>
  <c r="D211" i="17"/>
  <c r="A211" i="17"/>
  <c r="D210" i="17"/>
  <c r="A210" i="17"/>
  <c r="D209" i="17"/>
  <c r="A209" i="17"/>
  <c r="D208" i="17"/>
  <c r="A208" i="17"/>
  <c r="D207" i="17"/>
  <c r="A207" i="17"/>
  <c r="D206" i="17"/>
  <c r="A206" i="17"/>
  <c r="D205" i="17"/>
  <c r="A205" i="17"/>
  <c r="D204" i="17"/>
  <c r="A204" i="17"/>
  <c r="D203" i="17"/>
  <c r="A203" i="17"/>
  <c r="D202" i="17"/>
  <c r="A202" i="17"/>
  <c r="D201" i="17"/>
  <c r="A201" i="17"/>
  <c r="D200" i="17"/>
  <c r="A200" i="17"/>
  <c r="D199" i="17"/>
  <c r="A199" i="17"/>
  <c r="D198" i="17"/>
  <c r="A198" i="17"/>
  <c r="D197" i="17"/>
  <c r="A197" i="17"/>
  <c r="D196" i="17"/>
  <c r="A196" i="17"/>
  <c r="D195" i="17"/>
  <c r="A195" i="17"/>
  <c r="D194" i="17"/>
  <c r="A194" i="17"/>
  <c r="D193" i="17"/>
  <c r="A193" i="17"/>
  <c r="D192" i="17"/>
  <c r="A192" i="17"/>
  <c r="D191" i="17"/>
  <c r="A191" i="17"/>
  <c r="D190" i="17"/>
  <c r="A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7" i="17"/>
  <c r="D26" i="17"/>
  <c r="D25" i="17"/>
  <c r="D24" i="17"/>
  <c r="D23" i="17"/>
  <c r="D22" i="17"/>
  <c r="D21" i="17"/>
  <c r="D20" i="17"/>
  <c r="D19" i="17"/>
  <c r="D18" i="17"/>
  <c r="D14" i="17"/>
  <c r="D12" i="17"/>
  <c r="D10" i="17"/>
  <c r="D8" i="17"/>
  <c r="L47" i="16"/>
  <c r="K47" i="16"/>
  <c r="J47" i="16"/>
  <c r="I47" i="16"/>
  <c r="H47" i="16"/>
  <c r="G47" i="16"/>
  <c r="F47" i="16"/>
  <c r="E47" i="16"/>
  <c r="D47" i="16"/>
  <c r="C47" i="16"/>
  <c r="B47" i="16"/>
  <c r="L46" i="16"/>
  <c r="K46" i="16"/>
  <c r="J46" i="16"/>
  <c r="I46" i="16"/>
  <c r="H46" i="16"/>
  <c r="G46" i="16"/>
  <c r="F46" i="16"/>
  <c r="E46" i="16"/>
  <c r="D46" i="16"/>
  <c r="C46" i="16"/>
  <c r="B46" i="16"/>
  <c r="L45" i="16"/>
  <c r="K45" i="16"/>
  <c r="J45" i="16"/>
  <c r="I45" i="16"/>
  <c r="H45" i="16"/>
  <c r="G45" i="16"/>
  <c r="F45" i="16"/>
  <c r="E45" i="16"/>
  <c r="D45" i="16"/>
  <c r="C45" i="16"/>
  <c r="B45" i="16"/>
  <c r="L44" i="16"/>
  <c r="K44" i="16"/>
  <c r="J44" i="16"/>
  <c r="I44" i="16"/>
  <c r="H44" i="16"/>
  <c r="G44" i="16"/>
  <c r="F44" i="16"/>
  <c r="E44" i="16"/>
  <c r="D44" i="16"/>
  <c r="C44" i="16"/>
  <c r="B44" i="16"/>
  <c r="L43" i="16"/>
  <c r="K43" i="16"/>
  <c r="J43" i="16"/>
  <c r="I43" i="16"/>
  <c r="H43" i="16"/>
  <c r="G43" i="16"/>
  <c r="F43" i="16"/>
  <c r="E43" i="16"/>
  <c r="D43" i="16"/>
  <c r="C43" i="16"/>
  <c r="B43" i="16"/>
  <c r="L42" i="16"/>
  <c r="K42" i="16"/>
  <c r="J42" i="16"/>
  <c r="I42" i="16"/>
  <c r="H42" i="16"/>
  <c r="G42" i="16"/>
  <c r="F42" i="16"/>
  <c r="E42" i="16"/>
  <c r="D42" i="16"/>
  <c r="C42" i="16"/>
  <c r="B42" i="16"/>
  <c r="L41" i="16"/>
  <c r="K41" i="16"/>
  <c r="J41" i="16"/>
  <c r="I41" i="16"/>
  <c r="H41" i="16"/>
  <c r="G41" i="16"/>
  <c r="F41" i="16"/>
  <c r="E41" i="16"/>
  <c r="D41" i="16"/>
  <c r="C41" i="16"/>
  <c r="B41" i="16"/>
  <c r="L40" i="16"/>
  <c r="K40" i="16"/>
  <c r="J40" i="16"/>
  <c r="I40" i="16"/>
  <c r="H40" i="16"/>
  <c r="G40" i="16"/>
  <c r="F40" i="16"/>
  <c r="E40" i="16"/>
  <c r="D40" i="16"/>
  <c r="C40" i="16"/>
  <c r="B40" i="16"/>
  <c r="L39" i="16"/>
  <c r="K39" i="16"/>
  <c r="J39" i="16"/>
  <c r="I39" i="16"/>
  <c r="H39" i="16"/>
  <c r="G39" i="16"/>
  <c r="F39" i="16"/>
  <c r="E39" i="16"/>
  <c r="D39" i="16"/>
  <c r="C39" i="16"/>
  <c r="B39" i="16"/>
  <c r="L38" i="16"/>
  <c r="K38" i="16"/>
  <c r="J38" i="16"/>
  <c r="I38" i="16"/>
  <c r="H38" i="16"/>
  <c r="G38" i="16"/>
  <c r="F38" i="16"/>
  <c r="E38" i="16"/>
  <c r="D38" i="16"/>
  <c r="C38" i="16"/>
  <c r="B38" i="16"/>
  <c r="L37" i="16"/>
  <c r="M37" i="16" s="1"/>
  <c r="K37" i="16"/>
  <c r="J37" i="16"/>
  <c r="I37" i="16"/>
  <c r="H37" i="16"/>
  <c r="G37" i="16"/>
  <c r="F37" i="16"/>
  <c r="E37" i="16"/>
  <c r="D37" i="16"/>
  <c r="C37" i="16"/>
  <c r="B37" i="16"/>
  <c r="L36" i="16"/>
  <c r="K36" i="16"/>
  <c r="J36" i="16"/>
  <c r="I36" i="16"/>
  <c r="H36" i="16"/>
  <c r="G36" i="16"/>
  <c r="F36" i="16"/>
  <c r="E36" i="16"/>
  <c r="D36" i="16"/>
  <c r="C36" i="16"/>
  <c r="B36" i="16"/>
  <c r="D352" i="15"/>
  <c r="A352" i="15"/>
  <c r="D351" i="15"/>
  <c r="A351" i="15"/>
  <c r="D350" i="15"/>
  <c r="A350" i="15"/>
  <c r="D349" i="15"/>
  <c r="A349" i="15"/>
  <c r="D348" i="15"/>
  <c r="A348" i="15"/>
  <c r="D347" i="15"/>
  <c r="A347" i="15"/>
  <c r="D346" i="15"/>
  <c r="A346" i="15"/>
  <c r="D345" i="15"/>
  <c r="A345" i="15"/>
  <c r="D344" i="15"/>
  <c r="A344" i="15"/>
  <c r="D343" i="15"/>
  <c r="A343" i="15"/>
  <c r="D342" i="15"/>
  <c r="A342" i="15"/>
  <c r="D341" i="15"/>
  <c r="A341" i="15"/>
  <c r="D340" i="15"/>
  <c r="A340" i="15"/>
  <c r="D339" i="15"/>
  <c r="A339" i="15"/>
  <c r="D338" i="15"/>
  <c r="A338" i="15"/>
  <c r="D337" i="15"/>
  <c r="A337" i="15"/>
  <c r="D336" i="15"/>
  <c r="A336" i="15"/>
  <c r="D335" i="15"/>
  <c r="A335" i="15"/>
  <c r="D334" i="15"/>
  <c r="A334" i="15"/>
  <c r="D333" i="15"/>
  <c r="A333" i="15"/>
  <c r="D332" i="15"/>
  <c r="A332" i="15"/>
  <c r="D331" i="15"/>
  <c r="A331" i="15"/>
  <c r="D330" i="15"/>
  <c r="A330" i="15"/>
  <c r="D329" i="15"/>
  <c r="A329" i="15"/>
  <c r="D328" i="15"/>
  <c r="A328" i="15"/>
  <c r="D327" i="15"/>
  <c r="A327" i="15"/>
  <c r="D326" i="15"/>
  <c r="A326" i="15"/>
  <c r="D325" i="15"/>
  <c r="A325" i="15"/>
  <c r="D324" i="15"/>
  <c r="A324" i="15"/>
  <c r="D323" i="15"/>
  <c r="A323" i="15"/>
  <c r="D322" i="15"/>
  <c r="A322" i="15"/>
  <c r="D321" i="15"/>
  <c r="A321" i="15"/>
  <c r="D320" i="15"/>
  <c r="A320" i="15"/>
  <c r="D319" i="15"/>
  <c r="A319" i="15"/>
  <c r="D318" i="15"/>
  <c r="A318" i="15"/>
  <c r="D317" i="15"/>
  <c r="A317" i="15"/>
  <c r="D316" i="15"/>
  <c r="A316" i="15"/>
  <c r="D315" i="15"/>
  <c r="A315" i="15"/>
  <c r="D314" i="15"/>
  <c r="A314" i="15"/>
  <c r="D313" i="15"/>
  <c r="A313" i="15"/>
  <c r="D312" i="15"/>
  <c r="A312" i="15"/>
  <c r="D311" i="15"/>
  <c r="A311" i="15"/>
  <c r="D310" i="15"/>
  <c r="A310" i="15"/>
  <c r="D309" i="15"/>
  <c r="A309" i="15"/>
  <c r="D308" i="15"/>
  <c r="A308" i="15"/>
  <c r="D307" i="15"/>
  <c r="A307" i="15"/>
  <c r="D306" i="15"/>
  <c r="A306" i="15"/>
  <c r="D305" i="15"/>
  <c r="A305" i="15"/>
  <c r="D304" i="15"/>
  <c r="A304" i="15"/>
  <c r="D303" i="15"/>
  <c r="A303" i="15"/>
  <c r="D302" i="15"/>
  <c r="A302" i="15"/>
  <c r="D301" i="15"/>
  <c r="A301" i="15"/>
  <c r="D300" i="15"/>
  <c r="A300" i="15"/>
  <c r="D299" i="15"/>
  <c r="A299" i="15"/>
  <c r="D298" i="15"/>
  <c r="A298" i="15"/>
  <c r="D297" i="15"/>
  <c r="A297" i="15"/>
  <c r="D296" i="15"/>
  <c r="A296" i="15"/>
  <c r="D295" i="15"/>
  <c r="A295" i="15"/>
  <c r="D294" i="15"/>
  <c r="A294" i="15"/>
  <c r="D293" i="15"/>
  <c r="A293" i="15"/>
  <c r="D292" i="15"/>
  <c r="A292" i="15"/>
  <c r="D291" i="15"/>
  <c r="A291" i="15"/>
  <c r="D290" i="15"/>
  <c r="A290" i="15"/>
  <c r="D289" i="15"/>
  <c r="A289" i="15"/>
  <c r="D288" i="15"/>
  <c r="A288" i="15"/>
  <c r="D287" i="15"/>
  <c r="A287" i="15"/>
  <c r="D286" i="15"/>
  <c r="A286" i="15"/>
  <c r="D285" i="15"/>
  <c r="A285" i="15"/>
  <c r="D284" i="15"/>
  <c r="A284" i="15"/>
  <c r="D283" i="15"/>
  <c r="A283" i="15"/>
  <c r="D282" i="15"/>
  <c r="A282" i="15"/>
  <c r="D281" i="15"/>
  <c r="A281" i="15"/>
  <c r="D280" i="15"/>
  <c r="A280" i="15"/>
  <c r="D279" i="15"/>
  <c r="A279" i="15"/>
  <c r="D278" i="15"/>
  <c r="A278" i="15"/>
  <c r="D277" i="15"/>
  <c r="A277" i="15"/>
  <c r="D276" i="15"/>
  <c r="A276" i="15"/>
  <c r="D275" i="15"/>
  <c r="A275" i="15"/>
  <c r="D274" i="15"/>
  <c r="A274" i="15"/>
  <c r="D273" i="15"/>
  <c r="A273" i="15"/>
  <c r="D272" i="15"/>
  <c r="A272" i="15"/>
  <c r="D271" i="15"/>
  <c r="A271" i="15"/>
  <c r="D270" i="15"/>
  <c r="A270" i="15"/>
  <c r="D269" i="15"/>
  <c r="A269" i="15"/>
  <c r="D268" i="15"/>
  <c r="A268" i="15"/>
  <c r="D267" i="15"/>
  <c r="A267" i="15"/>
  <c r="D266" i="15"/>
  <c r="A266" i="15"/>
  <c r="D265" i="15"/>
  <c r="A265" i="15"/>
  <c r="D264" i="15"/>
  <c r="A264" i="15"/>
  <c r="D263" i="15"/>
  <c r="A263" i="15"/>
  <c r="D262" i="15"/>
  <c r="A262" i="15"/>
  <c r="D261" i="15"/>
  <c r="A261" i="15"/>
  <c r="D260" i="15"/>
  <c r="A260" i="15"/>
  <c r="D259" i="15"/>
  <c r="A259" i="15"/>
  <c r="D258" i="15"/>
  <c r="A258" i="15"/>
  <c r="D257" i="15"/>
  <c r="A257" i="15"/>
  <c r="D256" i="15"/>
  <c r="A256" i="15"/>
  <c r="D255" i="15"/>
  <c r="A255" i="15"/>
  <c r="D254" i="15"/>
  <c r="A254" i="15"/>
  <c r="D253" i="15"/>
  <c r="A253" i="15"/>
  <c r="D252" i="15"/>
  <c r="A252" i="15"/>
  <c r="D251" i="15"/>
  <c r="A251" i="15"/>
  <c r="D250" i="15"/>
  <c r="A250" i="15"/>
  <c r="D249" i="15"/>
  <c r="A249" i="15"/>
  <c r="D248" i="15"/>
  <c r="A248" i="15"/>
  <c r="D247" i="15"/>
  <c r="A247" i="15"/>
  <c r="D246" i="15"/>
  <c r="A246" i="15"/>
  <c r="D245" i="15"/>
  <c r="A245" i="15"/>
  <c r="D244" i="15"/>
  <c r="A244" i="15"/>
  <c r="D243" i="15"/>
  <c r="A243" i="15"/>
  <c r="D242" i="15"/>
  <c r="A242" i="15"/>
  <c r="D241" i="15"/>
  <c r="A241" i="15"/>
  <c r="D240" i="15"/>
  <c r="A240" i="15"/>
  <c r="D239" i="15"/>
  <c r="A239" i="15"/>
  <c r="D238" i="15"/>
  <c r="A238" i="15"/>
  <c r="D237" i="15"/>
  <c r="A237" i="15"/>
  <c r="D236" i="15"/>
  <c r="A236" i="15"/>
  <c r="D235" i="15"/>
  <c r="A235" i="15"/>
  <c r="D234" i="15"/>
  <c r="A234" i="15"/>
  <c r="D233" i="15"/>
  <c r="A233" i="15"/>
  <c r="D232" i="15"/>
  <c r="A232" i="15"/>
  <c r="D231" i="15"/>
  <c r="A231" i="15"/>
  <c r="D230" i="15"/>
  <c r="A230" i="15"/>
  <c r="D229" i="15"/>
  <c r="A229" i="15"/>
  <c r="D228" i="15"/>
  <c r="A228" i="15"/>
  <c r="D227" i="15"/>
  <c r="A227" i="15"/>
  <c r="D226" i="15"/>
  <c r="A226" i="15"/>
  <c r="D225" i="15"/>
  <c r="A225" i="15"/>
  <c r="D224" i="15"/>
  <c r="A224" i="15"/>
  <c r="D223" i="15"/>
  <c r="A223" i="15"/>
  <c r="D222" i="15"/>
  <c r="A222" i="15"/>
  <c r="D221" i="15"/>
  <c r="A221" i="15"/>
  <c r="D220" i="15"/>
  <c r="A220" i="15"/>
  <c r="D219" i="15"/>
  <c r="A219" i="15"/>
  <c r="D218" i="15"/>
  <c r="A218" i="15"/>
  <c r="D217" i="15"/>
  <c r="A217" i="15"/>
  <c r="D216" i="15"/>
  <c r="A216" i="15"/>
  <c r="D215" i="15"/>
  <c r="A215" i="15"/>
  <c r="D214" i="15"/>
  <c r="A214" i="15"/>
  <c r="D213" i="15"/>
  <c r="A213" i="15"/>
  <c r="D212" i="15"/>
  <c r="A212" i="15"/>
  <c r="D211" i="15"/>
  <c r="A211" i="15"/>
  <c r="D210" i="15"/>
  <c r="A210" i="15"/>
  <c r="D209" i="15"/>
  <c r="A209" i="15"/>
  <c r="D208" i="15"/>
  <c r="A208" i="15"/>
  <c r="D207" i="15"/>
  <c r="A207" i="15"/>
  <c r="D206" i="15"/>
  <c r="A206" i="15"/>
  <c r="D205" i="15"/>
  <c r="A205" i="15"/>
  <c r="D204" i="15"/>
  <c r="A204" i="15"/>
  <c r="D203" i="15"/>
  <c r="A203" i="15"/>
  <c r="D202" i="15"/>
  <c r="A202" i="15"/>
  <c r="D201" i="15"/>
  <c r="A201" i="15"/>
  <c r="D200" i="15"/>
  <c r="A200" i="15"/>
  <c r="D199" i="15"/>
  <c r="A199" i="15"/>
  <c r="D198" i="15"/>
  <c r="A198" i="15"/>
  <c r="D197" i="15"/>
  <c r="A197" i="15"/>
  <c r="D196" i="15"/>
  <c r="A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4" i="15"/>
  <c r="C9" i="15"/>
  <c r="C7" i="15"/>
  <c r="C5" i="15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C8" i="13" s="1"/>
  <c r="B22" i="12"/>
  <c r="D22" i="12" s="1"/>
  <c r="E20" i="12"/>
  <c r="D20" i="12"/>
  <c r="C20" i="12"/>
  <c r="E19" i="12"/>
  <c r="D19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C8" i="10"/>
  <c r="C9" i="10" s="1"/>
  <c r="C10" i="10" s="1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C76" i="9"/>
  <c r="C77" i="9" s="1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E52" i="9"/>
  <c r="D52" i="9"/>
  <c r="E51" i="9"/>
  <c r="D51" i="9"/>
  <c r="E50" i="9"/>
  <c r="D50" i="9"/>
  <c r="E49" i="9"/>
  <c r="D49" i="9"/>
  <c r="E48" i="9"/>
  <c r="D48" i="9"/>
  <c r="F47" i="9"/>
  <c r="E47" i="9"/>
  <c r="C44" i="9"/>
  <c r="F43" i="9"/>
  <c r="E43" i="9"/>
  <c r="C36" i="9"/>
  <c r="C37" i="9" s="1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C76" i="8"/>
  <c r="F76" i="8" s="1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F54" i="8"/>
  <c r="E54" i="8"/>
  <c r="D54" i="8"/>
  <c r="F53" i="8"/>
  <c r="E53" i="8"/>
  <c r="C43" i="8"/>
  <c r="C44" i="8" s="1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F21" i="8"/>
  <c r="E21" i="8"/>
  <c r="D21" i="8"/>
  <c r="F20" i="8"/>
  <c r="E20" i="8"/>
  <c r="D20" i="8"/>
  <c r="F19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C8" i="8"/>
  <c r="E8" i="8" s="1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C173" i="7"/>
  <c r="E173" i="7" s="1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E19" i="7"/>
  <c r="D19" i="7"/>
  <c r="E18" i="7"/>
  <c r="D18" i="7"/>
  <c r="E17" i="7"/>
  <c r="D17" i="7"/>
  <c r="E16" i="7"/>
  <c r="D16" i="7"/>
  <c r="E15" i="7"/>
  <c r="D15" i="7"/>
  <c r="D13" i="7"/>
  <c r="D12" i="7"/>
  <c r="D11" i="7"/>
  <c r="D10" i="7"/>
  <c r="D9" i="7"/>
  <c r="D8" i="7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C77" i="6"/>
  <c r="F77" i="6" s="1"/>
  <c r="F76" i="6"/>
  <c r="E76" i="6"/>
  <c r="C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E63" i="6"/>
  <c r="E62" i="6"/>
  <c r="E61" i="6"/>
  <c r="E60" i="6"/>
  <c r="E59" i="6"/>
  <c r="E58" i="6"/>
  <c r="E57" i="6"/>
  <c r="E56" i="6"/>
  <c r="F55" i="6"/>
  <c r="E54" i="6"/>
  <c r="E53" i="6"/>
  <c r="E52" i="6"/>
  <c r="C51" i="6"/>
  <c r="E51" i="6" s="1"/>
  <c r="F43" i="6"/>
  <c r="C37" i="6"/>
  <c r="E36" i="6"/>
  <c r="C36" i="6"/>
  <c r="F35" i="6"/>
  <c r="E35" i="6"/>
  <c r="F34" i="6"/>
  <c r="E34" i="6"/>
  <c r="F33" i="6"/>
  <c r="E33" i="6"/>
  <c r="F32" i="6"/>
  <c r="E32" i="6"/>
  <c r="F31" i="6"/>
  <c r="F30" i="6"/>
  <c r="E30" i="6"/>
  <c r="F29" i="6"/>
  <c r="E29" i="6"/>
  <c r="F28" i="6"/>
  <c r="E28" i="6"/>
  <c r="F27" i="6"/>
  <c r="E27" i="6"/>
  <c r="F26" i="6"/>
  <c r="E26" i="6"/>
  <c r="F25" i="6"/>
  <c r="E25" i="6"/>
  <c r="C24" i="6"/>
  <c r="F23" i="6"/>
  <c r="E23" i="6"/>
  <c r="F22" i="6"/>
  <c r="E22" i="6"/>
  <c r="E21" i="6"/>
  <c r="E20" i="6"/>
  <c r="C9" i="6"/>
  <c r="C8" i="6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C8" i="4"/>
  <c r="C9" i="4" s="1"/>
  <c r="C10" i="4" s="1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C8" i="2"/>
  <c r="C9" i="2" s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C73" i="1"/>
  <c r="F73" i="1" s="1"/>
  <c r="F71" i="1"/>
  <c r="E71" i="1"/>
  <c r="D71" i="1"/>
  <c r="F70" i="1"/>
  <c r="E70" i="1"/>
  <c r="D70" i="1"/>
  <c r="F69" i="1"/>
  <c r="E69" i="1"/>
  <c r="D69" i="1"/>
  <c r="F68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8" i="1"/>
  <c r="D58" i="1"/>
  <c r="E57" i="1"/>
  <c r="D57" i="1"/>
  <c r="E56" i="1"/>
  <c r="D56" i="1"/>
  <c r="E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E21" i="1"/>
  <c r="D21" i="1"/>
  <c r="D19" i="1"/>
  <c r="D18" i="1"/>
  <c r="D17" i="1"/>
  <c r="D16" i="1"/>
  <c r="D15" i="1"/>
  <c r="D14" i="1"/>
  <c r="D13" i="1"/>
  <c r="D12" i="1"/>
  <c r="D11" i="1"/>
  <c r="D10" i="1"/>
  <c r="E350" i="18" l="1"/>
  <c r="I350" i="18"/>
  <c r="F350" i="18"/>
  <c r="C9" i="13"/>
  <c r="H297" i="18"/>
  <c r="F76" i="9"/>
  <c r="F329" i="18"/>
  <c r="H300" i="18"/>
  <c r="H304" i="18"/>
  <c r="H308" i="18"/>
  <c r="D312" i="18"/>
  <c r="H316" i="18"/>
  <c r="H320" i="18"/>
  <c r="H324" i="18"/>
  <c r="H328" i="18"/>
  <c r="E349" i="18"/>
  <c r="H309" i="18"/>
  <c r="I229" i="18"/>
  <c r="I233" i="18"/>
  <c r="I237" i="18"/>
  <c r="I241" i="18"/>
  <c r="I245" i="18"/>
  <c r="D249" i="18"/>
  <c r="F289" i="18"/>
  <c r="F297" i="18"/>
  <c r="F222" i="18"/>
  <c r="I226" i="18"/>
  <c r="I230" i="18"/>
  <c r="I234" i="18"/>
  <c r="I238" i="18"/>
  <c r="I242" i="18"/>
  <c r="H266" i="18"/>
  <c r="H274" i="18"/>
  <c r="H282" i="18"/>
  <c r="H286" i="18"/>
  <c r="H290" i="18"/>
  <c r="H298" i="18"/>
  <c r="F314" i="18"/>
  <c r="H314" i="18"/>
  <c r="H318" i="18"/>
  <c r="H322" i="18"/>
  <c r="H326" i="18"/>
  <c r="H330" i="18"/>
  <c r="F349" i="18"/>
  <c r="D349" i="18"/>
  <c r="I227" i="18"/>
  <c r="I231" i="18"/>
  <c r="I235" i="18"/>
  <c r="I239" i="18"/>
  <c r="I243" i="18"/>
  <c r="H334" i="18"/>
  <c r="H311" i="18"/>
  <c r="F327" i="18"/>
  <c r="F325" i="18"/>
  <c r="I349" i="18"/>
  <c r="E224" i="18"/>
  <c r="I228" i="18"/>
  <c r="I236" i="18"/>
  <c r="I240" i="18"/>
  <c r="I244" i="18"/>
  <c r="D273" i="18"/>
  <c r="D289" i="18"/>
  <c r="H292" i="18"/>
  <c r="D297" i="18"/>
  <c r="F331" i="18"/>
  <c r="F335" i="18"/>
  <c r="D241" i="18"/>
  <c r="D248" i="18"/>
  <c r="C10" i="13"/>
  <c r="C11" i="13" s="1"/>
  <c r="C12" i="13" s="1"/>
  <c r="C13" i="13" s="1"/>
  <c r="C14" i="13" s="1"/>
  <c r="C15" i="13" s="1"/>
  <c r="C16" i="13" s="1"/>
  <c r="C17" i="13" s="1"/>
  <c r="C18" i="13" s="1"/>
  <c r="C19" i="13" s="1"/>
  <c r="E19" i="13" s="1"/>
  <c r="B23" i="12"/>
  <c r="B24" i="12" s="1"/>
  <c r="D257" i="18"/>
  <c r="E228" i="18"/>
  <c r="F343" i="18"/>
  <c r="E76" i="9"/>
  <c r="E43" i="8"/>
  <c r="F55" i="8"/>
  <c r="C77" i="8"/>
  <c r="E77" i="8" s="1"/>
  <c r="E8" i="2"/>
  <c r="E73" i="1"/>
  <c r="C74" i="1"/>
  <c r="C75" i="1" s="1"/>
  <c r="F75" i="1" s="1"/>
  <c r="D222" i="18"/>
  <c r="D236" i="18"/>
  <c r="F333" i="18"/>
  <c r="E236" i="18"/>
  <c r="D223" i="18"/>
  <c r="E256" i="18"/>
  <c r="D256" i="18"/>
  <c r="D276" i="18"/>
  <c r="E227" i="18"/>
  <c r="D244" i="18"/>
  <c r="D300" i="18"/>
  <c r="F342" i="18"/>
  <c r="F268" i="18"/>
  <c r="E235" i="18"/>
  <c r="E248" i="18"/>
  <c r="H264" i="18"/>
  <c r="F264" i="18"/>
  <c r="H310" i="18"/>
  <c r="D310" i="18"/>
  <c r="E251" i="18"/>
  <c r="D264" i="18"/>
  <c r="E260" i="18"/>
  <c r="D260" i="18"/>
  <c r="E240" i="18"/>
  <c r="E252" i="18"/>
  <c r="F276" i="18"/>
  <c r="E243" i="18"/>
  <c r="D252" i="18"/>
  <c r="I232" i="18"/>
  <c r="D233" i="18"/>
  <c r="E232" i="18"/>
  <c r="D232" i="18"/>
  <c r="E259" i="18"/>
  <c r="H301" i="18"/>
  <c r="D301" i="18"/>
  <c r="I250" i="18"/>
  <c r="D284" i="18"/>
  <c r="D296" i="18"/>
  <c r="F323" i="18"/>
  <c r="F9" i="19"/>
  <c r="D240" i="18"/>
  <c r="F281" i="18"/>
  <c r="D281" i="18"/>
  <c r="D305" i="18"/>
  <c r="D268" i="18"/>
  <c r="F301" i="18"/>
  <c r="F337" i="18"/>
  <c r="F344" i="18"/>
  <c r="D228" i="18"/>
  <c r="D304" i="18"/>
  <c r="F341" i="18"/>
  <c r="H332" i="18"/>
  <c r="I261" i="18"/>
  <c r="F300" i="18"/>
  <c r="D229" i="18"/>
  <c r="D253" i="18"/>
  <c r="F272" i="18"/>
  <c r="F280" i="18"/>
  <c r="F288" i="18"/>
  <c r="F305" i="18"/>
  <c r="E223" i="18"/>
  <c r="E229" i="18"/>
  <c r="D234" i="18"/>
  <c r="E237" i="18"/>
  <c r="D242" i="18"/>
  <c r="E245" i="18"/>
  <c r="I247" i="18"/>
  <c r="D250" i="18"/>
  <c r="E253" i="18"/>
  <c r="I255" i="18"/>
  <c r="D258" i="18"/>
  <c r="E261" i="18"/>
  <c r="I263" i="18"/>
  <c r="H269" i="18"/>
  <c r="H272" i="18"/>
  <c r="H277" i="18"/>
  <c r="H280" i="18"/>
  <c r="H285" i="18"/>
  <c r="H288" i="18"/>
  <c r="D293" i="18"/>
  <c r="F308" i="18"/>
  <c r="D313" i="18"/>
  <c r="F223" i="18"/>
  <c r="E226" i="18"/>
  <c r="D231" i="18"/>
  <c r="E234" i="18"/>
  <c r="D239" i="18"/>
  <c r="E242" i="18"/>
  <c r="D247" i="18"/>
  <c r="E250" i="18"/>
  <c r="I252" i="18"/>
  <c r="D255" i="18"/>
  <c r="E258" i="18"/>
  <c r="I260" i="18"/>
  <c r="D263" i="18"/>
  <c r="D292" i="18"/>
  <c r="F296" i="18"/>
  <c r="H305" i="18"/>
  <c r="F313" i="18"/>
  <c r="F10" i="19"/>
  <c r="E231" i="18"/>
  <c r="E239" i="18"/>
  <c r="E247" i="18"/>
  <c r="I249" i="18"/>
  <c r="E255" i="18"/>
  <c r="I257" i="18"/>
  <c r="E263" i="18"/>
  <c r="F277" i="18"/>
  <c r="D269" i="18"/>
  <c r="F285" i="18"/>
  <c r="D277" i="18"/>
  <c r="F293" i="18"/>
  <c r="D285" i="18"/>
  <c r="H293" i="18"/>
  <c r="H296" i="18"/>
  <c r="E244" i="18"/>
  <c r="I246" i="18"/>
  <c r="I254" i="18"/>
  <c r="I262" i="18"/>
  <c r="F284" i="18"/>
  <c r="F304" i="18"/>
  <c r="I253" i="18"/>
  <c r="D237" i="18"/>
  <c r="D245" i="18"/>
  <c r="I258" i="18"/>
  <c r="D261" i="18"/>
  <c r="E222" i="18"/>
  <c r="D230" i="18"/>
  <c r="E233" i="18"/>
  <c r="D238" i="18"/>
  <c r="E241" i="18"/>
  <c r="D246" i="18"/>
  <c r="E249" i="18"/>
  <c r="I251" i="18"/>
  <c r="D254" i="18"/>
  <c r="E257" i="18"/>
  <c r="I259" i="18"/>
  <c r="D262" i="18"/>
  <c r="H265" i="18"/>
  <c r="H268" i="18"/>
  <c r="D272" i="18"/>
  <c r="H273" i="18"/>
  <c r="H276" i="18"/>
  <c r="D280" i="18"/>
  <c r="H281" i="18"/>
  <c r="H284" i="18"/>
  <c r="D288" i="18"/>
  <c r="F292" i="18"/>
  <c r="F317" i="18"/>
  <c r="D227" i="18"/>
  <c r="E230" i="18"/>
  <c r="D235" i="18"/>
  <c r="E238" i="18"/>
  <c r="D243" i="18"/>
  <c r="E246" i="18"/>
  <c r="I248" i="18"/>
  <c r="D251" i="18"/>
  <c r="E254" i="18"/>
  <c r="I256" i="18"/>
  <c r="D259" i="18"/>
  <c r="E262" i="18"/>
  <c r="D265" i="18"/>
  <c r="H289" i="18"/>
  <c r="F307" i="18"/>
  <c r="D311" i="18"/>
  <c r="F12" i="19"/>
  <c r="F11" i="19"/>
  <c r="E225" i="18"/>
  <c r="I270" i="18"/>
  <c r="E270" i="18"/>
  <c r="I278" i="18"/>
  <c r="E278" i="18"/>
  <c r="F283" i="18"/>
  <c r="I306" i="18"/>
  <c r="E306" i="18"/>
  <c r="F224" i="18"/>
  <c r="I308" i="18"/>
  <c r="E308" i="18"/>
  <c r="I316" i="18"/>
  <c r="E316" i="18"/>
  <c r="D316" i="18"/>
  <c r="I318" i="18"/>
  <c r="E318" i="18"/>
  <c r="D318" i="18"/>
  <c r="I320" i="18"/>
  <c r="E320" i="18"/>
  <c r="D320" i="18"/>
  <c r="I322" i="18"/>
  <c r="E322" i="18"/>
  <c r="D322" i="18"/>
  <c r="I324" i="18"/>
  <c r="E324" i="18"/>
  <c r="D324" i="18"/>
  <c r="I326" i="18"/>
  <c r="E326" i="18"/>
  <c r="D326" i="18"/>
  <c r="I328" i="18"/>
  <c r="E328" i="18"/>
  <c r="D328" i="18"/>
  <c r="I330" i="18"/>
  <c r="E330" i="18"/>
  <c r="D330" i="18"/>
  <c r="I332" i="18"/>
  <c r="E332" i="18"/>
  <c r="D332" i="18"/>
  <c r="I334" i="18"/>
  <c r="E334" i="18"/>
  <c r="D334" i="18"/>
  <c r="I336" i="18"/>
  <c r="E336" i="18"/>
  <c r="D336" i="18"/>
  <c r="I338" i="18"/>
  <c r="H338" i="18"/>
  <c r="E338" i="18"/>
  <c r="D338" i="18"/>
  <c r="I346" i="18"/>
  <c r="H346" i="18"/>
  <c r="E346" i="18"/>
  <c r="D346" i="18"/>
  <c r="F267" i="18"/>
  <c r="F279" i="18"/>
  <c r="F287" i="18"/>
  <c r="I294" i="18"/>
  <c r="E294" i="18"/>
  <c r="I302" i="18"/>
  <c r="E302" i="18"/>
  <c r="I309" i="18"/>
  <c r="E309" i="18"/>
  <c r="F319" i="18"/>
  <c r="F321" i="18"/>
  <c r="I264" i="18"/>
  <c r="E264" i="18"/>
  <c r="F265" i="18"/>
  <c r="I268" i="18"/>
  <c r="E268" i="18"/>
  <c r="F269" i="18"/>
  <c r="H270" i="18"/>
  <c r="I272" i="18"/>
  <c r="E272" i="18"/>
  <c r="F273" i="18"/>
  <c r="I276" i="18"/>
  <c r="E276" i="18"/>
  <c r="H278" i="18"/>
  <c r="I280" i="18"/>
  <c r="E280" i="18"/>
  <c r="I284" i="18"/>
  <c r="E284" i="18"/>
  <c r="I288" i="18"/>
  <c r="E288" i="18"/>
  <c r="I292" i="18"/>
  <c r="E292" i="18"/>
  <c r="H294" i="18"/>
  <c r="I296" i="18"/>
  <c r="E296" i="18"/>
  <c r="I300" i="18"/>
  <c r="E300" i="18"/>
  <c r="H302" i="18"/>
  <c r="I304" i="18"/>
  <c r="E304" i="18"/>
  <c r="H306" i="18"/>
  <c r="D308" i="18"/>
  <c r="F311" i="18"/>
  <c r="I313" i="18"/>
  <c r="E313" i="18"/>
  <c r="F316" i="18"/>
  <c r="F318" i="18"/>
  <c r="F320" i="18"/>
  <c r="F322" i="18"/>
  <c r="F324" i="18"/>
  <c r="F326" i="18"/>
  <c r="F328" i="18"/>
  <c r="F330" i="18"/>
  <c r="F332" i="18"/>
  <c r="F334" i="18"/>
  <c r="F336" i="18"/>
  <c r="F338" i="18"/>
  <c r="I341" i="18"/>
  <c r="H341" i="18"/>
  <c r="E341" i="18"/>
  <c r="D341" i="18"/>
  <c r="F346" i="18"/>
  <c r="F271" i="18"/>
  <c r="F275" i="18"/>
  <c r="I286" i="18"/>
  <c r="E286" i="18"/>
  <c r="F291" i="18"/>
  <c r="I298" i="18"/>
  <c r="E298" i="18"/>
  <c r="F303" i="18"/>
  <c r="D226" i="18"/>
  <c r="I310" i="18"/>
  <c r="E310" i="18"/>
  <c r="I344" i="18"/>
  <c r="H344" i="18"/>
  <c r="E344" i="18"/>
  <c r="D344" i="18"/>
  <c r="I347" i="18"/>
  <c r="H347" i="18"/>
  <c r="E347" i="18"/>
  <c r="D347" i="18"/>
  <c r="I267" i="18"/>
  <c r="E267" i="18"/>
  <c r="I271" i="18"/>
  <c r="E271" i="18"/>
  <c r="I275" i="18"/>
  <c r="E275" i="18"/>
  <c r="I279" i="18"/>
  <c r="E279" i="18"/>
  <c r="I283" i="18"/>
  <c r="E283" i="18"/>
  <c r="I287" i="18"/>
  <c r="E287" i="18"/>
  <c r="I291" i="18"/>
  <c r="E291" i="18"/>
  <c r="I295" i="18"/>
  <c r="E295" i="18"/>
  <c r="I299" i="18"/>
  <c r="E299" i="18"/>
  <c r="I303" i="18"/>
  <c r="E303" i="18"/>
  <c r="I307" i="18"/>
  <c r="E307" i="18"/>
  <c r="I315" i="18"/>
  <c r="E315" i="18"/>
  <c r="I339" i="18"/>
  <c r="H339" i="18"/>
  <c r="E339" i="18"/>
  <c r="D339" i="18"/>
  <c r="D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D267" i="18"/>
  <c r="D271" i="18"/>
  <c r="D275" i="18"/>
  <c r="D279" i="18"/>
  <c r="D283" i="18"/>
  <c r="D287" i="18"/>
  <c r="D291" i="18"/>
  <c r="D295" i="18"/>
  <c r="D299" i="18"/>
  <c r="D303" i="18"/>
  <c r="D307" i="18"/>
  <c r="F310" i="18"/>
  <c r="I312" i="18"/>
  <c r="E312" i="18"/>
  <c r="H313" i="18"/>
  <c r="D315" i="18"/>
  <c r="I317" i="18"/>
  <c r="E317" i="18"/>
  <c r="D317" i="18"/>
  <c r="I319" i="18"/>
  <c r="E319" i="18"/>
  <c r="D319" i="18"/>
  <c r="I321" i="18"/>
  <c r="E321" i="18"/>
  <c r="D321" i="18"/>
  <c r="I323" i="18"/>
  <c r="E323" i="18"/>
  <c r="D323" i="18"/>
  <c r="I325" i="18"/>
  <c r="E325" i="18"/>
  <c r="D325" i="18"/>
  <c r="I327" i="18"/>
  <c r="E327" i="18"/>
  <c r="D327" i="18"/>
  <c r="I329" i="18"/>
  <c r="E329" i="18"/>
  <c r="D329" i="18"/>
  <c r="I331" i="18"/>
  <c r="E331" i="18"/>
  <c r="D331" i="18"/>
  <c r="I333" i="18"/>
  <c r="E333" i="18"/>
  <c r="D333" i="18"/>
  <c r="I335" i="18"/>
  <c r="E335" i="18"/>
  <c r="D335" i="18"/>
  <c r="I337" i="18"/>
  <c r="E337" i="18"/>
  <c r="D337" i="18"/>
  <c r="F339" i="18"/>
  <c r="I342" i="18"/>
  <c r="H342" i="18"/>
  <c r="E342" i="18"/>
  <c r="D342" i="18"/>
  <c r="F347" i="18"/>
  <c r="I345" i="18"/>
  <c r="H345" i="18"/>
  <c r="E345" i="18"/>
  <c r="D345" i="18"/>
  <c r="I266" i="18"/>
  <c r="E266" i="18"/>
  <c r="I274" i="18"/>
  <c r="E274" i="18"/>
  <c r="I282" i="18"/>
  <c r="E282" i="18"/>
  <c r="I290" i="18"/>
  <c r="E290" i="18"/>
  <c r="F295" i="18"/>
  <c r="F299" i="18"/>
  <c r="F315" i="18"/>
  <c r="D224" i="18"/>
  <c r="F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D266" i="18"/>
  <c r="D270" i="18"/>
  <c r="D274" i="18"/>
  <c r="D278" i="18"/>
  <c r="D282" i="18"/>
  <c r="D286" i="18"/>
  <c r="D290" i="18"/>
  <c r="D294" i="18"/>
  <c r="D298" i="18"/>
  <c r="D302" i="18"/>
  <c r="D306" i="18"/>
  <c r="H307" i="18"/>
  <c r="D309" i="18"/>
  <c r="F312" i="18"/>
  <c r="I314" i="18"/>
  <c r="E314" i="18"/>
  <c r="H315" i="18"/>
  <c r="H317" i="18"/>
  <c r="H319" i="18"/>
  <c r="H321" i="18"/>
  <c r="H323" i="18"/>
  <c r="H325" i="18"/>
  <c r="H327" i="18"/>
  <c r="H329" i="18"/>
  <c r="H331" i="18"/>
  <c r="H333" i="18"/>
  <c r="H335" i="18"/>
  <c r="H337" i="18"/>
  <c r="I340" i="18"/>
  <c r="H340" i="18"/>
  <c r="E340" i="18"/>
  <c r="D340" i="18"/>
  <c r="F345" i="18"/>
  <c r="I348" i="18"/>
  <c r="H348" i="18"/>
  <c r="E348" i="18"/>
  <c r="D348" i="18"/>
  <c r="I265" i="18"/>
  <c r="E265" i="18"/>
  <c r="F266" i="18"/>
  <c r="H267" i="18"/>
  <c r="I269" i="18"/>
  <c r="E269" i="18"/>
  <c r="F270" i="18"/>
  <c r="H271" i="18"/>
  <c r="I273" i="18"/>
  <c r="E273" i="18"/>
  <c r="F274" i="18"/>
  <c r="H275" i="18"/>
  <c r="I277" i="18"/>
  <c r="E277" i="18"/>
  <c r="F278" i="18"/>
  <c r="H279" i="18"/>
  <c r="I281" i="18"/>
  <c r="E281" i="18"/>
  <c r="F282" i="18"/>
  <c r="H283" i="18"/>
  <c r="I285" i="18"/>
  <c r="E285" i="18"/>
  <c r="F286" i="18"/>
  <c r="H287" i="18"/>
  <c r="I289" i="18"/>
  <c r="E289" i="18"/>
  <c r="F290" i="18"/>
  <c r="H291" i="18"/>
  <c r="I293" i="18"/>
  <c r="E293" i="18"/>
  <c r="F294" i="18"/>
  <c r="H295" i="18"/>
  <c r="I297" i="18"/>
  <c r="E297" i="18"/>
  <c r="F298" i="18"/>
  <c r="H299" i="18"/>
  <c r="I301" i="18"/>
  <c r="E301" i="18"/>
  <c r="F302" i="18"/>
  <c r="H303" i="18"/>
  <c r="I305" i="18"/>
  <c r="E305" i="18"/>
  <c r="F306" i="18"/>
  <c r="F309" i="18"/>
  <c r="I311" i="18"/>
  <c r="E311" i="18"/>
  <c r="H312" i="18"/>
  <c r="D314" i="18"/>
  <c r="F340" i="18"/>
  <c r="I343" i="18"/>
  <c r="H343" i="18"/>
  <c r="E343" i="18"/>
  <c r="D343" i="18"/>
  <c r="F348" i="18"/>
  <c r="C20" i="13"/>
  <c r="F19" i="13"/>
  <c r="C11" i="10"/>
  <c r="E10" i="10"/>
  <c r="F49" i="9"/>
  <c r="C38" i="9"/>
  <c r="F37" i="9"/>
  <c r="F77" i="9"/>
  <c r="E77" i="9"/>
  <c r="C78" i="9"/>
  <c r="E37" i="9"/>
  <c r="C45" i="9"/>
  <c r="F44" i="9"/>
  <c r="E44" i="9"/>
  <c r="F48" i="9"/>
  <c r="E36" i="9"/>
  <c r="F36" i="9"/>
  <c r="F44" i="8"/>
  <c r="F56" i="8"/>
  <c r="E44" i="8"/>
  <c r="C45" i="8"/>
  <c r="F43" i="8"/>
  <c r="E76" i="8"/>
  <c r="C174" i="7"/>
  <c r="F173" i="7"/>
  <c r="F36" i="6"/>
  <c r="F24" i="6"/>
  <c r="E24" i="6"/>
  <c r="C38" i="6"/>
  <c r="F37" i="6"/>
  <c r="E37" i="6"/>
  <c r="C78" i="6"/>
  <c r="C50" i="6"/>
  <c r="F63" i="6"/>
  <c r="E77" i="6"/>
  <c r="C21" i="5"/>
  <c r="F20" i="5"/>
  <c r="E20" i="5"/>
  <c r="E10" i="4"/>
  <c r="C11" i="4"/>
  <c r="F19" i="3"/>
  <c r="C20" i="3"/>
  <c r="E9" i="2"/>
  <c r="C10" i="2"/>
  <c r="E10" i="2" s="1"/>
  <c r="C76" i="1"/>
  <c r="E74" i="1"/>
  <c r="F74" i="1"/>
  <c r="F77" i="8" l="1"/>
  <c r="C78" i="8"/>
  <c r="D23" i="12"/>
  <c r="E75" i="1"/>
  <c r="C11" i="2"/>
  <c r="F13" i="19"/>
  <c r="F14" i="19"/>
  <c r="F15" i="19"/>
  <c r="C21" i="13"/>
  <c r="F20" i="13"/>
  <c r="E20" i="13"/>
  <c r="B25" i="12"/>
  <c r="D24" i="12"/>
  <c r="C12" i="10"/>
  <c r="E11" i="10"/>
  <c r="E45" i="9"/>
  <c r="C46" i="9"/>
  <c r="F45" i="9"/>
  <c r="C79" i="9"/>
  <c r="F78" i="9"/>
  <c r="E78" i="9"/>
  <c r="C39" i="9"/>
  <c r="F38" i="9"/>
  <c r="E38" i="9"/>
  <c r="F50" i="9"/>
  <c r="C79" i="8"/>
  <c r="F78" i="8"/>
  <c r="E78" i="8"/>
  <c r="E45" i="8"/>
  <c r="C46" i="8"/>
  <c r="F57" i="8"/>
  <c r="F45" i="8"/>
  <c r="E174" i="7"/>
  <c r="C175" i="7"/>
  <c r="F174" i="7"/>
  <c r="F38" i="6"/>
  <c r="E38" i="6"/>
  <c r="C39" i="6"/>
  <c r="C79" i="6"/>
  <c r="F78" i="6"/>
  <c r="E78" i="6"/>
  <c r="C49" i="6"/>
  <c r="F50" i="6"/>
  <c r="E50" i="6"/>
  <c r="F62" i="6"/>
  <c r="C22" i="5"/>
  <c r="F21" i="5"/>
  <c r="E21" i="5"/>
  <c r="C12" i="4"/>
  <c r="E11" i="4"/>
  <c r="C21" i="3"/>
  <c r="F20" i="3"/>
  <c r="E20" i="3"/>
  <c r="C12" i="2"/>
  <c r="E11" i="2"/>
  <c r="C77" i="1"/>
  <c r="F76" i="1"/>
  <c r="E76" i="1"/>
  <c r="F16" i="19" l="1"/>
  <c r="F21" i="13"/>
  <c r="E21" i="13"/>
  <c r="C22" i="13"/>
  <c r="B26" i="12"/>
  <c r="D25" i="12"/>
  <c r="E12" i="10"/>
  <c r="C13" i="10"/>
  <c r="F51" i="9"/>
  <c r="C40" i="9"/>
  <c r="F39" i="9"/>
  <c r="E39" i="9"/>
  <c r="F79" i="9"/>
  <c r="E79" i="9"/>
  <c r="C80" i="9"/>
  <c r="F46" i="9"/>
  <c r="E46" i="9"/>
  <c r="F46" i="8"/>
  <c r="F58" i="8"/>
  <c r="E46" i="8"/>
  <c r="C47" i="8"/>
  <c r="E79" i="8"/>
  <c r="C80" i="8"/>
  <c r="F79" i="8"/>
  <c r="C176" i="7"/>
  <c r="F175" i="7"/>
  <c r="E175" i="7"/>
  <c r="E49" i="6"/>
  <c r="F61" i="6"/>
  <c r="C48" i="6"/>
  <c r="F49" i="6"/>
  <c r="F79" i="6"/>
  <c r="E79" i="6"/>
  <c r="C80" i="6"/>
  <c r="C40" i="6"/>
  <c r="F39" i="6"/>
  <c r="E39" i="6"/>
  <c r="F51" i="6"/>
  <c r="E22" i="5"/>
  <c r="C23" i="5"/>
  <c r="F22" i="5"/>
  <c r="C13" i="4"/>
  <c r="E12" i="4"/>
  <c r="F21" i="3"/>
  <c r="E21" i="3"/>
  <c r="C22" i="3"/>
  <c r="C13" i="2"/>
  <c r="E12" i="2"/>
  <c r="C78" i="1"/>
  <c r="F77" i="1"/>
  <c r="E77" i="1"/>
  <c r="F17" i="19" l="1"/>
  <c r="C23" i="13"/>
  <c r="F22" i="13"/>
  <c r="E22" i="13"/>
  <c r="D26" i="12"/>
  <c r="B27" i="12"/>
  <c r="C14" i="10"/>
  <c r="E13" i="10"/>
  <c r="C81" i="9"/>
  <c r="F80" i="9"/>
  <c r="E80" i="9"/>
  <c r="C41" i="9"/>
  <c r="F40" i="9"/>
  <c r="E40" i="9"/>
  <c r="F52" i="9"/>
  <c r="C81" i="8"/>
  <c r="F80" i="8"/>
  <c r="E80" i="8"/>
  <c r="F59" i="8"/>
  <c r="C48" i="8"/>
  <c r="F47" i="8"/>
  <c r="E47" i="8"/>
  <c r="C177" i="7"/>
  <c r="F176" i="7"/>
  <c r="E176" i="7"/>
  <c r="F40" i="6"/>
  <c r="E40" i="6"/>
  <c r="F52" i="6"/>
  <c r="C41" i="6"/>
  <c r="C81" i="6"/>
  <c r="F80" i="6"/>
  <c r="E80" i="6"/>
  <c r="C47" i="6"/>
  <c r="F48" i="6"/>
  <c r="E48" i="6"/>
  <c r="F60" i="6"/>
  <c r="C24" i="5"/>
  <c r="F23" i="5"/>
  <c r="E23" i="5"/>
  <c r="C14" i="4"/>
  <c r="E13" i="4"/>
  <c r="C23" i="3"/>
  <c r="F22" i="3"/>
  <c r="E22" i="3"/>
  <c r="C14" i="2"/>
  <c r="E13" i="2"/>
  <c r="C79" i="1"/>
  <c r="F78" i="1"/>
  <c r="E78" i="1"/>
  <c r="F18" i="19" l="1"/>
  <c r="C24" i="13"/>
  <c r="F23" i="13"/>
  <c r="E23" i="13"/>
  <c r="B28" i="12"/>
  <c r="D27" i="12"/>
  <c r="C15" i="10"/>
  <c r="E14" i="10"/>
  <c r="C42" i="9"/>
  <c r="F41" i="9"/>
  <c r="E41" i="9"/>
  <c r="F81" i="9"/>
  <c r="E81" i="9"/>
  <c r="C82" i="9"/>
  <c r="F48" i="8"/>
  <c r="F60" i="8"/>
  <c r="E48" i="8"/>
  <c r="C49" i="8"/>
  <c r="E81" i="8"/>
  <c r="F81" i="8"/>
  <c r="C82" i="8"/>
  <c r="C178" i="7"/>
  <c r="F177" i="7"/>
  <c r="E177" i="7"/>
  <c r="F81" i="6"/>
  <c r="E81" i="6"/>
  <c r="C82" i="6"/>
  <c r="F59" i="6"/>
  <c r="E47" i="6"/>
  <c r="C46" i="6"/>
  <c r="F47" i="6"/>
  <c r="F53" i="6"/>
  <c r="C42" i="6"/>
  <c r="F41" i="6"/>
  <c r="E41" i="6"/>
  <c r="F24" i="5"/>
  <c r="E24" i="5"/>
  <c r="C25" i="5"/>
  <c r="C15" i="4"/>
  <c r="E14" i="4"/>
  <c r="F23" i="3"/>
  <c r="E23" i="3"/>
  <c r="C24" i="3"/>
  <c r="C15" i="2"/>
  <c r="E14" i="2"/>
  <c r="C80" i="1"/>
  <c r="F79" i="1"/>
  <c r="E79" i="1"/>
  <c r="F19" i="19" l="1"/>
  <c r="F24" i="13"/>
  <c r="E24" i="13"/>
  <c r="C25" i="13"/>
  <c r="B29" i="12"/>
  <c r="D28" i="12"/>
  <c r="E15" i="10"/>
  <c r="C16" i="10"/>
  <c r="C83" i="9"/>
  <c r="F82" i="9"/>
  <c r="E82" i="9"/>
  <c r="F42" i="9"/>
  <c r="E42" i="9"/>
  <c r="C83" i="8"/>
  <c r="E82" i="8"/>
  <c r="F82" i="8"/>
  <c r="C50" i="8"/>
  <c r="E49" i="8"/>
  <c r="F49" i="8"/>
  <c r="F61" i="8"/>
  <c r="F178" i="7"/>
  <c r="E178" i="7"/>
  <c r="C179" i="7"/>
  <c r="C45" i="6"/>
  <c r="F58" i="6"/>
  <c r="F46" i="6"/>
  <c r="E46" i="6"/>
  <c r="C83" i="6"/>
  <c r="F82" i="6"/>
  <c r="E82" i="6"/>
  <c r="F42" i="6"/>
  <c r="E42" i="6"/>
  <c r="F54" i="6"/>
  <c r="C26" i="5"/>
  <c r="E25" i="5"/>
  <c r="F25" i="5"/>
  <c r="E15" i="4"/>
  <c r="C16" i="4"/>
  <c r="C25" i="3"/>
  <c r="F24" i="3"/>
  <c r="E24" i="3"/>
  <c r="C16" i="2"/>
  <c r="E15" i="2"/>
  <c r="C81" i="1"/>
  <c r="F80" i="1"/>
  <c r="E80" i="1"/>
  <c r="F20" i="19" l="1"/>
  <c r="C26" i="13"/>
  <c r="F25" i="13"/>
  <c r="E25" i="13"/>
  <c r="B30" i="12"/>
  <c r="D29" i="12"/>
  <c r="C17" i="10"/>
  <c r="E16" i="10"/>
  <c r="F83" i="9"/>
  <c r="E83" i="9"/>
  <c r="C84" i="9"/>
  <c r="F50" i="8"/>
  <c r="F62" i="8"/>
  <c r="E50" i="8"/>
  <c r="C51" i="8"/>
  <c r="E83" i="8"/>
  <c r="F83" i="8"/>
  <c r="C84" i="8"/>
  <c r="C180" i="7"/>
  <c r="F179" i="7"/>
  <c r="E179" i="7"/>
  <c r="F83" i="6"/>
  <c r="E83" i="6"/>
  <c r="C84" i="6"/>
  <c r="E45" i="6"/>
  <c r="C44" i="6"/>
  <c r="F57" i="6"/>
  <c r="F45" i="6"/>
  <c r="F26" i="5"/>
  <c r="E26" i="5"/>
  <c r="C27" i="5"/>
  <c r="C17" i="4"/>
  <c r="E16" i="4"/>
  <c r="F25" i="3"/>
  <c r="E25" i="3"/>
  <c r="C26" i="3"/>
  <c r="C17" i="2"/>
  <c r="E16" i="2"/>
  <c r="C82" i="1"/>
  <c r="F81" i="1"/>
  <c r="E81" i="1"/>
  <c r="F21" i="19" l="1"/>
  <c r="E26" i="13"/>
  <c r="C27" i="13"/>
  <c r="F26" i="13"/>
  <c r="D30" i="12"/>
  <c r="B31" i="12"/>
  <c r="C18" i="10"/>
  <c r="E17" i="10"/>
  <c r="C85" i="9"/>
  <c r="F84" i="9"/>
  <c r="E84" i="9"/>
  <c r="F84" i="8"/>
  <c r="C85" i="8"/>
  <c r="E84" i="8"/>
  <c r="F63" i="8"/>
  <c r="C52" i="8"/>
  <c r="F51" i="8"/>
  <c r="E51" i="8"/>
  <c r="C181" i="7"/>
  <c r="F180" i="7"/>
  <c r="E180" i="7"/>
  <c r="F56" i="6"/>
  <c r="F44" i="6"/>
  <c r="E44" i="6"/>
  <c r="C85" i="6"/>
  <c r="F84" i="6"/>
  <c r="E84" i="6"/>
  <c r="F27" i="5"/>
  <c r="C28" i="5"/>
  <c r="E27" i="5"/>
  <c r="C18" i="4"/>
  <c r="E17" i="4"/>
  <c r="C27" i="3"/>
  <c r="E26" i="3"/>
  <c r="F26" i="3"/>
  <c r="C18" i="2"/>
  <c r="E17" i="2"/>
  <c r="C83" i="1"/>
  <c r="F82" i="1"/>
  <c r="E82" i="1"/>
  <c r="F22" i="19" l="1"/>
  <c r="C28" i="13"/>
  <c r="F27" i="13"/>
  <c r="E27" i="13"/>
  <c r="B32" i="12"/>
  <c r="D31" i="12"/>
  <c r="E18" i="10"/>
  <c r="C19" i="10"/>
  <c r="F85" i="9"/>
  <c r="E85" i="9"/>
  <c r="C86" i="9"/>
  <c r="F52" i="8"/>
  <c r="F64" i="8"/>
  <c r="E52" i="8"/>
  <c r="E85" i="8"/>
  <c r="C86" i="8"/>
  <c r="F85" i="8"/>
  <c r="C182" i="7"/>
  <c r="F181" i="7"/>
  <c r="E181" i="7"/>
  <c r="F85" i="6"/>
  <c r="E85" i="6"/>
  <c r="C86" i="6"/>
  <c r="C29" i="5"/>
  <c r="F28" i="5"/>
  <c r="E28" i="5"/>
  <c r="E18" i="4"/>
  <c r="C19" i="4"/>
  <c r="C28" i="3"/>
  <c r="F27" i="3"/>
  <c r="E27" i="3"/>
  <c r="E18" i="2"/>
  <c r="C19" i="2"/>
  <c r="C84" i="1"/>
  <c r="F83" i="1"/>
  <c r="E83" i="1"/>
  <c r="F23" i="19" l="1"/>
  <c r="C29" i="13"/>
  <c r="F28" i="13"/>
  <c r="E28" i="13"/>
  <c r="B33" i="12"/>
  <c r="D32" i="12"/>
  <c r="C20" i="10"/>
  <c r="F19" i="10"/>
  <c r="E19" i="10"/>
  <c r="C87" i="9"/>
  <c r="F86" i="9"/>
  <c r="E86" i="9"/>
  <c r="C87" i="8"/>
  <c r="F86" i="8"/>
  <c r="E86" i="8"/>
  <c r="E182" i="7"/>
  <c r="C183" i="7"/>
  <c r="F182" i="7"/>
  <c r="C87" i="6"/>
  <c r="F86" i="6"/>
  <c r="E86" i="6"/>
  <c r="C30" i="5"/>
  <c r="F29" i="5"/>
  <c r="E29" i="5"/>
  <c r="F19" i="4"/>
  <c r="C20" i="4"/>
  <c r="E19" i="4"/>
  <c r="F28" i="3"/>
  <c r="E28" i="3"/>
  <c r="C29" i="3"/>
  <c r="C20" i="2"/>
  <c r="F19" i="2"/>
  <c r="E19" i="2"/>
  <c r="C86" i="1"/>
  <c r="F84" i="1"/>
  <c r="E84" i="1"/>
  <c r="F24" i="19" l="1"/>
  <c r="F29" i="13"/>
  <c r="E29" i="13"/>
  <c r="C30" i="13"/>
  <c r="B34" i="12"/>
  <c r="E33" i="12"/>
  <c r="D33" i="12"/>
  <c r="C21" i="10"/>
  <c r="F20" i="10"/>
  <c r="E20" i="10"/>
  <c r="F87" i="9"/>
  <c r="E87" i="9"/>
  <c r="C88" i="9"/>
  <c r="E87" i="8"/>
  <c r="C88" i="8"/>
  <c r="F87" i="8"/>
  <c r="C184" i="7"/>
  <c r="F183" i="7"/>
  <c r="E183" i="7"/>
  <c r="F87" i="6"/>
  <c r="E87" i="6"/>
  <c r="C88" i="6"/>
  <c r="C31" i="5"/>
  <c r="F30" i="5"/>
  <c r="E30" i="5"/>
  <c r="F20" i="4"/>
  <c r="C21" i="4"/>
  <c r="E20" i="4"/>
  <c r="C30" i="3"/>
  <c r="F29" i="3"/>
  <c r="E29" i="3"/>
  <c r="F20" i="2"/>
  <c r="C21" i="2"/>
  <c r="E20" i="2"/>
  <c r="C87" i="1"/>
  <c r="F86" i="1"/>
  <c r="E86" i="1"/>
  <c r="F25" i="19" l="1"/>
  <c r="C31" i="13"/>
  <c r="F30" i="13"/>
  <c r="E30" i="13"/>
  <c r="B35" i="12"/>
  <c r="E34" i="12"/>
  <c r="D34" i="12"/>
  <c r="C22" i="10"/>
  <c r="F21" i="10"/>
  <c r="E21" i="10"/>
  <c r="C89" i="9"/>
  <c r="F88" i="9"/>
  <c r="E88" i="9"/>
  <c r="E88" i="8"/>
  <c r="C89" i="8"/>
  <c r="F88" i="8"/>
  <c r="C185" i="7"/>
  <c r="F184" i="7"/>
  <c r="E184" i="7"/>
  <c r="C89" i="6"/>
  <c r="F88" i="6"/>
  <c r="E88" i="6"/>
  <c r="E31" i="5"/>
  <c r="C32" i="5"/>
  <c r="F31" i="5"/>
  <c r="F21" i="4"/>
  <c r="C22" i="4"/>
  <c r="E21" i="4"/>
  <c r="E30" i="3"/>
  <c r="C31" i="3"/>
  <c r="F30" i="3"/>
  <c r="C22" i="2"/>
  <c r="F21" i="2"/>
  <c r="E21" i="2"/>
  <c r="C88" i="1"/>
  <c r="F87" i="1"/>
  <c r="E87" i="1"/>
  <c r="F26" i="19" l="1"/>
  <c r="C32" i="13"/>
  <c r="E31" i="13"/>
  <c r="F31" i="13"/>
  <c r="B36" i="12"/>
  <c r="E35" i="12"/>
  <c r="D35" i="12"/>
  <c r="C23" i="10"/>
  <c r="F22" i="10"/>
  <c r="E22" i="10"/>
  <c r="F89" i="9"/>
  <c r="E89" i="9"/>
  <c r="C90" i="9"/>
  <c r="E89" i="8"/>
  <c r="C90" i="8"/>
  <c r="F89" i="8"/>
  <c r="C186" i="7"/>
  <c r="F185" i="7"/>
  <c r="E185" i="7"/>
  <c r="F89" i="6"/>
  <c r="E89" i="6"/>
  <c r="C90" i="6"/>
  <c r="E32" i="5"/>
  <c r="C33" i="5"/>
  <c r="F32" i="5"/>
  <c r="C23" i="4"/>
  <c r="F22" i="4"/>
  <c r="E22" i="4"/>
  <c r="C32" i="3"/>
  <c r="F31" i="3"/>
  <c r="E31" i="3"/>
  <c r="F22" i="2"/>
  <c r="C23" i="2"/>
  <c r="E22" i="2"/>
  <c r="C89" i="1"/>
  <c r="F88" i="1"/>
  <c r="E88" i="1"/>
  <c r="F27" i="19" l="1"/>
  <c r="F32" i="13"/>
  <c r="E32" i="13"/>
  <c r="C33" i="13"/>
  <c r="E36" i="12"/>
  <c r="D36" i="12"/>
  <c r="B37" i="12"/>
  <c r="C24" i="10"/>
  <c r="E23" i="10"/>
  <c r="F23" i="10"/>
  <c r="C91" i="9"/>
  <c r="F90" i="9"/>
  <c r="E90" i="9"/>
  <c r="F90" i="8"/>
  <c r="E90" i="8"/>
  <c r="C91" i="8"/>
  <c r="F186" i="7"/>
  <c r="E186" i="7"/>
  <c r="C187" i="7"/>
  <c r="C91" i="6"/>
  <c r="F90" i="6"/>
  <c r="E90" i="6"/>
  <c r="F33" i="5"/>
  <c r="E33" i="5"/>
  <c r="C34" i="5"/>
  <c r="F23" i="4"/>
  <c r="E23" i="4"/>
  <c r="C24" i="4"/>
  <c r="F32" i="3"/>
  <c r="C33" i="3"/>
  <c r="E32" i="3"/>
  <c r="E23" i="2"/>
  <c r="F23" i="2"/>
  <c r="C24" i="2"/>
  <c r="C90" i="1"/>
  <c r="F89" i="1"/>
  <c r="E89" i="1"/>
  <c r="F28" i="19" l="1"/>
  <c r="C34" i="13"/>
  <c r="F33" i="13"/>
  <c r="E33" i="13"/>
  <c r="B38" i="12"/>
  <c r="E37" i="12"/>
  <c r="D37" i="12"/>
  <c r="C25" i="10"/>
  <c r="E24" i="10"/>
  <c r="F24" i="10"/>
  <c r="F91" i="9"/>
  <c r="E91" i="9"/>
  <c r="C92" i="9"/>
  <c r="E91" i="8"/>
  <c r="F91" i="8"/>
  <c r="C92" i="8"/>
  <c r="C188" i="7"/>
  <c r="F187" i="7"/>
  <c r="E187" i="7"/>
  <c r="F91" i="6"/>
  <c r="E91" i="6"/>
  <c r="C92" i="6"/>
  <c r="C35" i="5"/>
  <c r="F34" i="5"/>
  <c r="E34" i="5"/>
  <c r="C25" i="4"/>
  <c r="F24" i="4"/>
  <c r="E24" i="4"/>
  <c r="C34" i="3"/>
  <c r="F33" i="3"/>
  <c r="E33" i="3"/>
  <c r="F24" i="2"/>
  <c r="C25" i="2"/>
  <c r="E24" i="2"/>
  <c r="C91" i="1"/>
  <c r="F90" i="1"/>
  <c r="E90" i="1"/>
  <c r="F29" i="19" l="1"/>
  <c r="E34" i="13"/>
  <c r="C35" i="13"/>
  <c r="F34" i="13"/>
  <c r="B39" i="12"/>
  <c r="E38" i="12"/>
  <c r="D38" i="12"/>
  <c r="C26" i="10"/>
  <c r="F25" i="10"/>
  <c r="E25" i="10"/>
  <c r="C93" i="9"/>
  <c r="F92" i="9"/>
  <c r="E92" i="9"/>
  <c r="F92" i="8"/>
  <c r="E92" i="8"/>
  <c r="C93" i="8"/>
  <c r="C189" i="7"/>
  <c r="F188" i="7"/>
  <c r="E188" i="7"/>
  <c r="C93" i="6"/>
  <c r="F92" i="6"/>
  <c r="E92" i="6"/>
  <c r="C36" i="5"/>
  <c r="F35" i="5"/>
  <c r="E35" i="5"/>
  <c r="F25" i="4"/>
  <c r="E25" i="4"/>
  <c r="C26" i="4"/>
  <c r="C35" i="3"/>
  <c r="F34" i="3"/>
  <c r="E34" i="3"/>
  <c r="F25" i="2"/>
  <c r="C26" i="2"/>
  <c r="E25" i="2"/>
  <c r="C92" i="1"/>
  <c r="F91" i="1"/>
  <c r="E91" i="1"/>
  <c r="F30" i="19" l="1"/>
  <c r="C36" i="13"/>
  <c r="F35" i="13"/>
  <c r="E35" i="13"/>
  <c r="D39" i="12"/>
  <c r="B40" i="12"/>
  <c r="E39" i="12"/>
  <c r="F26" i="10"/>
  <c r="C27" i="10"/>
  <c r="E26" i="10"/>
  <c r="F93" i="9"/>
  <c r="E93" i="9"/>
  <c r="C94" i="9"/>
  <c r="E93" i="8"/>
  <c r="C94" i="8"/>
  <c r="F93" i="8"/>
  <c r="C190" i="7"/>
  <c r="F189" i="7"/>
  <c r="E189" i="7"/>
  <c r="F93" i="6"/>
  <c r="E93" i="6"/>
  <c r="C94" i="6"/>
  <c r="C37" i="5"/>
  <c r="F36" i="5"/>
  <c r="E36" i="5"/>
  <c r="C27" i="4"/>
  <c r="F26" i="4"/>
  <c r="E26" i="4"/>
  <c r="C36" i="3"/>
  <c r="F35" i="3"/>
  <c r="E35" i="3"/>
  <c r="F26" i="2"/>
  <c r="C27" i="2"/>
  <c r="E26" i="2"/>
  <c r="C93" i="1"/>
  <c r="F92" i="1"/>
  <c r="E92" i="1"/>
  <c r="F31" i="19" l="1"/>
  <c r="C37" i="13"/>
  <c r="F36" i="13"/>
  <c r="E36" i="13"/>
  <c r="B41" i="12"/>
  <c r="E40" i="12"/>
  <c r="D40" i="12"/>
  <c r="C28" i="10"/>
  <c r="F27" i="10"/>
  <c r="E27" i="10"/>
  <c r="C95" i="9"/>
  <c r="F94" i="9"/>
  <c r="E94" i="9"/>
  <c r="C95" i="8"/>
  <c r="F94" i="8"/>
  <c r="E94" i="8"/>
  <c r="F190" i="7"/>
  <c r="E190" i="7"/>
  <c r="C191" i="7"/>
  <c r="C95" i="6"/>
  <c r="F94" i="6"/>
  <c r="E94" i="6"/>
  <c r="C38" i="5"/>
  <c r="F37" i="5"/>
  <c r="E37" i="5"/>
  <c r="F27" i="4"/>
  <c r="E27" i="4"/>
  <c r="C28" i="4"/>
  <c r="C37" i="3"/>
  <c r="F36" i="3"/>
  <c r="E36" i="3"/>
  <c r="C28" i="2"/>
  <c r="F27" i="2"/>
  <c r="E27" i="2"/>
  <c r="C94" i="1"/>
  <c r="F93" i="1"/>
  <c r="E93" i="1"/>
  <c r="F32" i="19" l="1"/>
  <c r="F37" i="13"/>
  <c r="E37" i="13"/>
  <c r="C38" i="13"/>
  <c r="B42" i="12"/>
  <c r="E41" i="12"/>
  <c r="D41" i="12"/>
  <c r="C29" i="10"/>
  <c r="F28" i="10"/>
  <c r="E28" i="10"/>
  <c r="F95" i="9"/>
  <c r="E95" i="9"/>
  <c r="C96" i="9"/>
  <c r="E95" i="8"/>
  <c r="C96" i="8"/>
  <c r="F95" i="8"/>
  <c r="C192" i="7"/>
  <c r="F191" i="7"/>
  <c r="E191" i="7"/>
  <c r="F95" i="6"/>
  <c r="E95" i="6"/>
  <c r="C96" i="6"/>
  <c r="C39" i="5"/>
  <c r="E38" i="5"/>
  <c r="F38" i="5"/>
  <c r="C29" i="4"/>
  <c r="F28" i="4"/>
  <c r="E28" i="4"/>
  <c r="E37" i="3"/>
  <c r="F37" i="3"/>
  <c r="C38" i="3"/>
  <c r="F28" i="2"/>
  <c r="E28" i="2"/>
  <c r="C29" i="2"/>
  <c r="C95" i="1"/>
  <c r="F94" i="1"/>
  <c r="E94" i="1"/>
  <c r="F33" i="19" l="1"/>
  <c r="C39" i="13"/>
  <c r="F38" i="13"/>
  <c r="E38" i="13"/>
  <c r="B43" i="12"/>
  <c r="E42" i="12"/>
  <c r="D42" i="12"/>
  <c r="C30" i="10"/>
  <c r="F29" i="10"/>
  <c r="E29" i="10"/>
  <c r="C97" i="9"/>
  <c r="F96" i="9"/>
  <c r="E96" i="9"/>
  <c r="C97" i="8"/>
  <c r="F96" i="8"/>
  <c r="E96" i="8"/>
  <c r="C193" i="7"/>
  <c r="F192" i="7"/>
  <c r="E192" i="7"/>
  <c r="C97" i="6"/>
  <c r="F96" i="6"/>
  <c r="E96" i="6"/>
  <c r="E39" i="5"/>
  <c r="C40" i="5"/>
  <c r="F39" i="5"/>
  <c r="F29" i="4"/>
  <c r="C30" i="4"/>
  <c r="E29" i="4"/>
  <c r="C39" i="3"/>
  <c r="F38" i="3"/>
  <c r="E38" i="3"/>
  <c r="C30" i="2"/>
  <c r="F29" i="2"/>
  <c r="E29" i="2"/>
  <c r="C96" i="1"/>
  <c r="F95" i="1"/>
  <c r="E95" i="1"/>
  <c r="F34" i="19" l="1"/>
  <c r="C40" i="13"/>
  <c r="F39" i="13"/>
  <c r="E39" i="13"/>
  <c r="B44" i="12"/>
  <c r="E43" i="12"/>
  <c r="D43" i="12"/>
  <c r="E30" i="10"/>
  <c r="C31" i="10"/>
  <c r="F30" i="10"/>
  <c r="F97" i="9"/>
  <c r="E97" i="9"/>
  <c r="C98" i="9"/>
  <c r="E97" i="8"/>
  <c r="F97" i="8"/>
  <c r="C98" i="8"/>
  <c r="C194" i="7"/>
  <c r="F193" i="7"/>
  <c r="E193" i="7"/>
  <c r="F97" i="6"/>
  <c r="E97" i="6"/>
  <c r="C98" i="6"/>
  <c r="C41" i="5"/>
  <c r="E40" i="5"/>
  <c r="F40" i="5"/>
  <c r="E30" i="4"/>
  <c r="C31" i="4"/>
  <c r="F30" i="4"/>
  <c r="F39" i="3"/>
  <c r="C40" i="3"/>
  <c r="E39" i="3"/>
  <c r="F30" i="2"/>
  <c r="C31" i="2"/>
  <c r="E30" i="2"/>
  <c r="C97" i="1"/>
  <c r="F96" i="1"/>
  <c r="E96" i="1"/>
  <c r="F35" i="19" l="1"/>
  <c r="F40" i="13"/>
  <c r="E40" i="13"/>
  <c r="C41" i="13"/>
  <c r="E44" i="12"/>
  <c r="D44" i="12"/>
  <c r="B45" i="12"/>
  <c r="C32" i="10"/>
  <c r="F31" i="10"/>
  <c r="E31" i="10"/>
  <c r="C99" i="9"/>
  <c r="F98" i="9"/>
  <c r="E98" i="9"/>
  <c r="C99" i="8"/>
  <c r="E98" i="8"/>
  <c r="F98" i="8"/>
  <c r="E194" i="7"/>
  <c r="C195" i="7"/>
  <c r="F194" i="7"/>
  <c r="C99" i="6"/>
  <c r="F98" i="6"/>
  <c r="E98" i="6"/>
  <c r="F41" i="5"/>
  <c r="E41" i="5"/>
  <c r="C42" i="5"/>
  <c r="F31" i="4"/>
  <c r="C32" i="4"/>
  <c r="E31" i="4"/>
  <c r="C41" i="3"/>
  <c r="F40" i="3"/>
  <c r="E40" i="3"/>
  <c r="C32" i="2"/>
  <c r="E31" i="2"/>
  <c r="F31" i="2"/>
  <c r="C99" i="1"/>
  <c r="F97" i="1"/>
  <c r="E97" i="1"/>
  <c r="F36" i="19" l="1"/>
  <c r="C42" i="13"/>
  <c r="F41" i="13"/>
  <c r="E41" i="13"/>
  <c r="B46" i="12"/>
  <c r="E45" i="12"/>
  <c r="D45" i="12"/>
  <c r="F32" i="10"/>
  <c r="E32" i="10"/>
  <c r="C33" i="10"/>
  <c r="F99" i="9"/>
  <c r="E99" i="9"/>
  <c r="C100" i="9"/>
  <c r="E99" i="8"/>
  <c r="F99" i="8"/>
  <c r="C100" i="8"/>
  <c r="C196" i="7"/>
  <c r="F195" i="7"/>
  <c r="E195" i="7"/>
  <c r="F99" i="6"/>
  <c r="E99" i="6"/>
  <c r="C100" i="6"/>
  <c r="C43" i="5"/>
  <c r="E42" i="5"/>
  <c r="F42" i="5"/>
  <c r="E32" i="4"/>
  <c r="F32" i="4"/>
  <c r="C33" i="4"/>
  <c r="C42" i="3"/>
  <c r="F41" i="3"/>
  <c r="E41" i="3"/>
  <c r="F32" i="2"/>
  <c r="E32" i="2"/>
  <c r="C33" i="2"/>
  <c r="C100" i="1"/>
  <c r="F99" i="1"/>
  <c r="E99" i="1"/>
  <c r="F37" i="19" l="1"/>
  <c r="E42" i="13"/>
  <c r="C43" i="13"/>
  <c r="F42" i="13"/>
  <c r="B47" i="12"/>
  <c r="E46" i="12"/>
  <c r="D46" i="12"/>
  <c r="C34" i="10"/>
  <c r="E33" i="10"/>
  <c r="F33" i="10"/>
  <c r="C101" i="9"/>
  <c r="F100" i="9"/>
  <c r="E100" i="9"/>
  <c r="F100" i="8"/>
  <c r="C101" i="8"/>
  <c r="E100" i="8"/>
  <c r="C197" i="7"/>
  <c r="F196" i="7"/>
  <c r="E196" i="7"/>
  <c r="C101" i="6"/>
  <c r="F100" i="6"/>
  <c r="E100" i="6"/>
  <c r="F43" i="5"/>
  <c r="C44" i="5"/>
  <c r="E43" i="5"/>
  <c r="F33" i="4"/>
  <c r="C34" i="4"/>
  <c r="E33" i="4"/>
  <c r="E42" i="3"/>
  <c r="C43" i="3"/>
  <c r="F42" i="3"/>
  <c r="C34" i="2"/>
  <c r="F33" i="2"/>
  <c r="E33" i="2"/>
  <c r="C101" i="1"/>
  <c r="F100" i="1"/>
  <c r="E100" i="1"/>
  <c r="F38" i="19" l="1"/>
  <c r="C44" i="13"/>
  <c r="F43" i="13"/>
  <c r="E43" i="13"/>
  <c r="D47" i="12"/>
  <c r="B48" i="12"/>
  <c r="E47" i="12"/>
  <c r="F34" i="10"/>
  <c r="E34" i="10"/>
  <c r="C35" i="10"/>
  <c r="F101" i="9"/>
  <c r="E101" i="9"/>
  <c r="C102" i="9"/>
  <c r="E101" i="8"/>
  <c r="C102" i="8"/>
  <c r="F101" i="8"/>
  <c r="C198" i="7"/>
  <c r="F197" i="7"/>
  <c r="E197" i="7"/>
  <c r="F101" i="6"/>
  <c r="E101" i="6"/>
  <c r="C102" i="6"/>
  <c r="C45" i="5"/>
  <c r="E44" i="5"/>
  <c r="F44" i="5"/>
  <c r="F34" i="4"/>
  <c r="E34" i="4"/>
  <c r="C35" i="4"/>
  <c r="C44" i="3"/>
  <c r="F43" i="3"/>
  <c r="E43" i="3"/>
  <c r="F34" i="2"/>
  <c r="E34" i="2"/>
  <c r="C35" i="2"/>
  <c r="C102" i="1"/>
  <c r="F101" i="1"/>
  <c r="E101" i="1"/>
  <c r="F39" i="19" l="1"/>
  <c r="C45" i="13"/>
  <c r="F44" i="13"/>
  <c r="E44" i="13"/>
  <c r="B49" i="12"/>
  <c r="E48" i="12"/>
  <c r="D48" i="12"/>
  <c r="C36" i="10"/>
  <c r="F35" i="10"/>
  <c r="E35" i="10"/>
  <c r="C103" i="9"/>
  <c r="F102" i="9"/>
  <c r="E102" i="9"/>
  <c r="C103" i="8"/>
  <c r="F102" i="8"/>
  <c r="E102" i="8"/>
  <c r="F198" i="7"/>
  <c r="E198" i="7"/>
  <c r="C199" i="7"/>
  <c r="C103" i="6"/>
  <c r="F102" i="6"/>
  <c r="E102" i="6"/>
  <c r="F45" i="5"/>
  <c r="E45" i="5"/>
  <c r="C46" i="5"/>
  <c r="F35" i="4"/>
  <c r="C36" i="4"/>
  <c r="E35" i="4"/>
  <c r="E44" i="3"/>
  <c r="C45" i="3"/>
  <c r="F44" i="3"/>
  <c r="C36" i="2"/>
  <c r="E35" i="2"/>
  <c r="F35" i="2"/>
  <c r="C103" i="1"/>
  <c r="F102" i="1"/>
  <c r="E102" i="1"/>
  <c r="F40" i="19" l="1"/>
  <c r="F45" i="13"/>
  <c r="E45" i="13"/>
  <c r="C46" i="13"/>
  <c r="B50" i="12"/>
  <c r="E49" i="12"/>
  <c r="D49" i="12"/>
  <c r="C37" i="10"/>
  <c r="F36" i="10"/>
  <c r="E36" i="10"/>
  <c r="F103" i="9"/>
  <c r="E103" i="9"/>
  <c r="C104" i="9"/>
  <c r="E103" i="8"/>
  <c r="C104" i="8"/>
  <c r="F103" i="8"/>
  <c r="C200" i="7"/>
  <c r="F199" i="7"/>
  <c r="E199" i="7"/>
  <c r="F103" i="6"/>
  <c r="E103" i="6"/>
  <c r="C104" i="6"/>
  <c r="C47" i="5"/>
  <c r="E46" i="5"/>
  <c r="F46" i="5"/>
  <c r="F36" i="4"/>
  <c r="E36" i="4"/>
  <c r="C37" i="4"/>
  <c r="C46" i="3"/>
  <c r="F45" i="3"/>
  <c r="E45" i="3"/>
  <c r="F36" i="2"/>
  <c r="C37" i="2"/>
  <c r="E36" i="2"/>
  <c r="C104" i="1"/>
  <c r="F103" i="1"/>
  <c r="E103" i="1"/>
  <c r="F41" i="19" l="1"/>
  <c r="C47" i="13"/>
  <c r="F46" i="13"/>
  <c r="E46" i="13"/>
  <c r="B51" i="12"/>
  <c r="E50" i="12"/>
  <c r="D50" i="12"/>
  <c r="C38" i="10"/>
  <c r="F37" i="10"/>
  <c r="E37" i="10"/>
  <c r="C105" i="9"/>
  <c r="F104" i="9"/>
  <c r="E104" i="9"/>
  <c r="E104" i="8"/>
  <c r="C105" i="8"/>
  <c r="F104" i="8"/>
  <c r="C201" i="7"/>
  <c r="F200" i="7"/>
  <c r="E200" i="7"/>
  <c r="C105" i="6"/>
  <c r="F104" i="6"/>
  <c r="E104" i="6"/>
  <c r="F47" i="5"/>
  <c r="C48" i="5"/>
  <c r="E47" i="5"/>
  <c r="F37" i="4"/>
  <c r="E37" i="4"/>
  <c r="C38" i="4"/>
  <c r="E46" i="3"/>
  <c r="C47" i="3"/>
  <c r="F46" i="3"/>
  <c r="C38" i="2"/>
  <c r="F37" i="2"/>
  <c r="E37" i="2"/>
  <c r="C105" i="1"/>
  <c r="F104" i="1"/>
  <c r="E104" i="1"/>
  <c r="F42" i="19" l="1"/>
  <c r="C48" i="13"/>
  <c r="E47" i="13"/>
  <c r="F47" i="13"/>
  <c r="B52" i="12"/>
  <c r="E51" i="12"/>
  <c r="D51" i="12"/>
  <c r="C39" i="10"/>
  <c r="F38" i="10"/>
  <c r="E38" i="10"/>
  <c r="F105" i="9"/>
  <c r="E105" i="9"/>
  <c r="C106" i="9"/>
  <c r="E105" i="8"/>
  <c r="C106" i="8"/>
  <c r="F105" i="8"/>
  <c r="C202" i="7"/>
  <c r="F201" i="7"/>
  <c r="E201" i="7"/>
  <c r="F105" i="6"/>
  <c r="E105" i="6"/>
  <c r="C106" i="6"/>
  <c r="C49" i="5"/>
  <c r="E48" i="5"/>
  <c r="F48" i="5"/>
  <c r="C39" i="4"/>
  <c r="F38" i="4"/>
  <c r="E38" i="4"/>
  <c r="C48" i="3"/>
  <c r="F47" i="3"/>
  <c r="E47" i="3"/>
  <c r="F38" i="2"/>
  <c r="C39" i="2"/>
  <c r="E38" i="2"/>
  <c r="C106" i="1"/>
  <c r="F105" i="1"/>
  <c r="E105" i="1"/>
  <c r="F43" i="19" l="1"/>
  <c r="F48" i="13"/>
  <c r="E48" i="13"/>
  <c r="C49" i="13"/>
  <c r="E52" i="12"/>
  <c r="D52" i="12"/>
  <c r="B53" i="12"/>
  <c r="C40" i="10"/>
  <c r="E39" i="10"/>
  <c r="F39" i="10"/>
  <c r="C107" i="9"/>
  <c r="F106" i="9"/>
  <c r="E106" i="9"/>
  <c r="F106" i="8"/>
  <c r="E106" i="8"/>
  <c r="C107" i="8"/>
  <c r="F202" i="7"/>
  <c r="E202" i="7"/>
  <c r="C203" i="7"/>
  <c r="C107" i="6"/>
  <c r="F106" i="6"/>
  <c r="E106" i="6"/>
  <c r="F49" i="5"/>
  <c r="E49" i="5"/>
  <c r="C50" i="5"/>
  <c r="F39" i="4"/>
  <c r="E39" i="4"/>
  <c r="C40" i="4"/>
  <c r="F48" i="3"/>
  <c r="E48" i="3"/>
  <c r="C49" i="3"/>
  <c r="E39" i="2"/>
  <c r="F39" i="2"/>
  <c r="C40" i="2"/>
  <c r="C107" i="1"/>
  <c r="F106" i="1"/>
  <c r="E106" i="1"/>
  <c r="F44" i="19" l="1"/>
  <c r="C50" i="13"/>
  <c r="F49" i="13"/>
  <c r="E49" i="13"/>
  <c r="B54" i="12"/>
  <c r="E53" i="12"/>
  <c r="D53" i="12"/>
  <c r="C41" i="10"/>
  <c r="E40" i="10"/>
  <c r="F40" i="10"/>
  <c r="F107" i="9"/>
  <c r="E107" i="9"/>
  <c r="C108" i="9"/>
  <c r="E107" i="8"/>
  <c r="F107" i="8"/>
  <c r="C108" i="8"/>
  <c r="C204" i="7"/>
  <c r="F203" i="7"/>
  <c r="E203" i="7"/>
  <c r="F107" i="6"/>
  <c r="E107" i="6"/>
  <c r="C108" i="6"/>
  <c r="C51" i="5"/>
  <c r="E50" i="5"/>
  <c r="F50" i="5"/>
  <c r="C41" i="4"/>
  <c r="F40" i="4"/>
  <c r="E40" i="4"/>
  <c r="E49" i="3"/>
  <c r="C50" i="3"/>
  <c r="F49" i="3"/>
  <c r="F40" i="2"/>
  <c r="C41" i="2"/>
  <c r="E40" i="2"/>
  <c r="C108" i="1"/>
  <c r="F107" i="1"/>
  <c r="E107" i="1"/>
  <c r="F45" i="19" l="1"/>
  <c r="E50" i="13"/>
  <c r="C51" i="13"/>
  <c r="F50" i="13"/>
  <c r="B55" i="12"/>
  <c r="E54" i="12"/>
  <c r="D54" i="12"/>
  <c r="C42" i="10"/>
  <c r="F41" i="10"/>
  <c r="E41" i="10"/>
  <c r="C109" i="9"/>
  <c r="F108" i="9"/>
  <c r="E108" i="9"/>
  <c r="F108" i="8"/>
  <c r="E108" i="8"/>
  <c r="C109" i="8"/>
  <c r="C205" i="7"/>
  <c r="F204" i="7"/>
  <c r="E204" i="7"/>
  <c r="C109" i="6"/>
  <c r="F108" i="6"/>
  <c r="E108" i="6"/>
  <c r="F51" i="5"/>
  <c r="C52" i="5"/>
  <c r="E51" i="5"/>
  <c r="F41" i="4"/>
  <c r="E41" i="4"/>
  <c r="C42" i="4"/>
  <c r="C51" i="3"/>
  <c r="F50" i="3"/>
  <c r="E50" i="3"/>
  <c r="F41" i="2"/>
  <c r="E41" i="2"/>
  <c r="C42" i="2"/>
  <c r="C109" i="1"/>
  <c r="F108" i="1"/>
  <c r="E108" i="1"/>
  <c r="F46" i="19" l="1"/>
  <c r="C52" i="13"/>
  <c r="F51" i="13"/>
  <c r="E51" i="13"/>
  <c r="D55" i="12"/>
  <c r="B56" i="12"/>
  <c r="E55" i="12"/>
  <c r="F42" i="10"/>
  <c r="C43" i="10"/>
  <c r="E42" i="10"/>
  <c r="F109" i="9"/>
  <c r="E109" i="9"/>
  <c r="C110" i="9"/>
  <c r="E109" i="8"/>
  <c r="C110" i="8"/>
  <c r="F109" i="8"/>
  <c r="C206" i="7"/>
  <c r="F205" i="7"/>
  <c r="E205" i="7"/>
  <c r="F109" i="6"/>
  <c r="E109" i="6"/>
  <c r="C110" i="6"/>
  <c r="C53" i="5"/>
  <c r="E52" i="5"/>
  <c r="F52" i="5"/>
  <c r="E42" i="4"/>
  <c r="C43" i="4"/>
  <c r="F42" i="4"/>
  <c r="E51" i="3"/>
  <c r="F51" i="3"/>
  <c r="C52" i="3"/>
  <c r="F42" i="2"/>
  <c r="C43" i="2"/>
  <c r="E42" i="2"/>
  <c r="C110" i="1"/>
  <c r="F109" i="1"/>
  <c r="E109" i="1"/>
  <c r="F47" i="19" l="1"/>
  <c r="C53" i="13"/>
  <c r="F52" i="13"/>
  <c r="E52" i="13"/>
  <c r="B57" i="12"/>
  <c r="E56" i="12"/>
  <c r="D56" i="12"/>
  <c r="C44" i="10"/>
  <c r="F43" i="10"/>
  <c r="E43" i="10"/>
  <c r="C111" i="9"/>
  <c r="F110" i="9"/>
  <c r="E110" i="9"/>
  <c r="C111" i="8"/>
  <c r="F110" i="8"/>
  <c r="E110" i="8"/>
  <c r="E206" i="7"/>
  <c r="C207" i="7"/>
  <c r="F206" i="7"/>
  <c r="C111" i="6"/>
  <c r="F110" i="6"/>
  <c r="E110" i="6"/>
  <c r="F53" i="5"/>
  <c r="E53" i="5"/>
  <c r="C54" i="5"/>
  <c r="F43" i="4"/>
  <c r="E43" i="4"/>
  <c r="C44" i="4"/>
  <c r="C53" i="3"/>
  <c r="F52" i="3"/>
  <c r="E52" i="3"/>
  <c r="F43" i="2"/>
  <c r="E43" i="2"/>
  <c r="C44" i="2"/>
  <c r="C112" i="1"/>
  <c r="F110" i="1"/>
  <c r="E110" i="1"/>
  <c r="F48" i="19" l="1"/>
  <c r="F53" i="13"/>
  <c r="E53" i="13"/>
  <c r="C54" i="13"/>
  <c r="B58" i="12"/>
  <c r="E57" i="12"/>
  <c r="D57" i="12"/>
  <c r="C45" i="10"/>
  <c r="F44" i="10"/>
  <c r="E44" i="10"/>
  <c r="F111" i="9"/>
  <c r="E111" i="9"/>
  <c r="C112" i="9"/>
  <c r="E111" i="8"/>
  <c r="C112" i="8"/>
  <c r="F111" i="8"/>
  <c r="C208" i="7"/>
  <c r="F207" i="7"/>
  <c r="E207" i="7"/>
  <c r="F111" i="6"/>
  <c r="E111" i="6"/>
  <c r="C112" i="6"/>
  <c r="C55" i="5"/>
  <c r="E54" i="5"/>
  <c r="F54" i="5"/>
  <c r="C45" i="4"/>
  <c r="F44" i="4"/>
  <c r="E44" i="4"/>
  <c r="C54" i="3"/>
  <c r="F53" i="3"/>
  <c r="E53" i="3"/>
  <c r="F44" i="2"/>
  <c r="E44" i="2"/>
  <c r="C45" i="2"/>
  <c r="C113" i="1"/>
  <c r="F112" i="1"/>
  <c r="E112" i="1"/>
  <c r="F49" i="19" l="1"/>
  <c r="C55" i="13"/>
  <c r="F54" i="13"/>
  <c r="E54" i="13"/>
  <c r="B59" i="12"/>
  <c r="E58" i="12"/>
  <c r="D58" i="12"/>
  <c r="C46" i="10"/>
  <c r="F45" i="10"/>
  <c r="E45" i="10"/>
  <c r="C113" i="9"/>
  <c r="E112" i="9"/>
  <c r="F112" i="9"/>
  <c r="C113" i="8"/>
  <c r="F112" i="8"/>
  <c r="E112" i="8"/>
  <c r="C209" i="7"/>
  <c r="F208" i="7"/>
  <c r="E208" i="7"/>
  <c r="C113" i="6"/>
  <c r="F112" i="6"/>
  <c r="E112" i="6"/>
  <c r="F55" i="5"/>
  <c r="C56" i="5"/>
  <c r="E55" i="5"/>
  <c r="F45" i="4"/>
  <c r="E45" i="4"/>
  <c r="C46" i="4"/>
  <c r="E54" i="3"/>
  <c r="F54" i="3"/>
  <c r="C55" i="3"/>
  <c r="C46" i="2"/>
  <c r="F45" i="2"/>
  <c r="E45" i="2"/>
  <c r="C114" i="1"/>
  <c r="F113" i="1"/>
  <c r="E113" i="1"/>
  <c r="F50" i="19" l="1"/>
  <c r="C56" i="13"/>
  <c r="E55" i="13"/>
  <c r="F55" i="13"/>
  <c r="B60" i="12"/>
  <c r="E59" i="12"/>
  <c r="D59" i="12"/>
  <c r="E46" i="10"/>
  <c r="C47" i="10"/>
  <c r="F46" i="10"/>
  <c r="C114" i="9"/>
  <c r="F113" i="9"/>
  <c r="E113" i="9"/>
  <c r="E113" i="8"/>
  <c r="F113" i="8"/>
  <c r="C114" i="8"/>
  <c r="C210" i="7"/>
  <c r="F209" i="7"/>
  <c r="E209" i="7"/>
  <c r="F113" i="6"/>
  <c r="E113" i="6"/>
  <c r="C114" i="6"/>
  <c r="C57" i="5"/>
  <c r="E56" i="5"/>
  <c r="F56" i="5"/>
  <c r="C47" i="4"/>
  <c r="F46" i="4"/>
  <c r="E46" i="4"/>
  <c r="C56" i="3"/>
  <c r="F55" i="3"/>
  <c r="E55" i="3"/>
  <c r="F46" i="2"/>
  <c r="C47" i="2"/>
  <c r="E46" i="2"/>
  <c r="C115" i="1"/>
  <c r="F114" i="1"/>
  <c r="E114" i="1"/>
  <c r="F51" i="19" l="1"/>
  <c r="F56" i="13"/>
  <c r="E56" i="13"/>
  <c r="C57" i="13"/>
  <c r="E60" i="12"/>
  <c r="D60" i="12"/>
  <c r="B61" i="12"/>
  <c r="C48" i="10"/>
  <c r="F47" i="10"/>
  <c r="E47" i="10"/>
  <c r="F114" i="9"/>
  <c r="C115" i="9"/>
  <c r="E114" i="9"/>
  <c r="C115" i="8"/>
  <c r="E114" i="8"/>
  <c r="F114" i="8"/>
  <c r="F210" i="7"/>
  <c r="E210" i="7"/>
  <c r="C211" i="7"/>
  <c r="C115" i="6"/>
  <c r="F114" i="6"/>
  <c r="E114" i="6"/>
  <c r="F57" i="5"/>
  <c r="E57" i="5"/>
  <c r="C58" i="5"/>
  <c r="F47" i="4"/>
  <c r="E47" i="4"/>
  <c r="C48" i="4"/>
  <c r="F56" i="3"/>
  <c r="E56" i="3"/>
  <c r="C57" i="3"/>
  <c r="C48" i="2"/>
  <c r="F47" i="2"/>
  <c r="E47" i="2"/>
  <c r="C116" i="1"/>
  <c r="F115" i="1"/>
  <c r="E115" i="1"/>
  <c r="F52" i="19" l="1"/>
  <c r="C58" i="13"/>
  <c r="F57" i="13"/>
  <c r="E57" i="13"/>
  <c r="B62" i="12"/>
  <c r="E61" i="12"/>
  <c r="D61" i="12"/>
  <c r="F48" i="10"/>
  <c r="E48" i="10"/>
  <c r="C49" i="10"/>
  <c r="C116" i="9"/>
  <c r="F115" i="9"/>
  <c r="E115" i="9"/>
  <c r="E115" i="8"/>
  <c r="C116" i="8"/>
  <c r="F115" i="8"/>
  <c r="C212" i="7"/>
  <c r="F211" i="7"/>
  <c r="E211" i="7"/>
  <c r="F115" i="6"/>
  <c r="E115" i="6"/>
  <c r="C116" i="6"/>
  <c r="C59" i="5"/>
  <c r="F58" i="5"/>
  <c r="C49" i="4"/>
  <c r="F48" i="4"/>
  <c r="E48" i="4"/>
  <c r="C58" i="3"/>
  <c r="E57" i="3"/>
  <c r="F57" i="3"/>
  <c r="F48" i="2"/>
  <c r="E48" i="2"/>
  <c r="C49" i="2"/>
  <c r="C117" i="1"/>
  <c r="F116" i="1"/>
  <c r="E116" i="1"/>
  <c r="F53" i="19" l="1"/>
  <c r="F58" i="13"/>
  <c r="E58" i="13"/>
  <c r="C59" i="13"/>
  <c r="B63" i="12"/>
  <c r="E62" i="12"/>
  <c r="D62" i="12"/>
  <c r="C50" i="10"/>
  <c r="E49" i="10"/>
  <c r="F49" i="10"/>
  <c r="E116" i="9"/>
  <c r="C117" i="9"/>
  <c r="F116" i="9"/>
  <c r="C117" i="8"/>
  <c r="F116" i="8"/>
  <c r="E116" i="8"/>
  <c r="C213" i="7"/>
  <c r="F212" i="7"/>
  <c r="E212" i="7"/>
  <c r="C117" i="6"/>
  <c r="F116" i="6"/>
  <c r="E116" i="6"/>
  <c r="F59" i="5"/>
  <c r="E58" i="5"/>
  <c r="C60" i="5"/>
  <c r="F49" i="4"/>
  <c r="E49" i="4"/>
  <c r="C50" i="4"/>
  <c r="C59" i="3"/>
  <c r="F58" i="3"/>
  <c r="E58" i="3"/>
  <c r="C50" i="2"/>
  <c r="F49" i="2"/>
  <c r="E49" i="2"/>
  <c r="C118" i="1"/>
  <c r="F117" i="1"/>
  <c r="E117" i="1"/>
  <c r="F54" i="19" l="1"/>
  <c r="C60" i="13"/>
  <c r="F59" i="13"/>
  <c r="E59" i="13"/>
  <c r="D63" i="12"/>
  <c r="B64" i="12"/>
  <c r="E63" i="12"/>
  <c r="F50" i="10"/>
  <c r="E50" i="10"/>
  <c r="C51" i="10"/>
  <c r="C118" i="9"/>
  <c r="F117" i="9"/>
  <c r="E117" i="9"/>
  <c r="E117" i="8"/>
  <c r="C118" i="8"/>
  <c r="F117" i="8"/>
  <c r="C214" i="7"/>
  <c r="F213" i="7"/>
  <c r="E213" i="7"/>
  <c r="F117" i="6"/>
  <c r="E117" i="6"/>
  <c r="C118" i="6"/>
  <c r="C61" i="5"/>
  <c r="F60" i="5"/>
  <c r="E59" i="5"/>
  <c r="E50" i="4"/>
  <c r="F50" i="4"/>
  <c r="C51" i="4"/>
  <c r="C60" i="3"/>
  <c r="E59" i="3"/>
  <c r="F59" i="3"/>
  <c r="F50" i="2"/>
  <c r="E50" i="2"/>
  <c r="C51" i="2"/>
  <c r="C119" i="1"/>
  <c r="F118" i="1"/>
  <c r="E118" i="1"/>
  <c r="F55" i="19" l="1"/>
  <c r="F60" i="13"/>
  <c r="E60" i="13"/>
  <c r="C61" i="13"/>
  <c r="B65" i="12"/>
  <c r="E64" i="12"/>
  <c r="D64" i="12"/>
  <c r="C52" i="10"/>
  <c r="F51" i="10"/>
  <c r="E51" i="10"/>
  <c r="F118" i="9"/>
  <c r="E118" i="9"/>
  <c r="C119" i="9"/>
  <c r="F118" i="8"/>
  <c r="E118" i="8"/>
  <c r="C119" i="8"/>
  <c r="C215" i="7"/>
  <c r="F214" i="7"/>
  <c r="E214" i="7"/>
  <c r="C119" i="6"/>
  <c r="F118" i="6"/>
  <c r="E118" i="6"/>
  <c r="F61" i="5"/>
  <c r="E60" i="5"/>
  <c r="E61" i="5"/>
  <c r="C62" i="5"/>
  <c r="F51" i="4"/>
  <c r="E51" i="4"/>
  <c r="C52" i="4"/>
  <c r="C61" i="3"/>
  <c r="F60" i="3"/>
  <c r="C52" i="2"/>
  <c r="F51" i="2"/>
  <c r="E51" i="2"/>
  <c r="C120" i="1"/>
  <c r="F119" i="1"/>
  <c r="E119" i="1"/>
  <c r="F56" i="19" l="1"/>
  <c r="C62" i="13"/>
  <c r="F61" i="13"/>
  <c r="E61" i="13"/>
  <c r="B66" i="12"/>
  <c r="E65" i="12"/>
  <c r="D65" i="12"/>
  <c r="E52" i="10"/>
  <c r="C53" i="10"/>
  <c r="F52" i="10"/>
  <c r="C120" i="9"/>
  <c r="E119" i="9"/>
  <c r="F119" i="9"/>
  <c r="E119" i="8"/>
  <c r="C120" i="8"/>
  <c r="F119" i="8"/>
  <c r="C216" i="7"/>
  <c r="F215" i="7"/>
  <c r="E215" i="7"/>
  <c r="F119" i="6"/>
  <c r="E119" i="6"/>
  <c r="C120" i="6"/>
  <c r="C63" i="5"/>
  <c r="E62" i="5"/>
  <c r="F62" i="5"/>
  <c r="F52" i="4"/>
  <c r="C53" i="4"/>
  <c r="E52" i="4"/>
  <c r="C62" i="3"/>
  <c r="E60" i="3"/>
  <c r="F61" i="3"/>
  <c r="E61" i="3"/>
  <c r="F52" i="2"/>
  <c r="C53" i="2"/>
  <c r="E52" i="2"/>
  <c r="C121" i="1"/>
  <c r="F120" i="1"/>
  <c r="E120" i="1"/>
  <c r="F57" i="19" l="1"/>
  <c r="F62" i="13"/>
  <c r="E62" i="13"/>
  <c r="C63" i="13"/>
  <c r="B67" i="12"/>
  <c r="E66" i="12"/>
  <c r="D66" i="12"/>
  <c r="C54" i="10"/>
  <c r="E53" i="10"/>
  <c r="F53" i="10"/>
  <c r="C121" i="9"/>
  <c r="F120" i="9"/>
  <c r="E120" i="9"/>
  <c r="C121" i="8"/>
  <c r="F120" i="8"/>
  <c r="E120" i="8"/>
  <c r="C217" i="7"/>
  <c r="F216" i="7"/>
  <c r="E216" i="7"/>
  <c r="C121" i="6"/>
  <c r="F120" i="6"/>
  <c r="E120" i="6"/>
  <c r="F63" i="5"/>
  <c r="C64" i="5"/>
  <c r="E63" i="5"/>
  <c r="F53" i="4"/>
  <c r="E53" i="4"/>
  <c r="C54" i="4"/>
  <c r="E62" i="3"/>
  <c r="F62" i="3"/>
  <c r="C63" i="3"/>
  <c r="F53" i="2"/>
  <c r="E53" i="2"/>
  <c r="C54" i="2"/>
  <c r="C122" i="1"/>
  <c r="F121" i="1"/>
  <c r="E121" i="1"/>
  <c r="F58" i="19" l="1"/>
  <c r="C64" i="13"/>
  <c r="F63" i="13"/>
  <c r="E63" i="13"/>
  <c r="B68" i="12"/>
  <c r="E67" i="12"/>
  <c r="D67" i="12"/>
  <c r="E54" i="10"/>
  <c r="F54" i="10"/>
  <c r="C55" i="10"/>
  <c r="C122" i="9"/>
  <c r="F121" i="9"/>
  <c r="E121" i="9"/>
  <c r="E121" i="8"/>
  <c r="F121" i="8"/>
  <c r="C122" i="8"/>
  <c r="C218" i="7"/>
  <c r="F217" i="7"/>
  <c r="E217" i="7"/>
  <c r="F121" i="6"/>
  <c r="E121" i="6"/>
  <c r="C122" i="6"/>
  <c r="C65" i="5"/>
  <c r="E64" i="5"/>
  <c r="F64" i="5"/>
  <c r="C55" i="4"/>
  <c r="F54" i="4"/>
  <c r="E54" i="4"/>
  <c r="C64" i="3"/>
  <c r="E63" i="3"/>
  <c r="F63" i="3"/>
  <c r="F54" i="2"/>
  <c r="C55" i="2"/>
  <c r="E54" i="2"/>
  <c r="C123" i="1"/>
  <c r="F122" i="1"/>
  <c r="E122" i="1"/>
  <c r="F59" i="19" l="1"/>
  <c r="F64" i="13"/>
  <c r="E64" i="13"/>
  <c r="C65" i="13"/>
  <c r="E68" i="12"/>
  <c r="D68" i="12"/>
  <c r="B69" i="12"/>
  <c r="C56" i="10"/>
  <c r="F55" i="10"/>
  <c r="E55" i="10"/>
  <c r="C123" i="9"/>
  <c r="F122" i="9"/>
  <c r="E122" i="9"/>
  <c r="E122" i="8"/>
  <c r="C123" i="8"/>
  <c r="F122" i="8"/>
  <c r="C219" i="7"/>
  <c r="F218" i="7"/>
  <c r="E218" i="7"/>
  <c r="C123" i="6"/>
  <c r="F122" i="6"/>
  <c r="E122" i="6"/>
  <c r="F65" i="5"/>
  <c r="E65" i="5"/>
  <c r="C66" i="5"/>
  <c r="F55" i="4"/>
  <c r="E55" i="4"/>
  <c r="C56" i="4"/>
  <c r="F64" i="3"/>
  <c r="C65" i="3"/>
  <c r="E64" i="3"/>
  <c r="E55" i="2"/>
  <c r="C56" i="2"/>
  <c r="F55" i="2"/>
  <c r="C125" i="1"/>
  <c r="F123" i="1"/>
  <c r="E123" i="1"/>
  <c r="F60" i="19" l="1"/>
  <c r="C66" i="13"/>
  <c r="F65" i="13"/>
  <c r="E65" i="13"/>
  <c r="B70" i="12"/>
  <c r="E69" i="12"/>
  <c r="D69" i="12"/>
  <c r="E56" i="10"/>
  <c r="C57" i="10"/>
  <c r="F56" i="10"/>
  <c r="E123" i="9"/>
  <c r="C124" i="9"/>
  <c r="F123" i="9"/>
  <c r="E123" i="8"/>
  <c r="C124" i="8"/>
  <c r="F123" i="8"/>
  <c r="C220" i="7"/>
  <c r="F219" i="7"/>
  <c r="E219" i="7"/>
  <c r="F123" i="6"/>
  <c r="E123" i="6"/>
  <c r="C124" i="6"/>
  <c r="C67" i="5"/>
  <c r="E66" i="5"/>
  <c r="F66" i="5"/>
  <c r="C57" i="4"/>
  <c r="F56" i="4"/>
  <c r="E56" i="4"/>
  <c r="C66" i="3"/>
  <c r="F65" i="3"/>
  <c r="E65" i="3"/>
  <c r="F56" i="2"/>
  <c r="C57" i="2"/>
  <c r="E56" i="2"/>
  <c r="C126" i="1"/>
  <c r="F125" i="1"/>
  <c r="E125" i="1"/>
  <c r="F61" i="19" l="1"/>
  <c r="F66" i="13"/>
  <c r="E66" i="13"/>
  <c r="C67" i="13"/>
  <c r="B71" i="12"/>
  <c r="E70" i="12"/>
  <c r="D70" i="12"/>
  <c r="C58" i="10"/>
  <c r="F57" i="10"/>
  <c r="E57" i="10"/>
  <c r="C125" i="9"/>
  <c r="F124" i="9"/>
  <c r="E124" i="9"/>
  <c r="C125" i="8"/>
  <c r="F124" i="8"/>
  <c r="E124" i="8"/>
  <c r="C221" i="7"/>
  <c r="F220" i="7"/>
  <c r="E220" i="7"/>
  <c r="C125" i="6"/>
  <c r="F124" i="6"/>
  <c r="E124" i="6"/>
  <c r="F67" i="5"/>
  <c r="E67" i="5"/>
  <c r="C68" i="5"/>
  <c r="F57" i="4"/>
  <c r="E57" i="4"/>
  <c r="C58" i="4"/>
  <c r="E66" i="3"/>
  <c r="C67" i="3"/>
  <c r="F66" i="3"/>
  <c r="F57" i="2"/>
  <c r="E57" i="2"/>
  <c r="C58" i="2"/>
  <c r="C127" i="1"/>
  <c r="F126" i="1"/>
  <c r="E126" i="1"/>
  <c r="F62" i="19" l="1"/>
  <c r="C68" i="13"/>
  <c r="F67" i="13"/>
  <c r="E67" i="13"/>
  <c r="D71" i="12"/>
  <c r="B72" i="12"/>
  <c r="E71" i="12"/>
  <c r="E58" i="10"/>
  <c r="F58" i="10"/>
  <c r="C59" i="10"/>
  <c r="F125" i="9"/>
  <c r="E125" i="9"/>
  <c r="C126" i="9"/>
  <c r="E125" i="8"/>
  <c r="C126" i="8"/>
  <c r="F125" i="8"/>
  <c r="C222" i="7"/>
  <c r="F221" i="7"/>
  <c r="E221" i="7"/>
  <c r="F125" i="6"/>
  <c r="E125" i="6"/>
  <c r="C126" i="6"/>
  <c r="C69" i="5"/>
  <c r="E68" i="5"/>
  <c r="F68" i="5"/>
  <c r="E58" i="4"/>
  <c r="C59" i="4"/>
  <c r="F58" i="4"/>
  <c r="C68" i="3"/>
  <c r="F67" i="3"/>
  <c r="E67" i="3"/>
  <c r="F58" i="2"/>
  <c r="C59" i="2"/>
  <c r="E58" i="2"/>
  <c r="C128" i="1"/>
  <c r="F127" i="1"/>
  <c r="E127" i="1"/>
  <c r="F63" i="19" l="1"/>
  <c r="F68" i="13"/>
  <c r="E68" i="13"/>
  <c r="C69" i="13"/>
  <c r="B73" i="12"/>
  <c r="E72" i="12"/>
  <c r="D72" i="12"/>
  <c r="C60" i="10"/>
  <c r="F59" i="10"/>
  <c r="E59" i="10"/>
  <c r="C127" i="9"/>
  <c r="F126" i="9"/>
  <c r="E126" i="9"/>
  <c r="F126" i="8"/>
  <c r="E126" i="8"/>
  <c r="C127" i="8"/>
  <c r="C223" i="7"/>
  <c r="E222" i="7"/>
  <c r="F222" i="7"/>
  <c r="C127" i="6"/>
  <c r="F126" i="6"/>
  <c r="E126" i="6"/>
  <c r="F69" i="5"/>
  <c r="E69" i="5"/>
  <c r="C70" i="5"/>
  <c r="F59" i="4"/>
  <c r="E59" i="4"/>
  <c r="C60" i="4"/>
  <c r="C69" i="3"/>
  <c r="F68" i="3"/>
  <c r="E68" i="3"/>
  <c r="F59" i="2"/>
  <c r="E59" i="2"/>
  <c r="C60" i="2"/>
  <c r="C129" i="1"/>
  <c r="F128" i="1"/>
  <c r="E128" i="1"/>
  <c r="F64" i="19" l="1"/>
  <c r="C70" i="13"/>
  <c r="F69" i="13"/>
  <c r="E69" i="13"/>
  <c r="B74" i="12"/>
  <c r="E73" i="12"/>
  <c r="D73" i="12"/>
  <c r="E60" i="10"/>
  <c r="C61" i="10"/>
  <c r="F60" i="10"/>
  <c r="F127" i="9"/>
  <c r="E127" i="9"/>
  <c r="C128" i="9"/>
  <c r="E127" i="8"/>
  <c r="C128" i="8"/>
  <c r="F127" i="8"/>
  <c r="C224" i="7"/>
  <c r="F223" i="7"/>
  <c r="E223" i="7"/>
  <c r="F127" i="6"/>
  <c r="E127" i="6"/>
  <c r="C128" i="6"/>
  <c r="C71" i="5"/>
  <c r="E70" i="5"/>
  <c r="F70" i="5"/>
  <c r="F60" i="4"/>
  <c r="E60" i="4"/>
  <c r="C61" i="4"/>
  <c r="C70" i="3"/>
  <c r="E69" i="3"/>
  <c r="F69" i="3"/>
  <c r="F60" i="2"/>
  <c r="C61" i="2"/>
  <c r="E60" i="2"/>
  <c r="C130" i="1"/>
  <c r="F129" i="1"/>
  <c r="E129" i="1"/>
  <c r="F65" i="19" l="1"/>
  <c r="F70" i="13"/>
  <c r="E70" i="13"/>
  <c r="C71" i="13"/>
  <c r="B75" i="12"/>
  <c r="E74" i="12"/>
  <c r="D74" i="12"/>
  <c r="C62" i="10"/>
  <c r="E61" i="10"/>
  <c r="F61" i="10"/>
  <c r="E128" i="9"/>
  <c r="F128" i="9"/>
  <c r="C129" i="9"/>
  <c r="C129" i="8"/>
  <c r="F128" i="8"/>
  <c r="E128" i="8"/>
  <c r="C225" i="7"/>
  <c r="F224" i="7"/>
  <c r="E224" i="7"/>
  <c r="C129" i="6"/>
  <c r="F128" i="6"/>
  <c r="E128" i="6"/>
  <c r="F71" i="5"/>
  <c r="E71" i="5"/>
  <c r="C72" i="5"/>
  <c r="F61" i="4"/>
  <c r="E61" i="4"/>
  <c r="C62" i="4"/>
  <c r="E70" i="3"/>
  <c r="C71" i="3"/>
  <c r="F70" i="3"/>
  <c r="C62" i="2"/>
  <c r="F61" i="2"/>
  <c r="E61" i="2"/>
  <c r="C131" i="1"/>
  <c r="F130" i="1"/>
  <c r="E130" i="1"/>
  <c r="F66" i="19" l="1"/>
  <c r="C72" i="13"/>
  <c r="F71" i="13"/>
  <c r="E71" i="13"/>
  <c r="B76" i="12"/>
  <c r="E75" i="12"/>
  <c r="D75" i="12"/>
  <c r="E62" i="10"/>
  <c r="F62" i="10"/>
  <c r="C63" i="10"/>
  <c r="C130" i="9"/>
  <c r="F129" i="9"/>
  <c r="E129" i="9"/>
  <c r="E129" i="8"/>
  <c r="C130" i="8"/>
  <c r="F129" i="8"/>
  <c r="C226" i="7"/>
  <c r="F225" i="7"/>
  <c r="E225" i="7"/>
  <c r="F129" i="6"/>
  <c r="E129" i="6"/>
  <c r="C130" i="6"/>
  <c r="C73" i="5"/>
  <c r="E72" i="5"/>
  <c r="F72" i="5"/>
  <c r="C63" i="4"/>
  <c r="F62" i="4"/>
  <c r="E62" i="4"/>
  <c r="C72" i="3"/>
  <c r="E71" i="3"/>
  <c r="F71" i="3"/>
  <c r="F62" i="2"/>
  <c r="C63" i="2"/>
  <c r="E62" i="2"/>
  <c r="C132" i="1"/>
  <c r="F131" i="1"/>
  <c r="E131" i="1"/>
  <c r="F67" i="19" l="1"/>
  <c r="F72" i="13"/>
  <c r="E72" i="13"/>
  <c r="C73" i="13"/>
  <c r="E76" i="12"/>
  <c r="D76" i="12"/>
  <c r="B77" i="12"/>
  <c r="C64" i="10"/>
  <c r="F63" i="10"/>
  <c r="E63" i="10"/>
  <c r="E130" i="9"/>
  <c r="C131" i="9"/>
  <c r="F130" i="9"/>
  <c r="C131" i="8"/>
  <c r="F130" i="8"/>
  <c r="E130" i="8"/>
  <c r="C227" i="7"/>
  <c r="F226" i="7"/>
  <c r="E226" i="7"/>
  <c r="C131" i="6"/>
  <c r="F130" i="6"/>
  <c r="E130" i="6"/>
  <c r="F73" i="5"/>
  <c r="E73" i="5"/>
  <c r="C74" i="5"/>
  <c r="F63" i="4"/>
  <c r="E63" i="4"/>
  <c r="C64" i="4"/>
  <c r="F72" i="3"/>
  <c r="E72" i="3"/>
  <c r="C73" i="3"/>
  <c r="C64" i="2"/>
  <c r="F63" i="2"/>
  <c r="E63" i="2"/>
  <c r="C133" i="1"/>
  <c r="F132" i="1"/>
  <c r="E132" i="1"/>
  <c r="F68" i="19" l="1"/>
  <c r="C74" i="13"/>
  <c r="F73" i="13"/>
  <c r="E73" i="13"/>
  <c r="B78" i="12"/>
  <c r="E77" i="12"/>
  <c r="D77" i="12"/>
  <c r="E64" i="10"/>
  <c r="C65" i="10"/>
  <c r="F64" i="10"/>
  <c r="C132" i="9"/>
  <c r="F131" i="9"/>
  <c r="E131" i="9"/>
  <c r="E131" i="8"/>
  <c r="C132" i="8"/>
  <c r="F131" i="8"/>
  <c r="F227" i="7"/>
  <c r="E227" i="7"/>
  <c r="C228" i="7"/>
  <c r="F131" i="6"/>
  <c r="E131" i="6"/>
  <c r="C132" i="6"/>
  <c r="C75" i="5"/>
  <c r="E74" i="5"/>
  <c r="F74" i="5"/>
  <c r="C65" i="4"/>
  <c r="F64" i="4"/>
  <c r="E64" i="4"/>
  <c r="C74" i="3"/>
  <c r="F73" i="3"/>
  <c r="E73" i="3"/>
  <c r="F64" i="2"/>
  <c r="E64" i="2"/>
  <c r="C65" i="2"/>
  <c r="C134" i="1"/>
  <c r="F133" i="1"/>
  <c r="E133" i="1"/>
  <c r="F69" i="19" l="1"/>
  <c r="F74" i="13"/>
  <c r="E74" i="13"/>
  <c r="C75" i="13"/>
  <c r="B79" i="12"/>
  <c r="E78" i="12"/>
  <c r="D78" i="12"/>
  <c r="C66" i="10"/>
  <c r="F65" i="10"/>
  <c r="E65" i="10"/>
  <c r="E132" i="9"/>
  <c r="C133" i="9"/>
  <c r="F132" i="9"/>
  <c r="C133" i="8"/>
  <c r="F132" i="8"/>
  <c r="E132" i="8"/>
  <c r="C229" i="7"/>
  <c r="E228" i="7"/>
  <c r="F228" i="7"/>
  <c r="C133" i="6"/>
  <c r="F132" i="6"/>
  <c r="E132" i="6"/>
  <c r="F75" i="5"/>
  <c r="E75" i="5"/>
  <c r="C76" i="5"/>
  <c r="F65" i="4"/>
  <c r="E65" i="4"/>
  <c r="C66" i="4"/>
  <c r="F74" i="3"/>
  <c r="E74" i="3"/>
  <c r="C75" i="3"/>
  <c r="C66" i="2"/>
  <c r="F65" i="2"/>
  <c r="E65" i="2"/>
  <c r="C135" i="1"/>
  <c r="F134" i="1"/>
  <c r="E134" i="1"/>
  <c r="F70" i="19" l="1"/>
  <c r="C76" i="13"/>
  <c r="F75" i="13"/>
  <c r="E75" i="13"/>
  <c r="D79" i="12"/>
  <c r="B80" i="12"/>
  <c r="E79" i="12"/>
  <c r="E66" i="10"/>
  <c r="F66" i="10"/>
  <c r="C67" i="10"/>
  <c r="C134" i="9"/>
  <c r="F133" i="9"/>
  <c r="E133" i="9"/>
  <c r="E133" i="8"/>
  <c r="C134" i="8"/>
  <c r="F133" i="8"/>
  <c r="F229" i="7"/>
  <c r="E229" i="7"/>
  <c r="C230" i="7"/>
  <c r="F133" i="6"/>
  <c r="E133" i="6"/>
  <c r="C134" i="6"/>
  <c r="C77" i="5"/>
  <c r="E76" i="5"/>
  <c r="F76" i="5"/>
  <c r="F66" i="4"/>
  <c r="E66" i="4"/>
  <c r="C67" i="4"/>
  <c r="C76" i="3"/>
  <c r="E75" i="3"/>
  <c r="F75" i="3"/>
  <c r="F66" i="2"/>
  <c r="E66" i="2"/>
  <c r="C67" i="2"/>
  <c r="C136" i="1"/>
  <c r="F135" i="1"/>
  <c r="E135" i="1"/>
  <c r="F71" i="19" l="1"/>
  <c r="F76" i="13"/>
  <c r="E76" i="13"/>
  <c r="C77" i="13"/>
  <c r="B81" i="12"/>
  <c r="E80" i="12"/>
  <c r="D80" i="12"/>
  <c r="C68" i="10"/>
  <c r="F67" i="10"/>
  <c r="E67" i="10"/>
  <c r="E134" i="9"/>
  <c r="C135" i="9"/>
  <c r="F134" i="9"/>
  <c r="E134" i="8"/>
  <c r="C135" i="8"/>
  <c r="F134" i="8"/>
  <c r="C231" i="7"/>
  <c r="F230" i="7"/>
  <c r="E230" i="7"/>
  <c r="C135" i="6"/>
  <c r="F134" i="6"/>
  <c r="E134" i="6"/>
  <c r="F77" i="5"/>
  <c r="E77" i="5"/>
  <c r="C78" i="5"/>
  <c r="F67" i="4"/>
  <c r="E67" i="4"/>
  <c r="C68" i="4"/>
  <c r="C77" i="3"/>
  <c r="F76" i="3"/>
  <c r="E76" i="3"/>
  <c r="C68" i="2"/>
  <c r="E67" i="2"/>
  <c r="F67" i="2"/>
  <c r="C137" i="1"/>
  <c r="F136" i="1"/>
  <c r="E136" i="1"/>
  <c r="F72" i="19" l="1"/>
  <c r="C78" i="13"/>
  <c r="F77" i="13"/>
  <c r="E77" i="13"/>
  <c r="B82" i="12"/>
  <c r="E81" i="12"/>
  <c r="D81" i="12"/>
  <c r="E68" i="10"/>
  <c r="C69" i="10"/>
  <c r="F68" i="10"/>
  <c r="C136" i="9"/>
  <c r="F135" i="9"/>
  <c r="E135" i="9"/>
  <c r="E135" i="8"/>
  <c r="C136" i="8"/>
  <c r="F135" i="8"/>
  <c r="C232" i="7"/>
  <c r="F231" i="7"/>
  <c r="E231" i="7"/>
  <c r="F135" i="6"/>
  <c r="E135" i="6"/>
  <c r="C136" i="6"/>
  <c r="C79" i="5"/>
  <c r="E78" i="5"/>
  <c r="F78" i="5"/>
  <c r="F68" i="4"/>
  <c r="C69" i="4"/>
  <c r="E68" i="4"/>
  <c r="C78" i="3"/>
  <c r="F77" i="3"/>
  <c r="E77" i="3"/>
  <c r="F68" i="2"/>
  <c r="C69" i="2"/>
  <c r="E68" i="2"/>
  <c r="C138" i="1"/>
  <c r="F137" i="1"/>
  <c r="E137" i="1"/>
  <c r="F73" i="19" l="1"/>
  <c r="F78" i="13"/>
  <c r="E78" i="13"/>
  <c r="C79" i="13"/>
  <c r="B83" i="12"/>
  <c r="E82" i="12"/>
  <c r="D82" i="12"/>
  <c r="C70" i="10"/>
  <c r="E69" i="10"/>
  <c r="F69" i="10"/>
  <c r="E136" i="9"/>
  <c r="C137" i="9"/>
  <c r="F136" i="9"/>
  <c r="E136" i="8"/>
  <c r="C137" i="8"/>
  <c r="F136" i="8"/>
  <c r="F232" i="7"/>
  <c r="E232" i="7"/>
  <c r="C233" i="7"/>
  <c r="C137" i="6"/>
  <c r="F136" i="6"/>
  <c r="E136" i="6"/>
  <c r="F79" i="5"/>
  <c r="E79" i="5"/>
  <c r="C80" i="5"/>
  <c r="F69" i="4"/>
  <c r="E69" i="4"/>
  <c r="C70" i="4"/>
  <c r="E78" i="3"/>
  <c r="C79" i="3"/>
  <c r="F78" i="3"/>
  <c r="F69" i="2"/>
  <c r="E69" i="2"/>
  <c r="C70" i="2"/>
  <c r="C139" i="1"/>
  <c r="F138" i="1"/>
  <c r="E138" i="1"/>
  <c r="F74" i="19" l="1"/>
  <c r="C80" i="13"/>
  <c r="F79" i="13"/>
  <c r="E79" i="13"/>
  <c r="B84" i="12"/>
  <c r="E83" i="12"/>
  <c r="D83" i="12"/>
  <c r="E70" i="10"/>
  <c r="F70" i="10"/>
  <c r="C71" i="10"/>
  <c r="C138" i="9"/>
  <c r="E137" i="9"/>
  <c r="F137" i="9"/>
  <c r="E137" i="8"/>
  <c r="F137" i="8"/>
  <c r="C138" i="8"/>
  <c r="C234" i="7"/>
  <c r="F233" i="7"/>
  <c r="E233" i="7"/>
  <c r="F137" i="6"/>
  <c r="E137" i="6"/>
  <c r="C138" i="6"/>
  <c r="C81" i="5"/>
  <c r="E80" i="5"/>
  <c r="F80" i="5"/>
  <c r="F70" i="4"/>
  <c r="C71" i="4"/>
  <c r="E70" i="4"/>
  <c r="C80" i="3"/>
  <c r="E79" i="3"/>
  <c r="F79" i="3"/>
  <c r="F70" i="2"/>
  <c r="C71" i="2"/>
  <c r="E70" i="2"/>
  <c r="C140" i="1"/>
  <c r="F139" i="1"/>
  <c r="E139" i="1"/>
  <c r="F75" i="19" l="1"/>
  <c r="F80" i="13"/>
  <c r="E80" i="13"/>
  <c r="C81" i="13"/>
  <c r="E84" i="12"/>
  <c r="D84" i="12"/>
  <c r="B85" i="12"/>
  <c r="C72" i="10"/>
  <c r="F71" i="10"/>
  <c r="E71" i="10"/>
  <c r="E138" i="9"/>
  <c r="C139" i="9"/>
  <c r="F138" i="9"/>
  <c r="C139" i="8"/>
  <c r="F138" i="8"/>
  <c r="E138" i="8"/>
  <c r="E234" i="7"/>
  <c r="C235" i="7"/>
  <c r="F234" i="7"/>
  <c r="C139" i="6"/>
  <c r="F138" i="6"/>
  <c r="E138" i="6"/>
  <c r="F81" i="5"/>
  <c r="E81" i="5"/>
  <c r="C82" i="5"/>
  <c r="F71" i="4"/>
  <c r="E71" i="4"/>
  <c r="C72" i="4"/>
  <c r="F80" i="3"/>
  <c r="C81" i="3"/>
  <c r="E80" i="3"/>
  <c r="E71" i="2"/>
  <c r="C72" i="2"/>
  <c r="F71" i="2"/>
  <c r="E140" i="1"/>
  <c r="C141" i="1"/>
  <c r="F140" i="1"/>
  <c r="F76" i="19" l="1"/>
  <c r="C82" i="13"/>
  <c r="F81" i="13"/>
  <c r="E81" i="13"/>
  <c r="B86" i="12"/>
  <c r="E85" i="12"/>
  <c r="D85" i="12"/>
  <c r="E72" i="10"/>
  <c r="C73" i="10"/>
  <c r="F72" i="10"/>
  <c r="C140" i="9"/>
  <c r="F139" i="9"/>
  <c r="E139" i="9"/>
  <c r="E139" i="8"/>
  <c r="F139" i="8"/>
  <c r="C140" i="8"/>
  <c r="F235" i="7"/>
  <c r="E235" i="7"/>
  <c r="C236" i="7"/>
  <c r="F139" i="6"/>
  <c r="E139" i="6"/>
  <c r="C140" i="6"/>
  <c r="C83" i="5"/>
  <c r="E82" i="5"/>
  <c r="F82" i="5"/>
  <c r="F72" i="4"/>
  <c r="E72" i="4"/>
  <c r="C73" i="4"/>
  <c r="C82" i="3"/>
  <c r="F81" i="3"/>
  <c r="E81" i="3"/>
  <c r="F72" i="2"/>
  <c r="C73" i="2"/>
  <c r="E72" i="2"/>
  <c r="C142" i="1"/>
  <c r="F141" i="1"/>
  <c r="E141" i="1"/>
  <c r="F77" i="19" l="1"/>
  <c r="F82" i="13"/>
  <c r="E82" i="13"/>
  <c r="C83" i="13"/>
  <c r="B87" i="12"/>
  <c r="E86" i="12"/>
  <c r="D86" i="12"/>
  <c r="C74" i="10"/>
  <c r="E73" i="10"/>
  <c r="F73" i="10"/>
  <c r="E140" i="9"/>
  <c r="F140" i="9"/>
  <c r="C141" i="9"/>
  <c r="E140" i="8"/>
  <c r="C141" i="8"/>
  <c r="F140" i="8"/>
  <c r="C237" i="7"/>
  <c r="E236" i="7"/>
  <c r="F236" i="7"/>
  <c r="C141" i="6"/>
  <c r="F140" i="6"/>
  <c r="E140" i="6"/>
  <c r="C84" i="5"/>
  <c r="F83" i="5"/>
  <c r="E83" i="5"/>
  <c r="F73" i="4"/>
  <c r="E73" i="4"/>
  <c r="C74" i="4"/>
  <c r="C83" i="3"/>
  <c r="F82" i="3"/>
  <c r="E82" i="3"/>
  <c r="F73" i="2"/>
  <c r="E73" i="2"/>
  <c r="C74" i="2"/>
  <c r="F142" i="1"/>
  <c r="E142" i="1"/>
  <c r="C143" i="1"/>
  <c r="F78" i="19" l="1"/>
  <c r="C84" i="13"/>
  <c r="F83" i="13"/>
  <c r="E83" i="13"/>
  <c r="D87" i="12"/>
  <c r="B88" i="12"/>
  <c r="E87" i="12"/>
  <c r="E74" i="10"/>
  <c r="C75" i="10"/>
  <c r="F74" i="10"/>
  <c r="C142" i="9"/>
  <c r="E141" i="9"/>
  <c r="F141" i="9"/>
  <c r="E141" i="8"/>
  <c r="C142" i="8"/>
  <c r="F141" i="8"/>
  <c r="F237" i="7"/>
  <c r="E237" i="7"/>
  <c r="C238" i="7"/>
  <c r="F141" i="6"/>
  <c r="E141" i="6"/>
  <c r="C142" i="6"/>
  <c r="F84" i="5"/>
  <c r="C85" i="5"/>
  <c r="E84" i="5"/>
  <c r="F74" i="4"/>
  <c r="C75" i="4"/>
  <c r="E74" i="4"/>
  <c r="C84" i="3"/>
  <c r="F83" i="3"/>
  <c r="E83" i="3"/>
  <c r="F74" i="2"/>
  <c r="C75" i="2"/>
  <c r="E74" i="2"/>
  <c r="F143" i="1"/>
  <c r="C144" i="1"/>
  <c r="E143" i="1"/>
  <c r="F79" i="19" l="1"/>
  <c r="F84" i="13"/>
  <c r="E84" i="13"/>
  <c r="C85" i="13"/>
  <c r="B89" i="12"/>
  <c r="E88" i="12"/>
  <c r="D88" i="12"/>
  <c r="C76" i="10"/>
  <c r="E75" i="10"/>
  <c r="F75" i="10"/>
  <c r="E142" i="9"/>
  <c r="C143" i="9"/>
  <c r="F142" i="9"/>
  <c r="E142" i="8"/>
  <c r="C143" i="8"/>
  <c r="F142" i="8"/>
  <c r="C239" i="7"/>
  <c r="F238" i="7"/>
  <c r="E238" i="7"/>
  <c r="C143" i="6"/>
  <c r="F142" i="6"/>
  <c r="E142" i="6"/>
  <c r="C86" i="5"/>
  <c r="F85" i="5"/>
  <c r="E85" i="5"/>
  <c r="F75" i="4"/>
  <c r="E75" i="4"/>
  <c r="C76" i="4"/>
  <c r="C85" i="3"/>
  <c r="F84" i="3"/>
  <c r="E84" i="3"/>
  <c r="F75" i="2"/>
  <c r="E75" i="2"/>
  <c r="C76" i="2"/>
  <c r="C145" i="1"/>
  <c r="F144" i="1"/>
  <c r="E144" i="1"/>
  <c r="F80" i="19" l="1"/>
  <c r="C86" i="13"/>
  <c r="F85" i="13"/>
  <c r="E85" i="13"/>
  <c r="B90" i="12"/>
  <c r="E89" i="12"/>
  <c r="D89" i="12"/>
  <c r="E76" i="10"/>
  <c r="F76" i="10"/>
  <c r="C77" i="10"/>
  <c r="C144" i="9"/>
  <c r="F143" i="9"/>
  <c r="E143" i="9"/>
  <c r="E143" i="8"/>
  <c r="F143" i="8"/>
  <c r="C144" i="8"/>
  <c r="C240" i="7"/>
  <c r="F239" i="7"/>
  <c r="E239" i="7"/>
  <c r="F143" i="6"/>
  <c r="E143" i="6"/>
  <c r="C144" i="6"/>
  <c r="E86" i="5"/>
  <c r="C87" i="5"/>
  <c r="F86" i="5"/>
  <c r="F76" i="4"/>
  <c r="E76" i="4"/>
  <c r="C77" i="4"/>
  <c r="C86" i="3"/>
  <c r="F85" i="3"/>
  <c r="E85" i="3"/>
  <c r="F76" i="2"/>
  <c r="C77" i="2"/>
  <c r="E76" i="2"/>
  <c r="F145" i="1"/>
  <c r="C146" i="1"/>
  <c r="E145" i="1"/>
  <c r="F81" i="19" l="1"/>
  <c r="F86" i="13"/>
  <c r="E86" i="13"/>
  <c r="C87" i="13"/>
  <c r="B91" i="12"/>
  <c r="E90" i="12"/>
  <c r="D90" i="12"/>
  <c r="C78" i="10"/>
  <c r="F77" i="10"/>
  <c r="E77" i="10"/>
  <c r="E144" i="9"/>
  <c r="F144" i="9"/>
  <c r="C145" i="9"/>
  <c r="E144" i="8"/>
  <c r="C145" i="8"/>
  <c r="F144" i="8"/>
  <c r="F240" i="7"/>
  <c r="E240" i="7"/>
  <c r="C241" i="7"/>
  <c r="C145" i="6"/>
  <c r="F144" i="6"/>
  <c r="E144" i="6"/>
  <c r="C88" i="5"/>
  <c r="F87" i="5"/>
  <c r="E87" i="5"/>
  <c r="F77" i="4"/>
  <c r="E77" i="4"/>
  <c r="C78" i="4"/>
  <c r="E86" i="3"/>
  <c r="F86" i="3"/>
  <c r="C87" i="3"/>
  <c r="C78" i="2"/>
  <c r="F77" i="2"/>
  <c r="E77" i="2"/>
  <c r="C147" i="1"/>
  <c r="F146" i="1"/>
  <c r="E146" i="1"/>
  <c r="F82" i="19" l="1"/>
  <c r="C88" i="13"/>
  <c r="F87" i="13"/>
  <c r="E87" i="13"/>
  <c r="B92" i="12"/>
  <c r="E91" i="12"/>
  <c r="D91" i="12"/>
  <c r="E78" i="10"/>
  <c r="F78" i="10"/>
  <c r="C79" i="10"/>
  <c r="C146" i="9"/>
  <c r="F145" i="9"/>
  <c r="E145" i="9"/>
  <c r="E145" i="8"/>
  <c r="C146" i="8"/>
  <c r="F145" i="8"/>
  <c r="C242" i="7"/>
  <c r="F241" i="7"/>
  <c r="E241" i="7"/>
  <c r="F145" i="6"/>
  <c r="E145" i="6"/>
  <c r="C146" i="6"/>
  <c r="F88" i="5"/>
  <c r="E88" i="5"/>
  <c r="C89" i="5"/>
  <c r="F78" i="4"/>
  <c r="C79" i="4"/>
  <c r="E78" i="4"/>
  <c r="C88" i="3"/>
  <c r="E87" i="3"/>
  <c r="F87" i="3"/>
  <c r="F78" i="2"/>
  <c r="C79" i="2"/>
  <c r="E78" i="2"/>
  <c r="F147" i="1"/>
  <c r="C148" i="1"/>
  <c r="E147" i="1"/>
  <c r="F83" i="19" l="1"/>
  <c r="F88" i="13"/>
  <c r="E88" i="13"/>
  <c r="C89" i="13"/>
  <c r="E92" i="12"/>
  <c r="D92" i="12"/>
  <c r="B93" i="12"/>
  <c r="C80" i="10"/>
  <c r="F79" i="10"/>
  <c r="E79" i="10"/>
  <c r="E146" i="9"/>
  <c r="C147" i="9"/>
  <c r="F146" i="9"/>
  <c r="E146" i="8"/>
  <c r="C147" i="8"/>
  <c r="F146" i="8"/>
  <c r="E242" i="7"/>
  <c r="C243" i="7"/>
  <c r="F242" i="7"/>
  <c r="C147" i="6"/>
  <c r="F146" i="6"/>
  <c r="E146" i="6"/>
  <c r="C90" i="5"/>
  <c r="E89" i="5"/>
  <c r="F89" i="5"/>
  <c r="F79" i="4"/>
  <c r="E79" i="4"/>
  <c r="C80" i="4"/>
  <c r="F88" i="3"/>
  <c r="C89" i="3"/>
  <c r="E88" i="3"/>
  <c r="C80" i="2"/>
  <c r="F79" i="2"/>
  <c r="E79" i="2"/>
  <c r="C149" i="1"/>
  <c r="F148" i="1"/>
  <c r="E148" i="1"/>
  <c r="F84" i="19" l="1"/>
  <c r="C90" i="13"/>
  <c r="F89" i="13"/>
  <c r="E89" i="13"/>
  <c r="B94" i="12"/>
  <c r="E93" i="12"/>
  <c r="D93" i="12"/>
  <c r="E80" i="10"/>
  <c r="C81" i="10"/>
  <c r="F80" i="10"/>
  <c r="C148" i="9"/>
  <c r="E147" i="9"/>
  <c r="F147" i="9"/>
  <c r="E147" i="8"/>
  <c r="F147" i="8"/>
  <c r="C148" i="8"/>
  <c r="F243" i="7"/>
  <c r="E243" i="7"/>
  <c r="C244" i="7"/>
  <c r="F147" i="6"/>
  <c r="E147" i="6"/>
  <c r="C148" i="6"/>
  <c r="F90" i="5"/>
  <c r="E90" i="5"/>
  <c r="C91" i="5"/>
  <c r="F80" i="4"/>
  <c r="C81" i="4"/>
  <c r="E80" i="4"/>
  <c r="C90" i="3"/>
  <c r="F89" i="3"/>
  <c r="E89" i="3"/>
  <c r="F80" i="2"/>
  <c r="E80" i="2"/>
  <c r="C81" i="2"/>
  <c r="F149" i="1"/>
  <c r="C150" i="1"/>
  <c r="E149" i="1"/>
  <c r="F85" i="19" l="1"/>
  <c r="F90" i="13"/>
  <c r="E90" i="13"/>
  <c r="C91" i="13"/>
  <c r="B95" i="12"/>
  <c r="E94" i="12"/>
  <c r="D94" i="12"/>
  <c r="C82" i="10"/>
  <c r="F81" i="10"/>
  <c r="E81" i="10"/>
  <c r="E148" i="9"/>
  <c r="F148" i="9"/>
  <c r="C149" i="9"/>
  <c r="E148" i="8"/>
  <c r="C149" i="8"/>
  <c r="F148" i="8"/>
  <c r="C245" i="7"/>
  <c r="E244" i="7"/>
  <c r="F244" i="7"/>
  <c r="C149" i="6"/>
  <c r="F148" i="6"/>
  <c r="E148" i="6"/>
  <c r="C92" i="5"/>
  <c r="E91" i="5"/>
  <c r="F91" i="5"/>
  <c r="F81" i="4"/>
  <c r="E81" i="4"/>
  <c r="C82" i="4"/>
  <c r="E90" i="3"/>
  <c r="C91" i="3"/>
  <c r="F90" i="3"/>
  <c r="C82" i="2"/>
  <c r="F81" i="2"/>
  <c r="E81" i="2"/>
  <c r="F150" i="1"/>
  <c r="E150" i="1"/>
  <c r="C151" i="1"/>
  <c r="F86" i="19" l="1"/>
  <c r="C92" i="13"/>
  <c r="F91" i="13"/>
  <c r="E91" i="13"/>
  <c r="D95" i="12"/>
  <c r="B96" i="12"/>
  <c r="E95" i="12"/>
  <c r="E82" i="10"/>
  <c r="C83" i="10"/>
  <c r="F82" i="10"/>
  <c r="C150" i="9"/>
  <c r="F149" i="9"/>
  <c r="E149" i="9"/>
  <c r="E149" i="8"/>
  <c r="C150" i="8"/>
  <c r="F149" i="8"/>
  <c r="F245" i="7"/>
  <c r="E245" i="7"/>
  <c r="C246" i="7"/>
  <c r="F149" i="6"/>
  <c r="E149" i="6"/>
  <c r="C150" i="6"/>
  <c r="C93" i="5"/>
  <c r="F92" i="5"/>
  <c r="E92" i="5"/>
  <c r="F82" i="4"/>
  <c r="E82" i="4"/>
  <c r="C83" i="4"/>
  <c r="C92" i="3"/>
  <c r="F91" i="3"/>
  <c r="E91" i="3"/>
  <c r="F82" i="2"/>
  <c r="E82" i="2"/>
  <c r="C83" i="2"/>
  <c r="F151" i="1"/>
  <c r="C152" i="1"/>
  <c r="E151" i="1"/>
  <c r="F87" i="19" l="1"/>
  <c r="F92" i="13"/>
  <c r="E92" i="13"/>
  <c r="C93" i="13"/>
  <c r="B97" i="12"/>
  <c r="E96" i="12"/>
  <c r="D96" i="12"/>
  <c r="C84" i="10"/>
  <c r="F83" i="10"/>
  <c r="E83" i="10"/>
  <c r="E150" i="9"/>
  <c r="C151" i="9"/>
  <c r="F150" i="9"/>
  <c r="E150" i="8"/>
  <c r="C151" i="8"/>
  <c r="F150" i="8"/>
  <c r="C247" i="7"/>
  <c r="F246" i="7"/>
  <c r="E246" i="7"/>
  <c r="C151" i="6"/>
  <c r="F150" i="6"/>
  <c r="E150" i="6"/>
  <c r="C94" i="5"/>
  <c r="F93" i="5"/>
  <c r="E93" i="5"/>
  <c r="F83" i="4"/>
  <c r="E83" i="4"/>
  <c r="C84" i="4"/>
  <c r="F92" i="3"/>
  <c r="C93" i="3"/>
  <c r="E92" i="3"/>
  <c r="C84" i="2"/>
  <c r="E83" i="2"/>
  <c r="F83" i="2"/>
  <c r="C153" i="1"/>
  <c r="F152" i="1"/>
  <c r="E152" i="1"/>
  <c r="F88" i="19" l="1"/>
  <c r="C94" i="13"/>
  <c r="F93" i="13"/>
  <c r="E93" i="13"/>
  <c r="B98" i="12"/>
  <c r="E97" i="12"/>
  <c r="D97" i="12"/>
  <c r="E84" i="10"/>
  <c r="C85" i="10"/>
  <c r="F84" i="10"/>
  <c r="C152" i="9"/>
  <c r="E151" i="9"/>
  <c r="F151" i="9"/>
  <c r="E151" i="8"/>
  <c r="C152" i="8"/>
  <c r="F151" i="8"/>
  <c r="C248" i="7"/>
  <c r="F247" i="7"/>
  <c r="E247" i="7"/>
  <c r="C152" i="6"/>
  <c r="F151" i="6"/>
  <c r="E151" i="6"/>
  <c r="C95" i="5"/>
  <c r="F94" i="5"/>
  <c r="E94" i="5"/>
  <c r="F84" i="4"/>
  <c r="C85" i="4"/>
  <c r="E84" i="4"/>
  <c r="C94" i="3"/>
  <c r="F93" i="3"/>
  <c r="E93" i="3"/>
  <c r="F84" i="2"/>
  <c r="C85" i="2"/>
  <c r="E84" i="2"/>
  <c r="F153" i="1"/>
  <c r="C154" i="1"/>
  <c r="E153" i="1"/>
  <c r="F89" i="19" l="1"/>
  <c r="F94" i="13"/>
  <c r="E94" i="13"/>
  <c r="C95" i="13"/>
  <c r="B99" i="12"/>
  <c r="E98" i="12"/>
  <c r="D98" i="12"/>
  <c r="C86" i="10"/>
  <c r="F85" i="10"/>
  <c r="E85" i="10"/>
  <c r="E152" i="9"/>
  <c r="F152" i="9"/>
  <c r="C153" i="9"/>
  <c r="E152" i="8"/>
  <c r="F152" i="8"/>
  <c r="C153" i="8"/>
  <c r="F248" i="7"/>
  <c r="E248" i="7"/>
  <c r="C249" i="7"/>
  <c r="C153" i="6"/>
  <c r="F152" i="6"/>
  <c r="E152" i="6"/>
  <c r="C96" i="5"/>
  <c r="E95" i="5"/>
  <c r="F95" i="5"/>
  <c r="F85" i="4"/>
  <c r="E85" i="4"/>
  <c r="C86" i="4"/>
  <c r="E94" i="3"/>
  <c r="F94" i="3"/>
  <c r="C95" i="3"/>
  <c r="C86" i="2"/>
  <c r="F85" i="2"/>
  <c r="E85" i="2"/>
  <c r="C155" i="1"/>
  <c r="F154" i="1"/>
  <c r="E154" i="1"/>
  <c r="F90" i="19" l="1"/>
  <c r="C96" i="13"/>
  <c r="F95" i="13"/>
  <c r="E95" i="13"/>
  <c r="B100" i="12"/>
  <c r="E99" i="12"/>
  <c r="D99" i="12"/>
  <c r="E86" i="10"/>
  <c r="C87" i="10"/>
  <c r="F86" i="10"/>
  <c r="C154" i="9"/>
  <c r="F153" i="9"/>
  <c r="E153" i="9"/>
  <c r="E153" i="8"/>
  <c r="C154" i="8"/>
  <c r="F153" i="8"/>
  <c r="C250" i="7"/>
  <c r="F249" i="7"/>
  <c r="E249" i="7"/>
  <c r="C154" i="6"/>
  <c r="F153" i="6"/>
  <c r="E153" i="6"/>
  <c r="C97" i="5"/>
  <c r="F96" i="5"/>
  <c r="E96" i="5"/>
  <c r="F86" i="4"/>
  <c r="C87" i="4"/>
  <c r="E86" i="4"/>
  <c r="C96" i="3"/>
  <c r="E95" i="3"/>
  <c r="F95" i="3"/>
  <c r="F86" i="2"/>
  <c r="C87" i="2"/>
  <c r="E86" i="2"/>
  <c r="F155" i="1"/>
  <c r="C156" i="1"/>
  <c r="E155" i="1"/>
  <c r="F91" i="19" l="1"/>
  <c r="F96" i="13"/>
  <c r="E96" i="13"/>
  <c r="C97" i="13"/>
  <c r="E100" i="12"/>
  <c r="D100" i="12"/>
  <c r="B101" i="12"/>
  <c r="C88" i="10"/>
  <c r="F87" i="10"/>
  <c r="E87" i="10"/>
  <c r="E154" i="9"/>
  <c r="C155" i="9"/>
  <c r="F154" i="9"/>
  <c r="E154" i="8"/>
  <c r="F154" i="8"/>
  <c r="C155" i="8"/>
  <c r="E250" i="7"/>
  <c r="C251" i="7"/>
  <c r="F250" i="7"/>
  <c r="C155" i="6"/>
  <c r="E154" i="6"/>
  <c r="F154" i="6"/>
  <c r="C98" i="5"/>
  <c r="F97" i="5"/>
  <c r="E97" i="5"/>
  <c r="F87" i="4"/>
  <c r="E87" i="4"/>
  <c r="C88" i="4"/>
  <c r="C97" i="3"/>
  <c r="F96" i="3"/>
  <c r="E96" i="3"/>
  <c r="E87" i="2"/>
  <c r="C88" i="2"/>
  <c r="F87" i="2"/>
  <c r="C157" i="1"/>
  <c r="F156" i="1"/>
  <c r="E156" i="1"/>
  <c r="F92" i="19" l="1"/>
  <c r="C98" i="13"/>
  <c r="F97" i="13"/>
  <c r="E97" i="13"/>
  <c r="B102" i="12"/>
  <c r="E101" i="12"/>
  <c r="D101" i="12"/>
  <c r="E88" i="10"/>
  <c r="C89" i="10"/>
  <c r="F88" i="10"/>
  <c r="C156" i="9"/>
  <c r="E155" i="9"/>
  <c r="F155" i="9"/>
  <c r="E155" i="8"/>
  <c r="C156" i="8"/>
  <c r="F155" i="8"/>
  <c r="F251" i="7"/>
  <c r="E251" i="7"/>
  <c r="C252" i="7"/>
  <c r="C156" i="6"/>
  <c r="F155" i="6"/>
  <c r="E155" i="6"/>
  <c r="C99" i="5"/>
  <c r="E98" i="5"/>
  <c r="F98" i="5"/>
  <c r="F88" i="4"/>
  <c r="E88" i="4"/>
  <c r="C89" i="4"/>
  <c r="C98" i="3"/>
  <c r="F97" i="3"/>
  <c r="E97" i="3"/>
  <c r="F88" i="2"/>
  <c r="C89" i="2"/>
  <c r="E88" i="2"/>
  <c r="F157" i="1"/>
  <c r="C158" i="1"/>
  <c r="E157" i="1"/>
  <c r="F93" i="19" l="1"/>
  <c r="F98" i="13"/>
  <c r="E98" i="13"/>
  <c r="C99" i="13"/>
  <c r="B103" i="12"/>
  <c r="E102" i="12"/>
  <c r="D102" i="12"/>
  <c r="C90" i="10"/>
  <c r="E89" i="10"/>
  <c r="F89" i="10"/>
  <c r="E156" i="9"/>
  <c r="F156" i="9"/>
  <c r="C157" i="9"/>
  <c r="E156" i="8"/>
  <c r="C157" i="8"/>
  <c r="F156" i="8"/>
  <c r="C253" i="7"/>
  <c r="E252" i="7"/>
  <c r="F252" i="7"/>
  <c r="C157" i="6"/>
  <c r="F156" i="6"/>
  <c r="E156" i="6"/>
  <c r="C100" i="5"/>
  <c r="F99" i="5"/>
  <c r="E99" i="5"/>
  <c r="F89" i="4"/>
  <c r="E89" i="4"/>
  <c r="C90" i="4"/>
  <c r="F98" i="3"/>
  <c r="E98" i="3"/>
  <c r="C99" i="3"/>
  <c r="F89" i="2"/>
  <c r="E89" i="2"/>
  <c r="C90" i="2"/>
  <c r="F158" i="1"/>
  <c r="E158" i="1"/>
  <c r="C159" i="1"/>
  <c r="F94" i="19" l="1"/>
  <c r="C100" i="13"/>
  <c r="F99" i="13"/>
  <c r="E99" i="13"/>
  <c r="D103" i="12"/>
  <c r="B104" i="12"/>
  <c r="E103" i="12"/>
  <c r="E90" i="10"/>
  <c r="C91" i="10"/>
  <c r="F90" i="10"/>
  <c r="C158" i="9"/>
  <c r="F157" i="9"/>
  <c r="E157" i="9"/>
  <c r="E157" i="8"/>
  <c r="C158" i="8"/>
  <c r="F157" i="8"/>
  <c r="F253" i="7"/>
  <c r="E253" i="7"/>
  <c r="C254" i="7"/>
  <c r="C158" i="6"/>
  <c r="F157" i="6"/>
  <c r="E157" i="6"/>
  <c r="F100" i="5"/>
  <c r="C101" i="5"/>
  <c r="E100" i="5"/>
  <c r="F90" i="4"/>
  <c r="C91" i="4"/>
  <c r="E90" i="4"/>
  <c r="C100" i="3"/>
  <c r="E99" i="3"/>
  <c r="F99" i="3"/>
  <c r="F90" i="2"/>
  <c r="C91" i="2"/>
  <c r="E90" i="2"/>
  <c r="F159" i="1"/>
  <c r="C160" i="1"/>
  <c r="E159" i="1"/>
  <c r="F95" i="19" l="1"/>
  <c r="F100" i="13"/>
  <c r="E100" i="13"/>
  <c r="C101" i="13"/>
  <c r="B105" i="12"/>
  <c r="E104" i="12"/>
  <c r="D104" i="12"/>
  <c r="C92" i="10"/>
  <c r="E91" i="10"/>
  <c r="F91" i="10"/>
  <c r="E158" i="9"/>
  <c r="C159" i="9"/>
  <c r="F158" i="9"/>
  <c r="E158" i="8"/>
  <c r="C159" i="8"/>
  <c r="F158" i="8"/>
  <c r="C255" i="7"/>
  <c r="F254" i="7"/>
  <c r="E254" i="7"/>
  <c r="C159" i="6"/>
  <c r="F158" i="6"/>
  <c r="E158" i="6"/>
  <c r="C102" i="5"/>
  <c r="F101" i="5"/>
  <c r="E101" i="5"/>
  <c r="F91" i="4"/>
  <c r="E91" i="4"/>
  <c r="C92" i="4"/>
  <c r="C101" i="3"/>
  <c r="F100" i="3"/>
  <c r="E100" i="3"/>
  <c r="F91" i="2"/>
  <c r="E91" i="2"/>
  <c r="C92" i="2"/>
  <c r="C161" i="1"/>
  <c r="F160" i="1"/>
  <c r="E160" i="1"/>
  <c r="F96" i="19" l="1"/>
  <c r="C102" i="13"/>
  <c r="F101" i="13"/>
  <c r="E101" i="13"/>
  <c r="B106" i="12"/>
  <c r="E105" i="12"/>
  <c r="D105" i="12"/>
  <c r="E92" i="10"/>
  <c r="F92" i="10"/>
  <c r="C93" i="10"/>
  <c r="C160" i="9"/>
  <c r="E159" i="9"/>
  <c r="F159" i="9"/>
  <c r="E159" i="8"/>
  <c r="C160" i="8"/>
  <c r="F159" i="8"/>
  <c r="C256" i="7"/>
  <c r="F255" i="7"/>
  <c r="E255" i="7"/>
  <c r="C160" i="6"/>
  <c r="F159" i="6"/>
  <c r="E159" i="6"/>
  <c r="E102" i="5"/>
  <c r="C103" i="5"/>
  <c r="F102" i="5"/>
  <c r="F92" i="4"/>
  <c r="E92" i="4"/>
  <c r="C93" i="4"/>
  <c r="C102" i="3"/>
  <c r="F101" i="3"/>
  <c r="E101" i="3"/>
  <c r="F92" i="2"/>
  <c r="C93" i="2"/>
  <c r="E92" i="2"/>
  <c r="F161" i="1"/>
  <c r="C162" i="1"/>
  <c r="E161" i="1"/>
  <c r="F97" i="19" l="1"/>
  <c r="F102" i="13"/>
  <c r="E102" i="13"/>
  <c r="C103" i="13"/>
  <c r="B107" i="12"/>
  <c r="E106" i="12"/>
  <c r="D106" i="12"/>
  <c r="C94" i="10"/>
  <c r="F93" i="10"/>
  <c r="E93" i="10"/>
  <c r="F160" i="9"/>
  <c r="E160" i="9"/>
  <c r="C161" i="9"/>
  <c r="E160" i="8"/>
  <c r="C161" i="8"/>
  <c r="F160" i="8"/>
  <c r="F256" i="7"/>
  <c r="E256" i="7"/>
  <c r="C257" i="7"/>
  <c r="C161" i="6"/>
  <c r="F160" i="6"/>
  <c r="E160" i="6"/>
  <c r="C104" i="5"/>
  <c r="F103" i="5"/>
  <c r="E103" i="5"/>
  <c r="F93" i="4"/>
  <c r="E93" i="4"/>
  <c r="C94" i="4"/>
  <c r="C103" i="3"/>
  <c r="E102" i="3"/>
  <c r="F102" i="3"/>
  <c r="C94" i="2"/>
  <c r="F93" i="2"/>
  <c r="E93" i="2"/>
  <c r="C163" i="1"/>
  <c r="F162" i="1"/>
  <c r="E162" i="1"/>
  <c r="F98" i="19" l="1"/>
  <c r="C104" i="13"/>
  <c r="F103" i="13"/>
  <c r="E103" i="13"/>
  <c r="B108" i="12"/>
  <c r="E107" i="12"/>
  <c r="D107" i="12"/>
  <c r="C95" i="10"/>
  <c r="E94" i="10"/>
  <c r="F94" i="10"/>
  <c r="C162" i="9"/>
  <c r="F161" i="9"/>
  <c r="E161" i="9"/>
  <c r="E161" i="8"/>
  <c r="C162" i="8"/>
  <c r="F161" i="8"/>
  <c r="C258" i="7"/>
  <c r="F257" i="7"/>
  <c r="E257" i="7"/>
  <c r="C162" i="6"/>
  <c r="F161" i="6"/>
  <c r="E161" i="6"/>
  <c r="F104" i="5"/>
  <c r="E104" i="5"/>
  <c r="C105" i="5"/>
  <c r="F94" i="4"/>
  <c r="C95" i="4"/>
  <c r="E94" i="4"/>
  <c r="C104" i="3"/>
  <c r="E103" i="3"/>
  <c r="F103" i="3"/>
  <c r="F94" i="2"/>
  <c r="E94" i="2"/>
  <c r="C95" i="2"/>
  <c r="F163" i="1"/>
  <c r="C164" i="1"/>
  <c r="E163" i="1"/>
  <c r="F99" i="19" l="1"/>
  <c r="F104" i="13"/>
  <c r="E104" i="13"/>
  <c r="C105" i="13"/>
  <c r="E108" i="12"/>
  <c r="D108" i="12"/>
  <c r="B109" i="12"/>
  <c r="C96" i="10"/>
  <c r="F95" i="10"/>
  <c r="E95" i="10"/>
  <c r="F162" i="9"/>
  <c r="E162" i="9"/>
  <c r="C163" i="9"/>
  <c r="E162" i="8"/>
  <c r="C163" i="8"/>
  <c r="F162" i="8"/>
  <c r="E258" i="7"/>
  <c r="C259" i="7"/>
  <c r="F258" i="7"/>
  <c r="C163" i="6"/>
  <c r="E162" i="6"/>
  <c r="F162" i="6"/>
  <c r="C106" i="5"/>
  <c r="E105" i="5"/>
  <c r="F105" i="5"/>
  <c r="F95" i="4"/>
  <c r="E95" i="4"/>
  <c r="C96" i="4"/>
  <c r="F104" i="3"/>
  <c r="E104" i="3"/>
  <c r="C105" i="3"/>
  <c r="C96" i="2"/>
  <c r="F95" i="2"/>
  <c r="E95" i="2"/>
  <c r="C165" i="1"/>
  <c r="F164" i="1"/>
  <c r="E164" i="1"/>
  <c r="F100" i="19" l="1"/>
  <c r="C106" i="13"/>
  <c r="F105" i="13"/>
  <c r="E105" i="13"/>
  <c r="B110" i="12"/>
  <c r="E109" i="12"/>
  <c r="D109" i="12"/>
  <c r="C97" i="10"/>
  <c r="F96" i="10"/>
  <c r="E96" i="10"/>
  <c r="C164" i="9"/>
  <c r="F163" i="9"/>
  <c r="E163" i="9"/>
  <c r="E163" i="8"/>
  <c r="C164" i="8"/>
  <c r="F163" i="8"/>
  <c r="F259" i="7"/>
  <c r="E259" i="7"/>
  <c r="C260" i="7"/>
  <c r="C164" i="6"/>
  <c r="F163" i="6"/>
  <c r="E163" i="6"/>
  <c r="F106" i="5"/>
  <c r="E106" i="5"/>
  <c r="C107" i="5"/>
  <c r="F96" i="4"/>
  <c r="C97" i="4"/>
  <c r="E96" i="4"/>
  <c r="C106" i="3"/>
  <c r="F105" i="3"/>
  <c r="E105" i="3"/>
  <c r="F96" i="2"/>
  <c r="E96" i="2"/>
  <c r="C97" i="2"/>
  <c r="F165" i="1"/>
  <c r="C166" i="1"/>
  <c r="E165" i="1"/>
  <c r="F101" i="19" l="1"/>
  <c r="F106" i="13"/>
  <c r="E106" i="13"/>
  <c r="C107" i="13"/>
  <c r="B111" i="12"/>
  <c r="E110" i="12"/>
  <c r="D110" i="12"/>
  <c r="C98" i="10"/>
  <c r="F97" i="10"/>
  <c r="E97" i="10"/>
  <c r="F164" i="9"/>
  <c r="E164" i="9"/>
  <c r="C165" i="9"/>
  <c r="E164" i="8"/>
  <c r="C165" i="8"/>
  <c r="F164" i="8"/>
  <c r="C261" i="7"/>
  <c r="E260" i="7"/>
  <c r="F260" i="7"/>
  <c r="C165" i="6"/>
  <c r="F164" i="6"/>
  <c r="E164" i="6"/>
  <c r="C108" i="5"/>
  <c r="E107" i="5"/>
  <c r="F107" i="5"/>
  <c r="F97" i="4"/>
  <c r="E97" i="4"/>
  <c r="C98" i="4"/>
  <c r="E106" i="3"/>
  <c r="C107" i="3"/>
  <c r="F106" i="3"/>
  <c r="C98" i="2"/>
  <c r="F97" i="2"/>
  <c r="E97" i="2"/>
  <c r="F166" i="1"/>
  <c r="E166" i="1"/>
  <c r="C167" i="1"/>
  <c r="F102" i="19" l="1"/>
  <c r="C108" i="13"/>
  <c r="F107" i="13"/>
  <c r="E107" i="13"/>
  <c r="D111" i="12"/>
  <c r="B112" i="12"/>
  <c r="E111" i="12"/>
  <c r="C99" i="10"/>
  <c r="F98" i="10"/>
  <c r="E98" i="10"/>
  <c r="C166" i="9"/>
  <c r="F165" i="9"/>
  <c r="E165" i="9"/>
  <c r="E165" i="8"/>
  <c r="C166" i="8"/>
  <c r="F165" i="8"/>
  <c r="F261" i="7"/>
  <c r="E261" i="7"/>
  <c r="C262" i="7"/>
  <c r="C166" i="6"/>
  <c r="F165" i="6"/>
  <c r="E165" i="6"/>
  <c r="C109" i="5"/>
  <c r="F108" i="5"/>
  <c r="E108" i="5"/>
  <c r="F98" i="4"/>
  <c r="E98" i="4"/>
  <c r="C99" i="4"/>
  <c r="C108" i="3"/>
  <c r="F107" i="3"/>
  <c r="E107" i="3"/>
  <c r="F98" i="2"/>
  <c r="E98" i="2"/>
  <c r="C99" i="2"/>
  <c r="F167" i="1"/>
  <c r="C168" i="1"/>
  <c r="E167" i="1"/>
  <c r="F103" i="19" l="1"/>
  <c r="F108" i="13"/>
  <c r="E108" i="13"/>
  <c r="C109" i="13"/>
  <c r="B113" i="12"/>
  <c r="E112" i="12"/>
  <c r="D112" i="12"/>
  <c r="C100" i="10"/>
  <c r="F99" i="10"/>
  <c r="E99" i="10"/>
  <c r="F166" i="9"/>
  <c r="E166" i="9"/>
  <c r="C167" i="9"/>
  <c r="E166" i="8"/>
  <c r="C167" i="8"/>
  <c r="F166" i="8"/>
  <c r="C263" i="7"/>
  <c r="F262" i="7"/>
  <c r="E262" i="7"/>
  <c r="C167" i="6"/>
  <c r="F166" i="6"/>
  <c r="E166" i="6"/>
  <c r="C110" i="5"/>
  <c r="F109" i="5"/>
  <c r="E109" i="5"/>
  <c r="F99" i="4"/>
  <c r="E99" i="4"/>
  <c r="C100" i="4"/>
  <c r="F108" i="3"/>
  <c r="C109" i="3"/>
  <c r="E108" i="3"/>
  <c r="C100" i="2"/>
  <c r="E99" i="2"/>
  <c r="F99" i="2"/>
  <c r="C169" i="1"/>
  <c r="F168" i="1"/>
  <c r="E168" i="1"/>
  <c r="F104" i="19" l="1"/>
  <c r="C110" i="13"/>
  <c r="F109" i="13"/>
  <c r="E109" i="13"/>
  <c r="B114" i="12"/>
  <c r="E113" i="12"/>
  <c r="D113" i="12"/>
  <c r="C101" i="10"/>
  <c r="F100" i="10"/>
  <c r="E100" i="10"/>
  <c r="C168" i="9"/>
  <c r="F167" i="9"/>
  <c r="E167" i="9"/>
  <c r="E167" i="8"/>
  <c r="C168" i="8"/>
  <c r="F167" i="8"/>
  <c r="C264" i="7"/>
  <c r="F263" i="7"/>
  <c r="E263" i="7"/>
  <c r="C168" i="6"/>
  <c r="F167" i="6"/>
  <c r="E167" i="6"/>
  <c r="C111" i="5"/>
  <c r="F110" i="5"/>
  <c r="E110" i="5"/>
  <c r="F100" i="4"/>
  <c r="C101" i="4"/>
  <c r="E100" i="4"/>
  <c r="C110" i="3"/>
  <c r="F109" i="3"/>
  <c r="E109" i="3"/>
  <c r="F100" i="2"/>
  <c r="C101" i="2"/>
  <c r="E100" i="2"/>
  <c r="F169" i="1"/>
  <c r="C170" i="1"/>
  <c r="E169" i="1"/>
  <c r="F105" i="19" l="1"/>
  <c r="F110" i="13"/>
  <c r="E110" i="13"/>
  <c r="C111" i="13"/>
  <c r="B115" i="12"/>
  <c r="E114" i="12"/>
  <c r="D114" i="12"/>
  <c r="C102" i="10"/>
  <c r="F101" i="10"/>
  <c r="E101" i="10"/>
  <c r="F168" i="9"/>
  <c r="E168" i="9"/>
  <c r="C169" i="9"/>
  <c r="E168" i="8"/>
  <c r="F168" i="8"/>
  <c r="C169" i="8"/>
  <c r="F264" i="7"/>
  <c r="E264" i="7"/>
  <c r="C265" i="7"/>
  <c r="C169" i="6"/>
  <c r="F168" i="6"/>
  <c r="E168" i="6"/>
  <c r="C112" i="5"/>
  <c r="E111" i="5"/>
  <c r="F111" i="5"/>
  <c r="F101" i="4"/>
  <c r="E101" i="4"/>
  <c r="C102" i="4"/>
  <c r="E110" i="3"/>
  <c r="C111" i="3"/>
  <c r="F110" i="3"/>
  <c r="C102" i="2"/>
  <c r="F101" i="2"/>
  <c r="E101" i="2"/>
  <c r="C171" i="1"/>
  <c r="F170" i="1"/>
  <c r="E170" i="1"/>
  <c r="F106" i="19" l="1"/>
  <c r="C112" i="13"/>
  <c r="F111" i="13"/>
  <c r="E111" i="13"/>
  <c r="B116" i="12"/>
  <c r="E115" i="12"/>
  <c r="D115" i="12"/>
  <c r="C103" i="10"/>
  <c r="F102" i="10"/>
  <c r="E102" i="10"/>
  <c r="C170" i="9"/>
  <c r="F169" i="9"/>
  <c r="E169" i="9"/>
  <c r="E169" i="8"/>
  <c r="C170" i="8"/>
  <c r="F169" i="8"/>
  <c r="C266" i="7"/>
  <c r="F265" i="7"/>
  <c r="E265" i="7"/>
  <c r="C170" i="6"/>
  <c r="F169" i="6"/>
  <c r="E169" i="6"/>
  <c r="C113" i="5"/>
  <c r="F112" i="5"/>
  <c r="E112" i="5"/>
  <c r="F102" i="4"/>
  <c r="C103" i="4"/>
  <c r="E102" i="4"/>
  <c r="C112" i="3"/>
  <c r="E111" i="3"/>
  <c r="F111" i="3"/>
  <c r="F102" i="2"/>
  <c r="C103" i="2"/>
  <c r="E102" i="2"/>
  <c r="F171" i="1"/>
  <c r="C172" i="1"/>
  <c r="E171" i="1"/>
  <c r="F107" i="19" l="1"/>
  <c r="F112" i="13"/>
  <c r="E112" i="13"/>
  <c r="C113" i="13"/>
  <c r="E116" i="12"/>
  <c r="D116" i="12"/>
  <c r="B117" i="12"/>
  <c r="C104" i="10"/>
  <c r="F103" i="10"/>
  <c r="E103" i="10"/>
  <c r="F170" i="9"/>
  <c r="E170" i="9"/>
  <c r="C171" i="9"/>
  <c r="E170" i="8"/>
  <c r="F170" i="8"/>
  <c r="C171" i="8"/>
  <c r="E266" i="7"/>
  <c r="C267" i="7"/>
  <c r="F266" i="7"/>
  <c r="C171" i="6"/>
  <c r="E170" i="6"/>
  <c r="F170" i="6"/>
  <c r="C114" i="5"/>
  <c r="F113" i="5"/>
  <c r="E113" i="5"/>
  <c r="F103" i="4"/>
  <c r="E103" i="4"/>
  <c r="C104" i="4"/>
  <c r="C113" i="3"/>
  <c r="F112" i="3"/>
  <c r="E112" i="3"/>
  <c r="E103" i="2"/>
  <c r="F103" i="2"/>
  <c r="C104" i="2"/>
  <c r="C173" i="1"/>
  <c r="F172" i="1"/>
  <c r="E172" i="1"/>
  <c r="F108" i="19" l="1"/>
  <c r="C114" i="13"/>
  <c r="F113" i="13"/>
  <c r="E113" i="13"/>
  <c r="B118" i="12"/>
  <c r="E117" i="12"/>
  <c r="D117" i="12"/>
  <c r="C105" i="10"/>
  <c r="F104" i="10"/>
  <c r="E104" i="10"/>
  <c r="C172" i="9"/>
  <c r="E171" i="9"/>
  <c r="F171" i="9"/>
  <c r="E171" i="8"/>
  <c r="C172" i="8"/>
  <c r="F171" i="8"/>
  <c r="F267" i="7"/>
  <c r="E267" i="7"/>
  <c r="C268" i="7"/>
  <c r="C172" i="6"/>
  <c r="F171" i="6"/>
  <c r="E171" i="6"/>
  <c r="C115" i="5"/>
  <c r="E114" i="5"/>
  <c r="F114" i="5"/>
  <c r="F104" i="4"/>
  <c r="E104" i="4"/>
  <c r="C105" i="4"/>
  <c r="C114" i="3"/>
  <c r="F113" i="3"/>
  <c r="E113" i="3"/>
  <c r="F104" i="2"/>
  <c r="C105" i="2"/>
  <c r="E104" i="2"/>
  <c r="F173" i="1"/>
  <c r="C174" i="1"/>
  <c r="E173" i="1"/>
  <c r="F109" i="19" l="1"/>
  <c r="F114" i="13"/>
  <c r="E114" i="13"/>
  <c r="C115" i="13"/>
  <c r="B119" i="12"/>
  <c r="E118" i="12"/>
  <c r="D118" i="12"/>
  <c r="C106" i="10"/>
  <c r="E105" i="10"/>
  <c r="F105" i="10"/>
  <c r="F172" i="9"/>
  <c r="E172" i="9"/>
  <c r="C173" i="9"/>
  <c r="E172" i="8"/>
  <c r="C173" i="8"/>
  <c r="F172" i="8"/>
  <c r="C269" i="7"/>
  <c r="E268" i="7"/>
  <c r="F268" i="7"/>
  <c r="C173" i="6"/>
  <c r="F172" i="6"/>
  <c r="E172" i="6"/>
  <c r="C116" i="5"/>
  <c r="F115" i="5"/>
  <c r="E115" i="5"/>
  <c r="F105" i="4"/>
  <c r="E105" i="4"/>
  <c r="C106" i="4"/>
  <c r="F114" i="3"/>
  <c r="C115" i="3"/>
  <c r="E114" i="3"/>
  <c r="F105" i="2"/>
  <c r="E105" i="2"/>
  <c r="C106" i="2"/>
  <c r="F174" i="1"/>
  <c r="E174" i="1"/>
  <c r="C175" i="1"/>
  <c r="F110" i="19" l="1"/>
  <c r="C116" i="13"/>
  <c r="F115" i="13"/>
  <c r="E115" i="13"/>
  <c r="D119" i="12"/>
  <c r="B120" i="12"/>
  <c r="E119" i="12"/>
  <c r="C107" i="10"/>
  <c r="F106" i="10"/>
  <c r="E106" i="10"/>
  <c r="C174" i="9"/>
  <c r="F173" i="9"/>
  <c r="E173" i="9"/>
  <c r="E173" i="8"/>
  <c r="C174" i="8"/>
  <c r="F173" i="8"/>
  <c r="F269" i="7"/>
  <c r="E269" i="7"/>
  <c r="C270" i="7"/>
  <c r="C174" i="6"/>
  <c r="F173" i="6"/>
  <c r="E173" i="6"/>
  <c r="F116" i="5"/>
  <c r="C117" i="5"/>
  <c r="E116" i="5"/>
  <c r="F106" i="4"/>
  <c r="C107" i="4"/>
  <c r="E106" i="4"/>
  <c r="C116" i="3"/>
  <c r="E115" i="3"/>
  <c r="F115" i="3"/>
  <c r="F106" i="2"/>
  <c r="C107" i="2"/>
  <c r="E106" i="2"/>
  <c r="C176" i="1"/>
  <c r="F175" i="1"/>
  <c r="E175" i="1"/>
  <c r="F111" i="19" l="1"/>
  <c r="F116" i="13"/>
  <c r="E116" i="13"/>
  <c r="C117" i="13"/>
  <c r="B121" i="12"/>
  <c r="E120" i="12"/>
  <c r="D120" i="12"/>
  <c r="C108" i="10"/>
  <c r="E107" i="10"/>
  <c r="F107" i="10"/>
  <c r="F174" i="9"/>
  <c r="E174" i="9"/>
  <c r="C175" i="9"/>
  <c r="E174" i="8"/>
  <c r="C175" i="8"/>
  <c r="F174" i="8"/>
  <c r="C271" i="7"/>
  <c r="F270" i="7"/>
  <c r="E270" i="7"/>
  <c r="C175" i="6"/>
  <c r="F174" i="6"/>
  <c r="E174" i="6"/>
  <c r="C118" i="5"/>
  <c r="F117" i="5"/>
  <c r="E117" i="5"/>
  <c r="F107" i="4"/>
  <c r="E107" i="4"/>
  <c r="C108" i="4"/>
  <c r="C117" i="3"/>
  <c r="F116" i="3"/>
  <c r="E116" i="3"/>
  <c r="F107" i="2"/>
  <c r="E107" i="2"/>
  <c r="C108" i="2"/>
  <c r="C177" i="1"/>
  <c r="F176" i="1"/>
  <c r="E176" i="1"/>
  <c r="F112" i="19" l="1"/>
  <c r="C118" i="13"/>
  <c r="F117" i="13"/>
  <c r="E117" i="13"/>
  <c r="B122" i="12"/>
  <c r="E121" i="12"/>
  <c r="D121" i="12"/>
  <c r="C109" i="10"/>
  <c r="F108" i="10"/>
  <c r="E108" i="10"/>
  <c r="C176" i="9"/>
  <c r="E175" i="9"/>
  <c r="F175" i="9"/>
  <c r="E175" i="8"/>
  <c r="C176" i="8"/>
  <c r="F175" i="8"/>
  <c r="C272" i="7"/>
  <c r="F271" i="7"/>
  <c r="E271" i="7"/>
  <c r="C176" i="6"/>
  <c r="F175" i="6"/>
  <c r="E175" i="6"/>
  <c r="E118" i="5"/>
  <c r="C119" i="5"/>
  <c r="F118" i="5"/>
  <c r="F108" i="4"/>
  <c r="C109" i="4"/>
  <c r="E108" i="4"/>
  <c r="C118" i="3"/>
  <c r="F117" i="3"/>
  <c r="E117" i="3"/>
  <c r="F108" i="2"/>
  <c r="C109" i="2"/>
  <c r="E108" i="2"/>
  <c r="C178" i="1"/>
  <c r="E177" i="1"/>
  <c r="F177" i="1"/>
  <c r="F113" i="19" l="1"/>
  <c r="F118" i="13"/>
  <c r="E118" i="13"/>
  <c r="C119" i="13"/>
  <c r="B123" i="12"/>
  <c r="E122" i="12"/>
  <c r="D122" i="12"/>
  <c r="C110" i="10"/>
  <c r="F109" i="10"/>
  <c r="E109" i="10"/>
  <c r="F176" i="9"/>
  <c r="E176" i="9"/>
  <c r="C177" i="9"/>
  <c r="E176" i="8"/>
  <c r="C177" i="8"/>
  <c r="F176" i="8"/>
  <c r="F272" i="7"/>
  <c r="E272" i="7"/>
  <c r="C273" i="7"/>
  <c r="C177" i="6"/>
  <c r="F176" i="6"/>
  <c r="E176" i="6"/>
  <c r="C120" i="5"/>
  <c r="F119" i="5"/>
  <c r="E119" i="5"/>
  <c r="F109" i="4"/>
  <c r="E109" i="4"/>
  <c r="C110" i="4"/>
  <c r="C119" i="3"/>
  <c r="E118" i="3"/>
  <c r="F118" i="3"/>
  <c r="C110" i="2"/>
  <c r="F109" i="2"/>
  <c r="E109" i="2"/>
  <c r="F178" i="1"/>
  <c r="E178" i="1"/>
  <c r="C179" i="1"/>
  <c r="F114" i="19" l="1"/>
  <c r="C120" i="13"/>
  <c r="F119" i="13"/>
  <c r="E119" i="13"/>
  <c r="B124" i="12"/>
  <c r="E123" i="12"/>
  <c r="D123" i="12"/>
  <c r="C111" i="10"/>
  <c r="F110" i="10"/>
  <c r="E110" i="10"/>
  <c r="C178" i="9"/>
  <c r="F177" i="9"/>
  <c r="E177" i="9"/>
  <c r="E177" i="8"/>
  <c r="C178" i="8"/>
  <c r="F177" i="8"/>
  <c r="C274" i="7"/>
  <c r="F273" i="7"/>
  <c r="E273" i="7"/>
  <c r="C178" i="6"/>
  <c r="F177" i="6"/>
  <c r="E177" i="6"/>
  <c r="F120" i="5"/>
  <c r="E120" i="5"/>
  <c r="C121" i="5"/>
  <c r="F110" i="4"/>
  <c r="C111" i="4"/>
  <c r="E110" i="4"/>
  <c r="C120" i="3"/>
  <c r="E119" i="3"/>
  <c r="F119" i="3"/>
  <c r="F110" i="2"/>
  <c r="C111" i="2"/>
  <c r="E110" i="2"/>
  <c r="C180" i="1"/>
  <c r="F179" i="1"/>
  <c r="E179" i="1"/>
  <c r="F115" i="19" l="1"/>
  <c r="F120" i="13"/>
  <c r="E120" i="13"/>
  <c r="C121" i="13"/>
  <c r="E124" i="12"/>
  <c r="D124" i="12"/>
  <c r="B125" i="12"/>
  <c r="C112" i="10"/>
  <c r="F111" i="10"/>
  <c r="E111" i="10"/>
  <c r="F178" i="9"/>
  <c r="E178" i="9"/>
  <c r="C179" i="9"/>
  <c r="E178" i="8"/>
  <c r="C179" i="8"/>
  <c r="F178" i="8"/>
  <c r="E274" i="7"/>
  <c r="C275" i="7"/>
  <c r="F274" i="7"/>
  <c r="C179" i="6"/>
  <c r="F178" i="6"/>
  <c r="E178" i="6"/>
  <c r="C122" i="5"/>
  <c r="F121" i="5"/>
  <c r="E121" i="5"/>
  <c r="F111" i="4"/>
  <c r="E111" i="4"/>
  <c r="C112" i="4"/>
  <c r="F120" i="3"/>
  <c r="C121" i="3"/>
  <c r="E120" i="3"/>
  <c r="C112" i="2"/>
  <c r="F111" i="2"/>
  <c r="E111" i="2"/>
  <c r="F180" i="1"/>
  <c r="C181" i="1"/>
  <c r="E180" i="1"/>
  <c r="F116" i="19" l="1"/>
  <c r="C122" i="13"/>
  <c r="F121" i="13"/>
  <c r="E121" i="13"/>
  <c r="B126" i="12"/>
  <c r="E125" i="12"/>
  <c r="D125" i="12"/>
  <c r="C113" i="10"/>
  <c r="F112" i="10"/>
  <c r="E112" i="10"/>
  <c r="C180" i="9"/>
  <c r="F179" i="9"/>
  <c r="E179" i="9"/>
  <c r="E179" i="8"/>
  <c r="C180" i="8"/>
  <c r="F179" i="8"/>
  <c r="F275" i="7"/>
  <c r="E275" i="7"/>
  <c r="C276" i="7"/>
  <c r="C180" i="6"/>
  <c r="F179" i="6"/>
  <c r="E179" i="6"/>
  <c r="F122" i="5"/>
  <c r="E122" i="5"/>
  <c r="C123" i="5"/>
  <c r="F112" i="4"/>
  <c r="C113" i="4"/>
  <c r="E112" i="4"/>
  <c r="C122" i="3"/>
  <c r="F121" i="3"/>
  <c r="E121" i="3"/>
  <c r="F112" i="2"/>
  <c r="C113" i="2"/>
  <c r="E112" i="2"/>
  <c r="C182" i="1"/>
  <c r="E181" i="1"/>
  <c r="F181" i="1"/>
  <c r="F117" i="19" l="1"/>
  <c r="F122" i="13"/>
  <c r="E122" i="13"/>
  <c r="C123" i="13"/>
  <c r="B127" i="12"/>
  <c r="E126" i="12"/>
  <c r="D126" i="12"/>
  <c r="C114" i="10"/>
  <c r="F113" i="10"/>
  <c r="E113" i="10"/>
  <c r="F180" i="9"/>
  <c r="E180" i="9"/>
  <c r="C181" i="9"/>
  <c r="E180" i="8"/>
  <c r="C181" i="8"/>
  <c r="F180" i="8"/>
  <c r="C277" i="7"/>
  <c r="E276" i="7"/>
  <c r="F276" i="7"/>
  <c r="C181" i="6"/>
  <c r="F180" i="6"/>
  <c r="E180" i="6"/>
  <c r="C124" i="5"/>
  <c r="E123" i="5"/>
  <c r="F123" i="5"/>
  <c r="F113" i="4"/>
  <c r="E113" i="4"/>
  <c r="C114" i="4"/>
  <c r="E122" i="3"/>
  <c r="F122" i="3"/>
  <c r="C123" i="3"/>
  <c r="C114" i="2"/>
  <c r="F113" i="2"/>
  <c r="E113" i="2"/>
  <c r="F182" i="1"/>
  <c r="C183" i="1"/>
  <c r="E182" i="1"/>
  <c r="F118" i="19" l="1"/>
  <c r="C124" i="13"/>
  <c r="F123" i="13"/>
  <c r="E123" i="13"/>
  <c r="D127" i="12"/>
  <c r="B128" i="12"/>
  <c r="E127" i="12"/>
  <c r="C115" i="10"/>
  <c r="F114" i="10"/>
  <c r="E114" i="10"/>
  <c r="C182" i="9"/>
  <c r="F181" i="9"/>
  <c r="E181" i="9"/>
  <c r="E181" i="8"/>
  <c r="C182" i="8"/>
  <c r="F181" i="8"/>
  <c r="F277" i="7"/>
  <c r="E277" i="7"/>
  <c r="C278" i="7"/>
  <c r="C182" i="6"/>
  <c r="F181" i="6"/>
  <c r="E181" i="6"/>
  <c r="C125" i="5"/>
  <c r="F124" i="5"/>
  <c r="E124" i="5"/>
  <c r="F114" i="4"/>
  <c r="E114" i="4"/>
  <c r="C115" i="4"/>
  <c r="C124" i="3"/>
  <c r="F123" i="3"/>
  <c r="E123" i="3"/>
  <c r="F114" i="2"/>
  <c r="C115" i="2"/>
  <c r="E114" i="2"/>
  <c r="C184" i="1"/>
  <c r="F183" i="1"/>
  <c r="E183" i="1"/>
  <c r="F119" i="19" l="1"/>
  <c r="F124" i="13"/>
  <c r="E124" i="13"/>
  <c r="C125" i="13"/>
  <c r="B129" i="12"/>
  <c r="E128" i="12"/>
  <c r="D128" i="12"/>
  <c r="C116" i="10"/>
  <c r="F115" i="10"/>
  <c r="E115" i="10"/>
  <c r="F182" i="9"/>
  <c r="E182" i="9"/>
  <c r="C183" i="9"/>
  <c r="E182" i="8"/>
  <c r="C183" i="8"/>
  <c r="F182" i="8"/>
  <c r="C279" i="7"/>
  <c r="F278" i="7"/>
  <c r="E278" i="7"/>
  <c r="C183" i="6"/>
  <c r="F182" i="6"/>
  <c r="E182" i="6"/>
  <c r="C126" i="5"/>
  <c r="F125" i="5"/>
  <c r="E125" i="5"/>
  <c r="F115" i="4"/>
  <c r="E115" i="4"/>
  <c r="C116" i="4"/>
  <c r="F124" i="3"/>
  <c r="C125" i="3"/>
  <c r="E124" i="3"/>
  <c r="F115" i="2"/>
  <c r="E115" i="2"/>
  <c r="C116" i="2"/>
  <c r="F184" i="1"/>
  <c r="E184" i="1"/>
  <c r="C185" i="1"/>
  <c r="F120" i="19" l="1"/>
  <c r="C126" i="13"/>
  <c r="F125" i="13"/>
  <c r="E125" i="13"/>
  <c r="B130" i="12"/>
  <c r="E129" i="12"/>
  <c r="D129" i="12"/>
  <c r="C117" i="10"/>
  <c r="F116" i="10"/>
  <c r="E116" i="10"/>
  <c r="C184" i="9"/>
  <c r="F183" i="9"/>
  <c r="E183" i="9"/>
  <c r="E183" i="8"/>
  <c r="C184" i="8"/>
  <c r="F183" i="8"/>
  <c r="C280" i="7"/>
  <c r="F279" i="7"/>
  <c r="E279" i="7"/>
  <c r="C184" i="6"/>
  <c r="F183" i="6"/>
  <c r="E183" i="6"/>
  <c r="C127" i="5"/>
  <c r="F126" i="5"/>
  <c r="E126" i="5"/>
  <c r="F116" i="4"/>
  <c r="C117" i="4"/>
  <c r="E116" i="4"/>
  <c r="C126" i="3"/>
  <c r="F125" i="3"/>
  <c r="E125" i="3"/>
  <c r="F116" i="2"/>
  <c r="C117" i="2"/>
  <c r="E116" i="2"/>
  <c r="C186" i="1"/>
  <c r="F185" i="1"/>
  <c r="E185" i="1"/>
  <c r="F121" i="19" l="1"/>
  <c r="F126" i="13"/>
  <c r="E126" i="13"/>
  <c r="C127" i="13"/>
  <c r="B131" i="12"/>
  <c r="E130" i="12"/>
  <c r="D130" i="12"/>
  <c r="C118" i="10"/>
  <c r="F117" i="10"/>
  <c r="E117" i="10"/>
  <c r="F184" i="9"/>
  <c r="E184" i="9"/>
  <c r="C185" i="9"/>
  <c r="E184" i="8"/>
  <c r="F184" i="8"/>
  <c r="C185" i="8"/>
  <c r="F280" i="7"/>
  <c r="E280" i="7"/>
  <c r="C281" i="7"/>
  <c r="E184" i="6"/>
  <c r="C185" i="6"/>
  <c r="F184" i="6"/>
  <c r="C128" i="5"/>
  <c r="E127" i="5"/>
  <c r="F127" i="5"/>
  <c r="F117" i="4"/>
  <c r="E117" i="4"/>
  <c r="C118" i="4"/>
  <c r="E126" i="3"/>
  <c r="C127" i="3"/>
  <c r="F126" i="3"/>
  <c r="C118" i="2"/>
  <c r="F117" i="2"/>
  <c r="E117" i="2"/>
  <c r="F186" i="1"/>
  <c r="E186" i="1"/>
  <c r="C187" i="1"/>
  <c r="F122" i="19" l="1"/>
  <c r="C128" i="13"/>
  <c r="F127" i="13"/>
  <c r="E127" i="13"/>
  <c r="B132" i="12"/>
  <c r="E131" i="12"/>
  <c r="D131" i="12"/>
  <c r="C119" i="10"/>
  <c r="F118" i="10"/>
  <c r="E118" i="10"/>
  <c r="C186" i="9"/>
  <c r="F185" i="9"/>
  <c r="E185" i="9"/>
  <c r="E185" i="8"/>
  <c r="C186" i="8"/>
  <c r="F185" i="8"/>
  <c r="C282" i="7"/>
  <c r="F281" i="7"/>
  <c r="E281" i="7"/>
  <c r="C186" i="6"/>
  <c r="F185" i="6"/>
  <c r="E185" i="6"/>
  <c r="C129" i="5"/>
  <c r="F128" i="5"/>
  <c r="E128" i="5"/>
  <c r="F118" i="4"/>
  <c r="C119" i="4"/>
  <c r="E118" i="4"/>
  <c r="F127" i="3"/>
  <c r="C128" i="3"/>
  <c r="E127" i="3"/>
  <c r="F118" i="2"/>
  <c r="C119" i="2"/>
  <c r="E118" i="2"/>
  <c r="C188" i="1"/>
  <c r="F187" i="1"/>
  <c r="E187" i="1"/>
  <c r="F123" i="19" l="1"/>
  <c r="F128" i="13"/>
  <c r="E128" i="13"/>
  <c r="C129" i="13"/>
  <c r="E132" i="12"/>
  <c r="D132" i="12"/>
  <c r="B133" i="12"/>
  <c r="C120" i="10"/>
  <c r="F119" i="10"/>
  <c r="E119" i="10"/>
  <c r="F186" i="9"/>
  <c r="E186" i="9"/>
  <c r="C187" i="9"/>
  <c r="E186" i="8"/>
  <c r="F186" i="8"/>
  <c r="C187" i="8"/>
  <c r="E282" i="7"/>
  <c r="C283" i="7"/>
  <c r="F282" i="7"/>
  <c r="E186" i="6"/>
  <c r="C187" i="6"/>
  <c r="F186" i="6"/>
  <c r="C130" i="5"/>
  <c r="F129" i="5"/>
  <c r="E129" i="5"/>
  <c r="F119" i="4"/>
  <c r="E119" i="4"/>
  <c r="C120" i="4"/>
  <c r="E128" i="3"/>
  <c r="F128" i="3"/>
  <c r="C129" i="3"/>
  <c r="C120" i="2"/>
  <c r="F119" i="2"/>
  <c r="E119" i="2"/>
  <c r="F188" i="1"/>
  <c r="C189" i="1"/>
  <c r="E188" i="1"/>
  <c r="F124" i="19" l="1"/>
  <c r="C130" i="13"/>
  <c r="F129" i="13"/>
  <c r="E129" i="13"/>
  <c r="B134" i="12"/>
  <c r="E133" i="12"/>
  <c r="D133" i="12"/>
  <c r="C121" i="10"/>
  <c r="F120" i="10"/>
  <c r="E120" i="10"/>
  <c r="C188" i="9"/>
  <c r="F187" i="9"/>
  <c r="E187" i="9"/>
  <c r="E187" i="8"/>
  <c r="C188" i="8"/>
  <c r="F187" i="8"/>
  <c r="F283" i="7"/>
  <c r="E283" i="7"/>
  <c r="C284" i="7"/>
  <c r="C188" i="6"/>
  <c r="F187" i="6"/>
  <c r="E187" i="6"/>
  <c r="C131" i="5"/>
  <c r="E130" i="5"/>
  <c r="F130" i="5"/>
  <c r="F120" i="4"/>
  <c r="E120" i="4"/>
  <c r="C121" i="4"/>
  <c r="F129" i="3"/>
  <c r="C130" i="3"/>
  <c r="E129" i="3"/>
  <c r="F120" i="2"/>
  <c r="C121" i="2"/>
  <c r="E120" i="2"/>
  <c r="C190" i="1"/>
  <c r="F189" i="1"/>
  <c r="E189" i="1"/>
  <c r="F125" i="19" l="1"/>
  <c r="F130" i="13"/>
  <c r="E130" i="13"/>
  <c r="C131" i="13"/>
  <c r="B135" i="12"/>
  <c r="E134" i="12"/>
  <c r="D134" i="12"/>
  <c r="C122" i="10"/>
  <c r="E121" i="10"/>
  <c r="F121" i="10"/>
  <c r="F188" i="9"/>
  <c r="E188" i="9"/>
  <c r="C189" i="9"/>
  <c r="E188" i="8"/>
  <c r="C189" i="8"/>
  <c r="F188" i="8"/>
  <c r="C285" i="7"/>
  <c r="E284" i="7"/>
  <c r="F284" i="7"/>
  <c r="E188" i="6"/>
  <c r="C189" i="6"/>
  <c r="F188" i="6"/>
  <c r="C132" i="5"/>
  <c r="F131" i="5"/>
  <c r="E131" i="5"/>
  <c r="F121" i="4"/>
  <c r="E121" i="4"/>
  <c r="C122" i="4"/>
  <c r="E130" i="3"/>
  <c r="C131" i="3"/>
  <c r="F130" i="3"/>
  <c r="C122" i="2"/>
  <c r="F121" i="2"/>
  <c r="E121" i="2"/>
  <c r="F190" i="1"/>
  <c r="C191" i="1"/>
  <c r="E190" i="1"/>
  <c r="F126" i="19" l="1"/>
  <c r="C132" i="13"/>
  <c r="F131" i="13"/>
  <c r="E131" i="13"/>
  <c r="D135" i="12"/>
  <c r="B136" i="12"/>
  <c r="E135" i="12"/>
  <c r="C123" i="10"/>
  <c r="F122" i="10"/>
  <c r="E122" i="10"/>
  <c r="C190" i="9"/>
  <c r="F189" i="9"/>
  <c r="E189" i="9"/>
  <c r="E189" i="8"/>
  <c r="C190" i="8"/>
  <c r="F189" i="8"/>
  <c r="F285" i="7"/>
  <c r="E285" i="7"/>
  <c r="C286" i="7"/>
  <c r="C190" i="6"/>
  <c r="F189" i="6"/>
  <c r="E189" i="6"/>
  <c r="F132" i="5"/>
  <c r="C133" i="5"/>
  <c r="E132" i="5"/>
  <c r="F122" i="4"/>
  <c r="C123" i="4"/>
  <c r="E122" i="4"/>
  <c r="C132" i="3"/>
  <c r="F131" i="3"/>
  <c r="E131" i="3"/>
  <c r="F122" i="2"/>
  <c r="C123" i="2"/>
  <c r="E122" i="2"/>
  <c r="C192" i="1"/>
  <c r="F191" i="1"/>
  <c r="E191" i="1"/>
  <c r="F127" i="19" l="1"/>
  <c r="F132" i="13"/>
  <c r="E132" i="13"/>
  <c r="C133" i="13"/>
  <c r="B137" i="12"/>
  <c r="E136" i="12"/>
  <c r="D136" i="12"/>
  <c r="C124" i="10"/>
  <c r="E123" i="10"/>
  <c r="F123" i="10"/>
  <c r="F190" i="9"/>
  <c r="E190" i="9"/>
  <c r="C191" i="9"/>
  <c r="E190" i="8"/>
  <c r="C191" i="8"/>
  <c r="F190" i="8"/>
  <c r="C287" i="7"/>
  <c r="F286" i="7"/>
  <c r="E286" i="7"/>
  <c r="E190" i="6"/>
  <c r="C191" i="6"/>
  <c r="F190" i="6"/>
  <c r="C134" i="5"/>
  <c r="F133" i="5"/>
  <c r="E133" i="5"/>
  <c r="F123" i="4"/>
  <c r="E123" i="4"/>
  <c r="C124" i="4"/>
  <c r="E132" i="3"/>
  <c r="C133" i="3"/>
  <c r="F132" i="3"/>
  <c r="F123" i="2"/>
  <c r="E123" i="2"/>
  <c r="C124" i="2"/>
  <c r="F192" i="1"/>
  <c r="C193" i="1"/>
  <c r="E192" i="1"/>
  <c r="F128" i="19" l="1"/>
  <c r="C134" i="13"/>
  <c r="F133" i="13"/>
  <c r="E133" i="13"/>
  <c r="B138" i="12"/>
  <c r="E137" i="12"/>
  <c r="D137" i="12"/>
  <c r="C125" i="10"/>
  <c r="F124" i="10"/>
  <c r="E124" i="10"/>
  <c r="C192" i="9"/>
  <c r="E191" i="9"/>
  <c r="F191" i="9"/>
  <c r="E191" i="8"/>
  <c r="C192" i="8"/>
  <c r="F191" i="8"/>
  <c r="C288" i="7"/>
  <c r="F287" i="7"/>
  <c r="E287" i="7"/>
  <c r="C192" i="6"/>
  <c r="F191" i="6"/>
  <c r="E191" i="6"/>
  <c r="E134" i="5"/>
  <c r="C135" i="5"/>
  <c r="F134" i="5"/>
  <c r="F124" i="4"/>
  <c r="E124" i="4"/>
  <c r="C125" i="4"/>
  <c r="C134" i="3"/>
  <c r="F133" i="3"/>
  <c r="E133" i="3"/>
  <c r="F124" i="2"/>
  <c r="C125" i="2"/>
  <c r="E124" i="2"/>
  <c r="C194" i="1"/>
  <c r="F193" i="1"/>
  <c r="E193" i="1"/>
  <c r="F129" i="19" l="1"/>
  <c r="F134" i="13"/>
  <c r="E134" i="13"/>
  <c r="C135" i="13"/>
  <c r="B139" i="12"/>
  <c r="E138" i="12"/>
  <c r="D138" i="12"/>
  <c r="C126" i="10"/>
  <c r="F125" i="10"/>
  <c r="E125" i="10"/>
  <c r="F192" i="9"/>
  <c r="E192" i="9"/>
  <c r="C193" i="9"/>
  <c r="E192" i="8"/>
  <c r="C193" i="8"/>
  <c r="F192" i="8"/>
  <c r="F288" i="7"/>
  <c r="E288" i="7"/>
  <c r="C289" i="7"/>
  <c r="E192" i="6"/>
  <c r="C193" i="6"/>
  <c r="F192" i="6"/>
  <c r="C136" i="5"/>
  <c r="F135" i="5"/>
  <c r="E135" i="5"/>
  <c r="F125" i="4"/>
  <c r="E125" i="4"/>
  <c r="C126" i="4"/>
  <c r="E134" i="3"/>
  <c r="C135" i="3"/>
  <c r="F134" i="3"/>
  <c r="C126" i="2"/>
  <c r="F125" i="2"/>
  <c r="E125" i="2"/>
  <c r="F194" i="1"/>
  <c r="E194" i="1"/>
  <c r="C195" i="1"/>
  <c r="F130" i="19" l="1"/>
  <c r="E135" i="13"/>
  <c r="C136" i="13"/>
  <c r="F135" i="13"/>
  <c r="B140" i="12"/>
  <c r="E139" i="12"/>
  <c r="D139" i="12"/>
  <c r="C127" i="10"/>
  <c r="F126" i="10"/>
  <c r="E126" i="10"/>
  <c r="C194" i="9"/>
  <c r="F193" i="9"/>
  <c r="E193" i="9"/>
  <c r="E193" i="8"/>
  <c r="C194" i="8"/>
  <c r="F193" i="8"/>
  <c r="C290" i="7"/>
  <c r="F289" i="7"/>
  <c r="E289" i="7"/>
  <c r="C194" i="6"/>
  <c r="F193" i="6"/>
  <c r="E193" i="6"/>
  <c r="F136" i="5"/>
  <c r="E136" i="5"/>
  <c r="C137" i="5"/>
  <c r="F126" i="4"/>
  <c r="C127" i="4"/>
  <c r="E126" i="4"/>
  <c r="E135" i="3"/>
  <c r="F135" i="3"/>
  <c r="C136" i="3"/>
  <c r="F126" i="2"/>
  <c r="C127" i="2"/>
  <c r="E126" i="2"/>
  <c r="C196" i="1"/>
  <c r="F195" i="1"/>
  <c r="E195" i="1"/>
  <c r="F131" i="19" l="1"/>
  <c r="C137" i="13"/>
  <c r="F136" i="13"/>
  <c r="E136" i="13"/>
  <c r="E140" i="12"/>
  <c r="D140" i="12"/>
  <c r="B141" i="12"/>
  <c r="C128" i="10"/>
  <c r="F127" i="10"/>
  <c r="E127" i="10"/>
  <c r="F194" i="9"/>
  <c r="E194" i="9"/>
  <c r="C195" i="9"/>
  <c r="E194" i="8"/>
  <c r="C195" i="8"/>
  <c r="F194" i="8"/>
  <c r="E290" i="7"/>
  <c r="C291" i="7"/>
  <c r="F290" i="7"/>
  <c r="E194" i="6"/>
  <c r="C195" i="6"/>
  <c r="F194" i="6"/>
  <c r="C138" i="5"/>
  <c r="F137" i="5"/>
  <c r="E137" i="5"/>
  <c r="F127" i="4"/>
  <c r="E127" i="4"/>
  <c r="C128" i="4"/>
  <c r="E136" i="3"/>
  <c r="F136" i="3"/>
  <c r="C137" i="3"/>
  <c r="C128" i="2"/>
  <c r="F127" i="2"/>
  <c r="E127" i="2"/>
  <c r="F196" i="1"/>
  <c r="C197" i="1"/>
  <c r="E196" i="1"/>
  <c r="F132" i="19" l="1"/>
  <c r="E137" i="13"/>
  <c r="F137" i="13"/>
  <c r="C138" i="13"/>
  <c r="B142" i="12"/>
  <c r="E141" i="12"/>
  <c r="D141" i="12"/>
  <c r="F128" i="10"/>
  <c r="C129" i="10"/>
  <c r="E128" i="10"/>
  <c r="C196" i="9"/>
  <c r="F195" i="9"/>
  <c r="E195" i="9"/>
  <c r="E195" i="8"/>
  <c r="C196" i="8"/>
  <c r="F195" i="8"/>
  <c r="F291" i="7"/>
  <c r="E291" i="7"/>
  <c r="C292" i="7"/>
  <c r="C196" i="6"/>
  <c r="F195" i="6"/>
  <c r="E195" i="6"/>
  <c r="F138" i="5"/>
  <c r="E138" i="5"/>
  <c r="C139" i="5"/>
  <c r="F128" i="4"/>
  <c r="C129" i="4"/>
  <c r="E128" i="4"/>
  <c r="F137" i="3"/>
  <c r="E137" i="3"/>
  <c r="C138" i="3"/>
  <c r="F128" i="2"/>
  <c r="C129" i="2"/>
  <c r="E128" i="2"/>
  <c r="C198" i="1"/>
  <c r="F197" i="1"/>
  <c r="E197" i="1"/>
  <c r="F133" i="19" l="1"/>
  <c r="C139" i="13"/>
  <c r="F138" i="13"/>
  <c r="E138" i="13"/>
  <c r="B143" i="12"/>
  <c r="E142" i="12"/>
  <c r="D142" i="12"/>
  <c r="E129" i="10"/>
  <c r="C130" i="10"/>
  <c r="F129" i="10"/>
  <c r="F196" i="9"/>
  <c r="E196" i="9"/>
  <c r="C197" i="9"/>
  <c r="E196" i="8"/>
  <c r="C197" i="8"/>
  <c r="F196" i="8"/>
  <c r="C293" i="7"/>
  <c r="E292" i="7"/>
  <c r="F292" i="7"/>
  <c r="E196" i="6"/>
  <c r="C197" i="6"/>
  <c r="F196" i="6"/>
  <c r="C140" i="5"/>
  <c r="E139" i="5"/>
  <c r="F139" i="5"/>
  <c r="F129" i="4"/>
  <c r="E129" i="4"/>
  <c r="C130" i="4"/>
  <c r="E138" i="3"/>
  <c r="F138" i="3"/>
  <c r="C139" i="3"/>
  <c r="C130" i="2"/>
  <c r="F129" i="2"/>
  <c r="E129" i="2"/>
  <c r="F198" i="1"/>
  <c r="C199" i="1"/>
  <c r="E198" i="1"/>
  <c r="F134" i="19" l="1"/>
  <c r="E139" i="13"/>
  <c r="C140" i="13"/>
  <c r="F139" i="13"/>
  <c r="D143" i="12"/>
  <c r="B144" i="12"/>
  <c r="E143" i="12"/>
  <c r="F130" i="10"/>
  <c r="C131" i="10"/>
  <c r="E130" i="10"/>
  <c r="C198" i="9"/>
  <c r="F197" i="9"/>
  <c r="E197" i="9"/>
  <c r="E197" i="8"/>
  <c r="C198" i="8"/>
  <c r="F197" i="8"/>
  <c r="F293" i="7"/>
  <c r="E293" i="7"/>
  <c r="C294" i="7"/>
  <c r="C198" i="6"/>
  <c r="F197" i="6"/>
  <c r="E197" i="6"/>
  <c r="C141" i="5"/>
  <c r="F140" i="5"/>
  <c r="E140" i="5"/>
  <c r="E130" i="4"/>
  <c r="C131" i="4"/>
  <c r="F130" i="4"/>
  <c r="F139" i="3"/>
  <c r="E139" i="3"/>
  <c r="C140" i="3"/>
  <c r="F130" i="2"/>
  <c r="C131" i="2"/>
  <c r="E130" i="2"/>
  <c r="C200" i="1"/>
  <c r="F199" i="1"/>
  <c r="E199" i="1"/>
  <c r="F135" i="19" l="1"/>
  <c r="C141" i="13"/>
  <c r="F140" i="13"/>
  <c r="E140" i="13"/>
  <c r="B145" i="12"/>
  <c r="E144" i="12"/>
  <c r="D144" i="12"/>
  <c r="F131" i="10"/>
  <c r="E131" i="10"/>
  <c r="C132" i="10"/>
  <c r="F198" i="9"/>
  <c r="E198" i="9"/>
  <c r="C199" i="9"/>
  <c r="E198" i="8"/>
  <c r="C199" i="8"/>
  <c r="F198" i="8"/>
  <c r="C295" i="7"/>
  <c r="F294" i="7"/>
  <c r="E294" i="7"/>
  <c r="E198" i="6"/>
  <c r="C199" i="6"/>
  <c r="F198" i="6"/>
  <c r="C142" i="5"/>
  <c r="F141" i="5"/>
  <c r="E141" i="5"/>
  <c r="F131" i="4"/>
  <c r="C132" i="4"/>
  <c r="E131" i="4"/>
  <c r="E140" i="3"/>
  <c r="F140" i="3"/>
  <c r="C141" i="3"/>
  <c r="F131" i="2"/>
  <c r="E131" i="2"/>
  <c r="C132" i="2"/>
  <c r="F200" i="1"/>
  <c r="C201" i="1"/>
  <c r="E200" i="1"/>
  <c r="F136" i="19" l="1"/>
  <c r="E141" i="13"/>
  <c r="F141" i="13"/>
  <c r="C142" i="13"/>
  <c r="B146" i="12"/>
  <c r="E145" i="12"/>
  <c r="D145" i="12"/>
  <c r="F132" i="10"/>
  <c r="C133" i="10"/>
  <c r="E132" i="10"/>
  <c r="C200" i="9"/>
  <c r="F199" i="9"/>
  <c r="E199" i="9"/>
  <c r="E199" i="8"/>
  <c r="C200" i="8"/>
  <c r="F199" i="8"/>
  <c r="C296" i="7"/>
  <c r="F295" i="7"/>
  <c r="E295" i="7"/>
  <c r="C200" i="6"/>
  <c r="F199" i="6"/>
  <c r="E199" i="6"/>
  <c r="C143" i="5"/>
  <c r="F142" i="5"/>
  <c r="E142" i="5"/>
  <c r="E132" i="4"/>
  <c r="C133" i="4"/>
  <c r="F132" i="4"/>
  <c r="F141" i="3"/>
  <c r="E141" i="3"/>
  <c r="C142" i="3"/>
  <c r="F132" i="2"/>
  <c r="C133" i="2"/>
  <c r="E132" i="2"/>
  <c r="C202" i="1"/>
  <c r="F201" i="1"/>
  <c r="E201" i="1"/>
  <c r="F137" i="19" l="1"/>
  <c r="C143" i="13"/>
  <c r="F142" i="13"/>
  <c r="E142" i="13"/>
  <c r="B147" i="12"/>
  <c r="E146" i="12"/>
  <c r="D146" i="12"/>
  <c r="F133" i="10"/>
  <c r="C134" i="10"/>
  <c r="E133" i="10"/>
  <c r="F200" i="9"/>
  <c r="E200" i="9"/>
  <c r="C201" i="9"/>
  <c r="E200" i="8"/>
  <c r="F200" i="8"/>
  <c r="C201" i="8"/>
  <c r="F296" i="7"/>
  <c r="E296" i="7"/>
  <c r="C297" i="7"/>
  <c r="E200" i="6"/>
  <c r="C201" i="6"/>
  <c r="F200" i="6"/>
  <c r="C144" i="5"/>
  <c r="E143" i="5"/>
  <c r="F143" i="5"/>
  <c r="F133" i="4"/>
  <c r="E133" i="4"/>
  <c r="C134" i="4"/>
  <c r="E142" i="3"/>
  <c r="C143" i="3"/>
  <c r="F142" i="3"/>
  <c r="C134" i="2"/>
  <c r="F133" i="2"/>
  <c r="E133" i="2"/>
  <c r="F202" i="1"/>
  <c r="E202" i="1"/>
  <c r="C203" i="1"/>
  <c r="F138" i="19" l="1"/>
  <c r="E143" i="13"/>
  <c r="C144" i="13"/>
  <c r="F143" i="13"/>
  <c r="B148" i="12"/>
  <c r="E147" i="12"/>
  <c r="D147" i="12"/>
  <c r="F134" i="10"/>
  <c r="C135" i="10"/>
  <c r="E134" i="10"/>
  <c r="C202" i="9"/>
  <c r="F201" i="9"/>
  <c r="E201" i="9"/>
  <c r="E201" i="8"/>
  <c r="C202" i="8"/>
  <c r="F201" i="8"/>
  <c r="C298" i="7"/>
  <c r="F297" i="7"/>
  <c r="E297" i="7"/>
  <c r="C202" i="6"/>
  <c r="F201" i="6"/>
  <c r="E201" i="6"/>
  <c r="C145" i="5"/>
  <c r="F144" i="5"/>
  <c r="E144" i="5"/>
  <c r="F134" i="4"/>
  <c r="C135" i="4"/>
  <c r="E134" i="4"/>
  <c r="F143" i="3"/>
  <c r="C144" i="3"/>
  <c r="E143" i="3"/>
  <c r="F134" i="2"/>
  <c r="C135" i="2"/>
  <c r="E134" i="2"/>
  <c r="C204" i="1"/>
  <c r="F203" i="1"/>
  <c r="E203" i="1"/>
  <c r="F139" i="19" l="1"/>
  <c r="C145" i="13"/>
  <c r="F144" i="13"/>
  <c r="E144" i="13"/>
  <c r="E148" i="12"/>
  <c r="D148" i="12"/>
  <c r="B149" i="12"/>
  <c r="F135" i="10"/>
  <c r="C136" i="10"/>
  <c r="E135" i="10"/>
  <c r="F202" i="9"/>
  <c r="E202" i="9"/>
  <c r="C203" i="9"/>
  <c r="E202" i="8"/>
  <c r="F202" i="8"/>
  <c r="C203" i="8"/>
  <c r="E298" i="7"/>
  <c r="C299" i="7"/>
  <c r="F298" i="7"/>
  <c r="E202" i="6"/>
  <c r="C203" i="6"/>
  <c r="F202" i="6"/>
  <c r="C146" i="5"/>
  <c r="F145" i="5"/>
  <c r="E145" i="5"/>
  <c r="F135" i="4"/>
  <c r="E135" i="4"/>
  <c r="C136" i="4"/>
  <c r="E144" i="3"/>
  <c r="F144" i="3"/>
  <c r="C145" i="3"/>
  <c r="C136" i="2"/>
  <c r="F135" i="2"/>
  <c r="E135" i="2"/>
  <c r="F204" i="1"/>
  <c r="C205" i="1"/>
  <c r="E204" i="1"/>
  <c r="F140" i="19" l="1"/>
  <c r="E145" i="13"/>
  <c r="F145" i="13"/>
  <c r="C146" i="13"/>
  <c r="B150" i="12"/>
  <c r="E149" i="12"/>
  <c r="D149" i="12"/>
  <c r="F136" i="10"/>
  <c r="E136" i="10"/>
  <c r="C137" i="10"/>
  <c r="C204" i="9"/>
  <c r="F203" i="9"/>
  <c r="E203" i="9"/>
  <c r="E203" i="8"/>
  <c r="C204" i="8"/>
  <c r="F203" i="8"/>
  <c r="F299" i="7"/>
  <c r="E299" i="7"/>
  <c r="C300" i="7"/>
  <c r="C204" i="6"/>
  <c r="F203" i="6"/>
  <c r="E203" i="6"/>
  <c r="C147" i="5"/>
  <c r="E146" i="5"/>
  <c r="F146" i="5"/>
  <c r="C137" i="4"/>
  <c r="F136" i="4"/>
  <c r="E136" i="4"/>
  <c r="F145" i="3"/>
  <c r="C146" i="3"/>
  <c r="E145" i="3"/>
  <c r="F136" i="2"/>
  <c r="C137" i="2"/>
  <c r="E136" i="2"/>
  <c r="C206" i="1"/>
  <c r="F205" i="1"/>
  <c r="E205" i="1"/>
  <c r="F141" i="19" l="1"/>
  <c r="C147" i="13"/>
  <c r="F146" i="13"/>
  <c r="E146" i="13"/>
  <c r="B151" i="12"/>
  <c r="E150" i="12"/>
  <c r="D150" i="12"/>
  <c r="F137" i="10"/>
  <c r="C138" i="10"/>
  <c r="E137" i="10"/>
  <c r="F204" i="9"/>
  <c r="E204" i="9"/>
  <c r="C205" i="9"/>
  <c r="E204" i="8"/>
  <c r="C205" i="8"/>
  <c r="F204" i="8"/>
  <c r="C301" i="7"/>
  <c r="E300" i="7"/>
  <c r="F300" i="7"/>
  <c r="E204" i="6"/>
  <c r="C205" i="6"/>
  <c r="F204" i="6"/>
  <c r="C148" i="5"/>
  <c r="F147" i="5"/>
  <c r="E147" i="5"/>
  <c r="F137" i="4"/>
  <c r="E137" i="4"/>
  <c r="C138" i="4"/>
  <c r="E146" i="3"/>
  <c r="C147" i="3"/>
  <c r="F146" i="3"/>
  <c r="C138" i="2"/>
  <c r="F137" i="2"/>
  <c r="E137" i="2"/>
  <c r="F206" i="1"/>
  <c r="C207" i="1"/>
  <c r="E206" i="1"/>
  <c r="F142" i="19" l="1"/>
  <c r="E147" i="13"/>
  <c r="C148" i="13"/>
  <c r="F147" i="13"/>
  <c r="D151" i="12"/>
  <c r="B152" i="12"/>
  <c r="E151" i="12"/>
  <c r="F138" i="10"/>
  <c r="C139" i="10"/>
  <c r="E138" i="10"/>
  <c r="C206" i="9"/>
  <c r="F205" i="9"/>
  <c r="E205" i="9"/>
  <c r="E205" i="8"/>
  <c r="C206" i="8"/>
  <c r="F205" i="8"/>
  <c r="F301" i="7"/>
  <c r="E301" i="7"/>
  <c r="C302" i="7"/>
  <c r="C206" i="6"/>
  <c r="F205" i="6"/>
  <c r="E205" i="6"/>
  <c r="F148" i="5"/>
  <c r="E148" i="5"/>
  <c r="C149" i="5"/>
  <c r="E138" i="4"/>
  <c r="C139" i="4"/>
  <c r="F138" i="4"/>
  <c r="F147" i="3"/>
  <c r="E147" i="3"/>
  <c r="C148" i="3"/>
  <c r="F138" i="2"/>
  <c r="E138" i="2"/>
  <c r="C139" i="2"/>
  <c r="C208" i="1"/>
  <c r="F207" i="1"/>
  <c r="E207" i="1"/>
  <c r="F143" i="19" l="1"/>
  <c r="C149" i="13"/>
  <c r="F148" i="13"/>
  <c r="E148" i="13"/>
  <c r="B153" i="12"/>
  <c r="E152" i="12"/>
  <c r="D152" i="12"/>
  <c r="F139" i="10"/>
  <c r="E139" i="10"/>
  <c r="C140" i="10"/>
  <c r="F206" i="9"/>
  <c r="E206" i="9"/>
  <c r="C207" i="9"/>
  <c r="E206" i="8"/>
  <c r="C207" i="8"/>
  <c r="F206" i="8"/>
  <c r="C303" i="7"/>
  <c r="F302" i="7"/>
  <c r="E302" i="7"/>
  <c r="E206" i="6"/>
  <c r="C207" i="6"/>
  <c r="F206" i="6"/>
  <c r="C150" i="5"/>
  <c r="F149" i="5"/>
  <c r="E149" i="5"/>
  <c r="F139" i="4"/>
  <c r="C140" i="4"/>
  <c r="E139" i="4"/>
  <c r="E148" i="3"/>
  <c r="F148" i="3"/>
  <c r="C149" i="3"/>
  <c r="F139" i="2"/>
  <c r="E139" i="2"/>
  <c r="C140" i="2"/>
  <c r="F208" i="1"/>
  <c r="C209" i="1"/>
  <c r="E208" i="1"/>
  <c r="F144" i="19" l="1"/>
  <c r="E149" i="13"/>
  <c r="F149" i="13"/>
  <c r="C150" i="13"/>
  <c r="B154" i="12"/>
  <c r="E153" i="12"/>
  <c r="D153" i="12"/>
  <c r="F140" i="10"/>
  <c r="C141" i="10"/>
  <c r="E140" i="10"/>
  <c r="C208" i="9"/>
  <c r="E207" i="9"/>
  <c r="F207" i="9"/>
  <c r="E207" i="8"/>
  <c r="C208" i="8"/>
  <c r="F207" i="8"/>
  <c r="C304" i="7"/>
  <c r="F303" i="7"/>
  <c r="E303" i="7"/>
  <c r="C208" i="6"/>
  <c r="F207" i="6"/>
  <c r="E207" i="6"/>
  <c r="E150" i="5"/>
  <c r="F150" i="5"/>
  <c r="C151" i="5"/>
  <c r="E140" i="4"/>
  <c r="C141" i="4"/>
  <c r="F140" i="4"/>
  <c r="F149" i="3"/>
  <c r="E149" i="3"/>
  <c r="C150" i="3"/>
  <c r="F140" i="2"/>
  <c r="E140" i="2"/>
  <c r="C141" i="2"/>
  <c r="C210" i="1"/>
  <c r="F209" i="1"/>
  <c r="E209" i="1"/>
  <c r="F145" i="19" l="1"/>
  <c r="C151" i="13"/>
  <c r="F150" i="13"/>
  <c r="E150" i="13"/>
  <c r="B155" i="12"/>
  <c r="E154" i="12"/>
  <c r="D154" i="12"/>
  <c r="F141" i="10"/>
  <c r="E141" i="10"/>
  <c r="C142" i="10"/>
  <c r="F208" i="9"/>
  <c r="E208" i="9"/>
  <c r="C209" i="9"/>
  <c r="E208" i="8"/>
  <c r="C209" i="8"/>
  <c r="F208" i="8"/>
  <c r="F304" i="7"/>
  <c r="E304" i="7"/>
  <c r="C305" i="7"/>
  <c r="E208" i="6"/>
  <c r="C209" i="6"/>
  <c r="F208" i="6"/>
  <c r="C152" i="5"/>
  <c r="F151" i="5"/>
  <c r="E151" i="5"/>
  <c r="F141" i="4"/>
  <c r="C142" i="4"/>
  <c r="E141" i="4"/>
  <c r="E150" i="3"/>
  <c r="C151" i="3"/>
  <c r="F150" i="3"/>
  <c r="C142" i="2"/>
  <c r="F141" i="2"/>
  <c r="E141" i="2"/>
  <c r="F210" i="1"/>
  <c r="E210" i="1"/>
  <c r="C211" i="1"/>
  <c r="F146" i="19" l="1"/>
  <c r="E151" i="13"/>
  <c r="C152" i="13"/>
  <c r="F151" i="13"/>
  <c r="B156" i="12"/>
  <c r="E155" i="12"/>
  <c r="D155" i="12"/>
  <c r="C143" i="10"/>
  <c r="E142" i="10"/>
  <c r="F142" i="10"/>
  <c r="C210" i="9"/>
  <c r="F209" i="9"/>
  <c r="E209" i="9"/>
  <c r="E209" i="8"/>
  <c r="C210" i="8"/>
  <c r="F209" i="8"/>
  <c r="C306" i="7"/>
  <c r="F305" i="7"/>
  <c r="E305" i="7"/>
  <c r="C210" i="6"/>
  <c r="F209" i="6"/>
  <c r="E209" i="6"/>
  <c r="F152" i="5"/>
  <c r="E152" i="5"/>
  <c r="C153" i="5"/>
  <c r="C143" i="4"/>
  <c r="F142" i="4"/>
  <c r="E142" i="4"/>
  <c r="F151" i="3"/>
  <c r="C152" i="3"/>
  <c r="E151" i="3"/>
  <c r="F142" i="2"/>
  <c r="E142" i="2"/>
  <c r="C143" i="2"/>
  <c r="C212" i="1"/>
  <c r="F211" i="1"/>
  <c r="E211" i="1"/>
  <c r="F147" i="19" l="1"/>
  <c r="C153" i="13"/>
  <c r="F152" i="13"/>
  <c r="E152" i="13"/>
  <c r="E156" i="12"/>
  <c r="D156" i="12"/>
  <c r="B157" i="12"/>
  <c r="F143" i="10"/>
  <c r="E143" i="10"/>
  <c r="C144" i="10"/>
  <c r="F210" i="9"/>
  <c r="E210" i="9"/>
  <c r="C211" i="9"/>
  <c r="F210" i="8"/>
  <c r="C211" i="8"/>
  <c r="E210" i="8"/>
  <c r="E306" i="7"/>
  <c r="C307" i="7"/>
  <c r="F306" i="7"/>
  <c r="E210" i="6"/>
  <c r="C211" i="6"/>
  <c r="F210" i="6"/>
  <c r="C154" i="5"/>
  <c r="F153" i="5"/>
  <c r="E153" i="5"/>
  <c r="E143" i="4"/>
  <c r="C144" i="4"/>
  <c r="F143" i="4"/>
  <c r="E152" i="3"/>
  <c r="C153" i="3"/>
  <c r="F152" i="3"/>
  <c r="E143" i="2"/>
  <c r="C144" i="2"/>
  <c r="F143" i="2"/>
  <c r="F212" i="1"/>
  <c r="C213" i="1"/>
  <c r="E212" i="1"/>
  <c r="F148" i="19" l="1"/>
  <c r="E153" i="13"/>
  <c r="C154" i="13"/>
  <c r="F153" i="13"/>
  <c r="B158" i="12"/>
  <c r="E157" i="12"/>
  <c r="D157" i="12"/>
  <c r="C145" i="10"/>
  <c r="F144" i="10"/>
  <c r="E144" i="10"/>
  <c r="C212" i="9"/>
  <c r="F211" i="9"/>
  <c r="E211" i="9"/>
  <c r="E211" i="8"/>
  <c r="F211" i="8"/>
  <c r="C212" i="8"/>
  <c r="F307" i="7"/>
  <c r="E307" i="7"/>
  <c r="C308" i="7"/>
  <c r="C212" i="6"/>
  <c r="F211" i="6"/>
  <c r="E211" i="6"/>
  <c r="F154" i="5"/>
  <c r="E154" i="5"/>
  <c r="C155" i="5"/>
  <c r="C145" i="4"/>
  <c r="F144" i="4"/>
  <c r="E144" i="4"/>
  <c r="F153" i="3"/>
  <c r="E153" i="3"/>
  <c r="C154" i="3"/>
  <c r="F144" i="2"/>
  <c r="E144" i="2"/>
  <c r="C145" i="2"/>
  <c r="C214" i="1"/>
  <c r="F213" i="1"/>
  <c r="E213" i="1"/>
  <c r="F149" i="19" l="1"/>
  <c r="C155" i="13"/>
  <c r="F154" i="13"/>
  <c r="E154" i="13"/>
  <c r="B159" i="12"/>
  <c r="E158" i="12"/>
  <c r="D158" i="12"/>
  <c r="F145" i="10"/>
  <c r="E145" i="10"/>
  <c r="C146" i="10"/>
  <c r="C213" i="9"/>
  <c r="F212" i="9"/>
  <c r="E212" i="9"/>
  <c r="C213" i="8"/>
  <c r="F212" i="8"/>
  <c r="E212" i="8"/>
  <c r="C309" i="7"/>
  <c r="E308" i="7"/>
  <c r="F308" i="7"/>
  <c r="E212" i="6"/>
  <c r="C213" i="6"/>
  <c r="F212" i="6"/>
  <c r="C156" i="5"/>
  <c r="E155" i="5"/>
  <c r="F155" i="5"/>
  <c r="C146" i="4"/>
  <c r="F145" i="4"/>
  <c r="E145" i="4"/>
  <c r="E154" i="3"/>
  <c r="C155" i="3"/>
  <c r="F154" i="3"/>
  <c r="C146" i="2"/>
  <c r="F145" i="2"/>
  <c r="E145" i="2"/>
  <c r="F214" i="1"/>
  <c r="C215" i="1"/>
  <c r="E214" i="1"/>
  <c r="F150" i="19" l="1"/>
  <c r="E155" i="13"/>
  <c r="C156" i="13"/>
  <c r="F155" i="13"/>
  <c r="D159" i="12"/>
  <c r="B160" i="12"/>
  <c r="E159" i="12"/>
  <c r="E146" i="10"/>
  <c r="C147" i="10"/>
  <c r="F146" i="10"/>
  <c r="C214" i="9"/>
  <c r="F213" i="9"/>
  <c r="E213" i="9"/>
  <c r="E213" i="8"/>
  <c r="C214" i="8"/>
  <c r="F213" i="8"/>
  <c r="F309" i="7"/>
  <c r="E309" i="7"/>
  <c r="C310" i="7"/>
  <c r="C214" i="6"/>
  <c r="F213" i="6"/>
  <c r="E213" i="6"/>
  <c r="C157" i="5"/>
  <c r="F156" i="5"/>
  <c r="E156" i="5"/>
  <c r="F146" i="4"/>
  <c r="E146" i="4"/>
  <c r="C147" i="4"/>
  <c r="F155" i="3"/>
  <c r="C156" i="3"/>
  <c r="E155" i="3"/>
  <c r="F146" i="2"/>
  <c r="E146" i="2"/>
  <c r="C147" i="2"/>
  <c r="C216" i="1"/>
  <c r="F215" i="1"/>
  <c r="E215" i="1"/>
  <c r="F151" i="19" l="1"/>
  <c r="C157" i="13"/>
  <c r="F156" i="13"/>
  <c r="E156" i="13"/>
  <c r="B161" i="12"/>
  <c r="E160" i="12"/>
  <c r="D160" i="12"/>
  <c r="F147" i="10"/>
  <c r="E147" i="10"/>
  <c r="C148" i="10"/>
  <c r="C215" i="9"/>
  <c r="F214" i="9"/>
  <c r="E214" i="9"/>
  <c r="C215" i="8"/>
  <c r="E214" i="8"/>
  <c r="F214" i="8"/>
  <c r="C311" i="7"/>
  <c r="F310" i="7"/>
  <c r="E310" i="7"/>
  <c r="E214" i="6"/>
  <c r="C215" i="6"/>
  <c r="F214" i="6"/>
  <c r="C158" i="5"/>
  <c r="F157" i="5"/>
  <c r="E157" i="5"/>
  <c r="C148" i="4"/>
  <c r="F147" i="4"/>
  <c r="E147" i="4"/>
  <c r="E156" i="3"/>
  <c r="F156" i="3"/>
  <c r="C157" i="3"/>
  <c r="C148" i="2"/>
  <c r="E147" i="2"/>
  <c r="F147" i="2"/>
  <c r="F216" i="1"/>
  <c r="C217" i="1"/>
  <c r="E216" i="1"/>
  <c r="F152" i="19" l="1"/>
  <c r="E157" i="13"/>
  <c r="C158" i="13"/>
  <c r="F157" i="13"/>
  <c r="B162" i="12"/>
  <c r="E161" i="12"/>
  <c r="D161" i="12"/>
  <c r="C149" i="10"/>
  <c r="F148" i="10"/>
  <c r="E148" i="10"/>
  <c r="C216" i="9"/>
  <c r="F215" i="9"/>
  <c r="E215" i="9"/>
  <c r="E215" i="8"/>
  <c r="F215" i="8"/>
  <c r="C216" i="8"/>
  <c r="C312" i="7"/>
  <c r="F311" i="7"/>
  <c r="E311" i="7"/>
  <c r="C216" i="6"/>
  <c r="F215" i="6"/>
  <c r="E215" i="6"/>
  <c r="C159" i="5"/>
  <c r="F158" i="5"/>
  <c r="E158" i="5"/>
  <c r="F148" i="4"/>
  <c r="E148" i="4"/>
  <c r="C149" i="4"/>
  <c r="F157" i="3"/>
  <c r="C158" i="3"/>
  <c r="E157" i="3"/>
  <c r="F148" i="2"/>
  <c r="E148" i="2"/>
  <c r="C149" i="2"/>
  <c r="C218" i="1"/>
  <c r="F217" i="1"/>
  <c r="E217" i="1"/>
  <c r="F153" i="19" l="1"/>
  <c r="C159" i="13"/>
  <c r="F158" i="13"/>
  <c r="E158" i="13"/>
  <c r="B163" i="12"/>
  <c r="E162" i="12"/>
  <c r="D162" i="12"/>
  <c r="F149" i="10"/>
  <c r="E149" i="10"/>
  <c r="C150" i="10"/>
  <c r="E216" i="9"/>
  <c r="C217" i="9"/>
  <c r="F216" i="9"/>
  <c r="E216" i="8"/>
  <c r="C217" i="8"/>
  <c r="F216" i="8"/>
  <c r="F312" i="7"/>
  <c r="E312" i="7"/>
  <c r="C313" i="7"/>
  <c r="E216" i="6"/>
  <c r="C217" i="6"/>
  <c r="F216" i="6"/>
  <c r="C160" i="5"/>
  <c r="F159" i="5"/>
  <c r="E159" i="5"/>
  <c r="F149" i="4"/>
  <c r="C150" i="4"/>
  <c r="E149" i="4"/>
  <c r="E158" i="3"/>
  <c r="C159" i="3"/>
  <c r="F158" i="3"/>
  <c r="F149" i="2"/>
  <c r="E149" i="2"/>
  <c r="C150" i="2"/>
  <c r="F218" i="1"/>
  <c r="E218" i="1"/>
  <c r="C219" i="1"/>
  <c r="F154" i="19" l="1"/>
  <c r="E159" i="13"/>
  <c r="F159" i="13"/>
  <c r="C160" i="13"/>
  <c r="B164" i="12"/>
  <c r="E163" i="12"/>
  <c r="D163" i="12"/>
  <c r="C151" i="10"/>
  <c r="E150" i="10"/>
  <c r="F150" i="10"/>
  <c r="C218" i="9"/>
  <c r="F217" i="9"/>
  <c r="E217" i="9"/>
  <c r="E217" i="8"/>
  <c r="F217" i="8"/>
  <c r="C218" i="8"/>
  <c r="C314" i="7"/>
  <c r="F313" i="7"/>
  <c r="E313" i="7"/>
  <c r="C218" i="6"/>
  <c r="F217" i="6"/>
  <c r="E217" i="6"/>
  <c r="F160" i="5"/>
  <c r="E160" i="5"/>
  <c r="C161" i="5"/>
  <c r="C151" i="4"/>
  <c r="F150" i="4"/>
  <c r="E150" i="4"/>
  <c r="F159" i="3"/>
  <c r="C160" i="3"/>
  <c r="E159" i="3"/>
  <c r="F150" i="2"/>
  <c r="E150" i="2"/>
  <c r="C151" i="2"/>
  <c r="C220" i="1"/>
  <c r="F219" i="1"/>
  <c r="E219" i="1"/>
  <c r="F155" i="19" l="1"/>
  <c r="C161" i="13"/>
  <c r="F160" i="13"/>
  <c r="E160" i="13"/>
  <c r="E164" i="12"/>
  <c r="D164" i="12"/>
  <c r="B165" i="12"/>
  <c r="F151" i="10"/>
  <c r="E151" i="10"/>
  <c r="C152" i="10"/>
  <c r="C219" i="9"/>
  <c r="F218" i="9"/>
  <c r="E218" i="9"/>
  <c r="E218" i="8"/>
  <c r="F218" i="8"/>
  <c r="C219" i="8"/>
  <c r="E314" i="7"/>
  <c r="C315" i="7"/>
  <c r="F314" i="7"/>
  <c r="E218" i="6"/>
  <c r="C219" i="6"/>
  <c r="F218" i="6"/>
  <c r="C162" i="5"/>
  <c r="F161" i="5"/>
  <c r="E161" i="5"/>
  <c r="E151" i="4"/>
  <c r="C152" i="4"/>
  <c r="F151" i="4"/>
  <c r="E160" i="3"/>
  <c r="C161" i="3"/>
  <c r="F160" i="3"/>
  <c r="C152" i="2"/>
  <c r="F151" i="2"/>
  <c r="E151" i="2"/>
  <c r="F220" i="1"/>
  <c r="C221" i="1"/>
  <c r="E220" i="1"/>
  <c r="F156" i="19" l="1"/>
  <c r="E161" i="13"/>
  <c r="C162" i="13"/>
  <c r="F161" i="13"/>
  <c r="B166" i="12"/>
  <c r="E165" i="12"/>
  <c r="D165" i="12"/>
  <c r="C153" i="10"/>
  <c r="F152" i="10"/>
  <c r="E152" i="10"/>
  <c r="C220" i="9"/>
  <c r="F219" i="9"/>
  <c r="E219" i="9"/>
  <c r="E219" i="8"/>
  <c r="F219" i="8"/>
  <c r="C220" i="8"/>
  <c r="F315" i="7"/>
  <c r="E315" i="7"/>
  <c r="C316" i="7"/>
  <c r="C220" i="6"/>
  <c r="F219" i="6"/>
  <c r="E219" i="6"/>
  <c r="F162" i="5"/>
  <c r="E162" i="5"/>
  <c r="C163" i="5"/>
  <c r="C153" i="4"/>
  <c r="F152" i="4"/>
  <c r="E152" i="4"/>
  <c r="F161" i="3"/>
  <c r="C162" i="3"/>
  <c r="E161" i="3"/>
  <c r="F152" i="2"/>
  <c r="E152" i="2"/>
  <c r="C153" i="2"/>
  <c r="E221" i="1"/>
  <c r="C222" i="1"/>
  <c r="F221" i="1"/>
  <c r="F157" i="19" l="1"/>
  <c r="C163" i="13"/>
  <c r="F162" i="13"/>
  <c r="E162" i="13"/>
  <c r="B167" i="12"/>
  <c r="E166" i="12"/>
  <c r="D166" i="12"/>
  <c r="C154" i="10"/>
  <c r="F153" i="10"/>
  <c r="E153" i="10"/>
  <c r="C221" i="9"/>
  <c r="F220" i="9"/>
  <c r="E220" i="9"/>
  <c r="F220" i="8"/>
  <c r="E220" i="8"/>
  <c r="C221" i="8"/>
  <c r="C317" i="7"/>
  <c r="E316" i="7"/>
  <c r="F316" i="7"/>
  <c r="E220" i="6"/>
  <c r="C221" i="6"/>
  <c r="F220" i="6"/>
  <c r="C164" i="5"/>
  <c r="F163" i="5"/>
  <c r="E163" i="5"/>
  <c r="C154" i="4"/>
  <c r="F153" i="4"/>
  <c r="E153" i="4"/>
  <c r="E162" i="3"/>
  <c r="F162" i="3"/>
  <c r="C163" i="3"/>
  <c r="C154" i="2"/>
  <c r="F153" i="2"/>
  <c r="E153" i="2"/>
  <c r="E222" i="1"/>
  <c r="F222" i="1"/>
  <c r="C223" i="1"/>
  <c r="F158" i="19" l="1"/>
  <c r="E163" i="13"/>
  <c r="C164" i="13"/>
  <c r="F163" i="13"/>
  <c r="D167" i="12"/>
  <c r="B168" i="12"/>
  <c r="E167" i="12"/>
  <c r="F154" i="10"/>
  <c r="E154" i="10"/>
  <c r="C155" i="10"/>
  <c r="C222" i="9"/>
  <c r="F221" i="9"/>
  <c r="E221" i="9"/>
  <c r="E221" i="8"/>
  <c r="C222" i="8"/>
  <c r="F221" i="8"/>
  <c r="F317" i="7"/>
  <c r="E317" i="7"/>
  <c r="C318" i="7"/>
  <c r="C222" i="6"/>
  <c r="F221" i="6"/>
  <c r="E221" i="6"/>
  <c r="C165" i="5"/>
  <c r="F164" i="5"/>
  <c r="E164" i="5"/>
  <c r="F154" i="4"/>
  <c r="E154" i="4"/>
  <c r="C155" i="4"/>
  <c r="F163" i="3"/>
  <c r="C164" i="3"/>
  <c r="E163" i="3"/>
  <c r="F154" i="2"/>
  <c r="E154" i="2"/>
  <c r="C155" i="2"/>
  <c r="E223" i="1"/>
  <c r="C224" i="1"/>
  <c r="F223" i="1"/>
  <c r="F159" i="19" l="1"/>
  <c r="C165" i="13"/>
  <c r="F164" i="13"/>
  <c r="E164" i="13"/>
  <c r="B169" i="12"/>
  <c r="E168" i="12"/>
  <c r="D168" i="12"/>
  <c r="C156" i="10"/>
  <c r="E155" i="10"/>
  <c r="F155" i="10"/>
  <c r="F222" i="9"/>
  <c r="E222" i="9"/>
  <c r="C223" i="9"/>
  <c r="E222" i="8"/>
  <c r="C223" i="8"/>
  <c r="F222" i="8"/>
  <c r="C319" i="7"/>
  <c r="F318" i="7"/>
  <c r="E318" i="7"/>
  <c r="E222" i="6"/>
  <c r="C223" i="6"/>
  <c r="F222" i="6"/>
  <c r="C166" i="5"/>
  <c r="F165" i="5"/>
  <c r="E165" i="5"/>
  <c r="C156" i="4"/>
  <c r="F155" i="4"/>
  <c r="E155" i="4"/>
  <c r="E164" i="3"/>
  <c r="F164" i="3"/>
  <c r="C165" i="3"/>
  <c r="F155" i="2"/>
  <c r="E155" i="2"/>
  <c r="C156" i="2"/>
  <c r="C225" i="1"/>
  <c r="F224" i="1"/>
  <c r="E224" i="1"/>
  <c r="F160" i="19" l="1"/>
  <c r="E165" i="13"/>
  <c r="F165" i="13"/>
  <c r="C166" i="13"/>
  <c r="B170" i="12"/>
  <c r="E169" i="12"/>
  <c r="D169" i="12"/>
  <c r="E156" i="10"/>
  <c r="C157" i="10"/>
  <c r="F156" i="10"/>
  <c r="F223" i="9"/>
  <c r="C224" i="9"/>
  <c r="E223" i="9"/>
  <c r="E223" i="8"/>
  <c r="C224" i="8"/>
  <c r="F223" i="8"/>
  <c r="C320" i="7"/>
  <c r="F319" i="7"/>
  <c r="E319" i="7"/>
  <c r="C224" i="6"/>
  <c r="F223" i="6"/>
  <c r="E223" i="6"/>
  <c r="C167" i="5"/>
  <c r="F166" i="5"/>
  <c r="E166" i="5"/>
  <c r="F156" i="4"/>
  <c r="E156" i="4"/>
  <c r="C157" i="4"/>
  <c r="F165" i="3"/>
  <c r="E165" i="3"/>
  <c r="C166" i="3"/>
  <c r="F156" i="2"/>
  <c r="E156" i="2"/>
  <c r="C157" i="2"/>
  <c r="E225" i="1"/>
  <c r="F225" i="1"/>
  <c r="C226" i="1"/>
  <c r="F161" i="19" l="1"/>
  <c r="C167" i="13"/>
  <c r="F166" i="13"/>
  <c r="E166" i="13"/>
  <c r="B171" i="12"/>
  <c r="E170" i="12"/>
  <c r="D170" i="12"/>
  <c r="F157" i="10"/>
  <c r="E157" i="10"/>
  <c r="C158" i="10"/>
  <c r="C225" i="9"/>
  <c r="F224" i="9"/>
  <c r="E224" i="9"/>
  <c r="F224" i="8"/>
  <c r="C225" i="8"/>
  <c r="E224" i="8"/>
  <c r="F320" i="7"/>
  <c r="E320" i="7"/>
  <c r="C321" i="7"/>
  <c r="C225" i="6"/>
  <c r="F224" i="6"/>
  <c r="E224" i="6"/>
  <c r="C168" i="5"/>
  <c r="F167" i="5"/>
  <c r="E167" i="5"/>
  <c r="F157" i="4"/>
  <c r="C158" i="4"/>
  <c r="E157" i="4"/>
  <c r="E166" i="3"/>
  <c r="C167" i="3"/>
  <c r="F166" i="3"/>
  <c r="C158" i="2"/>
  <c r="F157" i="2"/>
  <c r="E157" i="2"/>
  <c r="C227" i="1"/>
  <c r="F226" i="1"/>
  <c r="E226" i="1"/>
  <c r="F162" i="19" l="1"/>
  <c r="E167" i="13"/>
  <c r="C168" i="13"/>
  <c r="F167" i="13"/>
  <c r="B172" i="12"/>
  <c r="E171" i="12"/>
  <c r="D171" i="12"/>
  <c r="C159" i="10"/>
  <c r="E158" i="10"/>
  <c r="F158" i="10"/>
  <c r="F225" i="9"/>
  <c r="E225" i="9"/>
  <c r="C226" i="9"/>
  <c r="E225" i="8"/>
  <c r="C226" i="8"/>
  <c r="F225" i="8"/>
  <c r="C322" i="7"/>
  <c r="F321" i="7"/>
  <c r="E321" i="7"/>
  <c r="F225" i="6"/>
  <c r="E225" i="6"/>
  <c r="C226" i="6"/>
  <c r="F168" i="5"/>
  <c r="E168" i="5"/>
  <c r="C169" i="5"/>
  <c r="C159" i="4"/>
  <c r="F158" i="4"/>
  <c r="E158" i="4"/>
  <c r="F167" i="3"/>
  <c r="C168" i="3"/>
  <c r="E167" i="3"/>
  <c r="F158" i="2"/>
  <c r="E158" i="2"/>
  <c r="C159" i="2"/>
  <c r="E227" i="1"/>
  <c r="F227" i="1"/>
  <c r="C228" i="1"/>
  <c r="F163" i="19" l="1"/>
  <c r="C169" i="13"/>
  <c r="F168" i="13"/>
  <c r="E168" i="13"/>
  <c r="E172" i="12"/>
  <c r="D172" i="12"/>
  <c r="B173" i="12"/>
  <c r="F159" i="10"/>
  <c r="E159" i="10"/>
  <c r="C160" i="10"/>
  <c r="C227" i="9"/>
  <c r="F226" i="9"/>
  <c r="E226" i="9"/>
  <c r="F226" i="8"/>
  <c r="E226" i="8"/>
  <c r="C227" i="8"/>
  <c r="E322" i="7"/>
  <c r="C323" i="7"/>
  <c r="F322" i="7"/>
  <c r="C227" i="6"/>
  <c r="F226" i="6"/>
  <c r="E226" i="6"/>
  <c r="C170" i="5"/>
  <c r="E169" i="5"/>
  <c r="F169" i="5"/>
  <c r="E159" i="4"/>
  <c r="C160" i="4"/>
  <c r="F159" i="4"/>
  <c r="E168" i="3"/>
  <c r="C169" i="3"/>
  <c r="F168" i="3"/>
  <c r="E159" i="2"/>
  <c r="F159" i="2"/>
  <c r="C160" i="2"/>
  <c r="C229" i="1"/>
  <c r="F228" i="1"/>
  <c r="E228" i="1"/>
  <c r="F164" i="19" l="1"/>
  <c r="E169" i="13"/>
  <c r="C170" i="13"/>
  <c r="F169" i="13"/>
  <c r="B174" i="12"/>
  <c r="E173" i="12"/>
  <c r="D173" i="12"/>
  <c r="C161" i="10"/>
  <c r="F160" i="10"/>
  <c r="E160" i="10"/>
  <c r="E227" i="9"/>
  <c r="C228" i="9"/>
  <c r="F227" i="9"/>
  <c r="C228" i="8"/>
  <c r="F227" i="8"/>
  <c r="E227" i="8"/>
  <c r="F323" i="7"/>
  <c r="E323" i="7"/>
  <c r="C324" i="7"/>
  <c r="E227" i="6"/>
  <c r="C228" i="6"/>
  <c r="F227" i="6"/>
  <c r="F170" i="5"/>
  <c r="C171" i="5"/>
  <c r="E170" i="5"/>
  <c r="C161" i="4"/>
  <c r="F160" i="4"/>
  <c r="E160" i="4"/>
  <c r="F169" i="3"/>
  <c r="E169" i="3"/>
  <c r="C170" i="3"/>
  <c r="F160" i="2"/>
  <c r="E160" i="2"/>
  <c r="C161" i="2"/>
  <c r="E229" i="1"/>
  <c r="C230" i="1"/>
  <c r="F229" i="1"/>
  <c r="F165" i="19" l="1"/>
  <c r="C171" i="13"/>
  <c r="F170" i="13"/>
  <c r="E170" i="13"/>
  <c r="B175" i="12"/>
  <c r="E174" i="12"/>
  <c r="D174" i="12"/>
  <c r="C162" i="10"/>
  <c r="F161" i="10"/>
  <c r="E161" i="10"/>
  <c r="F228" i="9"/>
  <c r="E228" i="9"/>
  <c r="C229" i="9"/>
  <c r="F228" i="8"/>
  <c r="C229" i="8"/>
  <c r="E228" i="8"/>
  <c r="C325" i="7"/>
  <c r="E324" i="7"/>
  <c r="F324" i="7"/>
  <c r="F228" i="6"/>
  <c r="E228" i="6"/>
  <c r="C229" i="6"/>
  <c r="C172" i="5"/>
  <c r="E171" i="5"/>
  <c r="F171" i="5"/>
  <c r="C162" i="4"/>
  <c r="F161" i="4"/>
  <c r="E161" i="4"/>
  <c r="E170" i="3"/>
  <c r="F170" i="3"/>
  <c r="C171" i="3"/>
  <c r="C162" i="2"/>
  <c r="F161" i="2"/>
  <c r="E161" i="2"/>
  <c r="E230" i="1"/>
  <c r="C231" i="1"/>
  <c r="F230" i="1"/>
  <c r="F166" i="19" l="1"/>
  <c r="E171" i="13"/>
  <c r="C172" i="13"/>
  <c r="F171" i="13"/>
  <c r="D175" i="12"/>
  <c r="B176" i="12"/>
  <c r="E175" i="12"/>
  <c r="F162" i="10"/>
  <c r="E162" i="10"/>
  <c r="C163" i="10"/>
  <c r="C230" i="9"/>
  <c r="F229" i="9"/>
  <c r="E229" i="9"/>
  <c r="E229" i="8"/>
  <c r="C230" i="8"/>
  <c r="F229" i="8"/>
  <c r="F325" i="7"/>
  <c r="E325" i="7"/>
  <c r="C326" i="7"/>
  <c r="C230" i="6"/>
  <c r="F229" i="6"/>
  <c r="E229" i="6"/>
  <c r="F172" i="5"/>
  <c r="E172" i="5"/>
  <c r="C173" i="5"/>
  <c r="F162" i="4"/>
  <c r="E162" i="4"/>
  <c r="C163" i="4"/>
  <c r="F171" i="3"/>
  <c r="E171" i="3"/>
  <c r="C172" i="3"/>
  <c r="F162" i="2"/>
  <c r="E162" i="2"/>
  <c r="C163" i="2"/>
  <c r="E231" i="1"/>
  <c r="C232" i="1"/>
  <c r="F231" i="1"/>
  <c r="F167" i="19" l="1"/>
  <c r="C173" i="13"/>
  <c r="F172" i="13"/>
  <c r="E172" i="13"/>
  <c r="B177" i="12"/>
  <c r="E176" i="12"/>
  <c r="D176" i="12"/>
  <c r="C164" i="10"/>
  <c r="F163" i="10"/>
  <c r="E163" i="10"/>
  <c r="E230" i="9"/>
  <c r="C231" i="9"/>
  <c r="F230" i="9"/>
  <c r="C231" i="8"/>
  <c r="F230" i="8"/>
  <c r="E230" i="8"/>
  <c r="C327" i="7"/>
  <c r="F326" i="7"/>
  <c r="E326" i="7"/>
  <c r="F230" i="6"/>
  <c r="E230" i="6"/>
  <c r="C231" i="6"/>
  <c r="C174" i="5"/>
  <c r="E173" i="5"/>
  <c r="F173" i="5"/>
  <c r="C164" i="4"/>
  <c r="E163" i="4"/>
  <c r="F163" i="4"/>
  <c r="E172" i="3"/>
  <c r="C173" i="3"/>
  <c r="F172" i="3"/>
  <c r="C164" i="2"/>
  <c r="E163" i="2"/>
  <c r="F163" i="2"/>
  <c r="C233" i="1"/>
  <c r="F232" i="1"/>
  <c r="E232" i="1"/>
  <c r="F168" i="19" l="1"/>
  <c r="E173" i="13"/>
  <c r="C174" i="13"/>
  <c r="F173" i="13"/>
  <c r="B178" i="12"/>
  <c r="E177" i="12"/>
  <c r="D177" i="12"/>
  <c r="E164" i="10"/>
  <c r="C165" i="10"/>
  <c r="F164" i="10"/>
  <c r="F231" i="9"/>
  <c r="E231" i="9"/>
  <c r="C232" i="9"/>
  <c r="E231" i="8"/>
  <c r="C232" i="8"/>
  <c r="F231" i="8"/>
  <c r="C328" i="7"/>
  <c r="F327" i="7"/>
  <c r="E327" i="7"/>
  <c r="C232" i="6"/>
  <c r="F231" i="6"/>
  <c r="E231" i="6"/>
  <c r="F174" i="5"/>
  <c r="C175" i="5"/>
  <c r="E174" i="5"/>
  <c r="C165" i="4"/>
  <c r="F164" i="4"/>
  <c r="E164" i="4"/>
  <c r="F173" i="3"/>
  <c r="E173" i="3"/>
  <c r="C174" i="3"/>
  <c r="F164" i="2"/>
  <c r="E164" i="2"/>
  <c r="C165" i="2"/>
  <c r="F233" i="1"/>
  <c r="C234" i="1"/>
  <c r="E233" i="1"/>
  <c r="F169" i="19" l="1"/>
  <c r="C175" i="13"/>
  <c r="F174" i="13"/>
  <c r="E174" i="13"/>
  <c r="B179" i="12"/>
  <c r="E178" i="12"/>
  <c r="D178" i="12"/>
  <c r="F165" i="10"/>
  <c r="E165" i="10"/>
  <c r="C166" i="10"/>
  <c r="C233" i="9"/>
  <c r="F232" i="9"/>
  <c r="E232" i="9"/>
  <c r="F232" i="8"/>
  <c r="C233" i="8"/>
  <c r="E232" i="8"/>
  <c r="F328" i="7"/>
  <c r="E328" i="7"/>
  <c r="C329" i="7"/>
  <c r="C233" i="6"/>
  <c r="F232" i="6"/>
  <c r="E232" i="6"/>
  <c r="C176" i="5"/>
  <c r="E175" i="5"/>
  <c r="F175" i="5"/>
  <c r="F165" i="4"/>
  <c r="C166" i="4"/>
  <c r="E165" i="4"/>
  <c r="E174" i="3"/>
  <c r="F174" i="3"/>
  <c r="C175" i="3"/>
  <c r="E165" i="2"/>
  <c r="F165" i="2"/>
  <c r="C166" i="2"/>
  <c r="C235" i="1"/>
  <c r="F234" i="1"/>
  <c r="E234" i="1"/>
  <c r="F170" i="19" l="1"/>
  <c r="E175" i="13"/>
  <c r="F175" i="13"/>
  <c r="C176" i="13"/>
  <c r="B180" i="12"/>
  <c r="E179" i="12"/>
  <c r="D179" i="12"/>
  <c r="C167" i="10"/>
  <c r="E166" i="10"/>
  <c r="F166" i="10"/>
  <c r="F233" i="9"/>
  <c r="E233" i="9"/>
  <c r="C234" i="9"/>
  <c r="C234" i="8"/>
  <c r="E233" i="8"/>
  <c r="F233" i="8"/>
  <c r="C330" i="7"/>
  <c r="F329" i="7"/>
  <c r="E329" i="7"/>
  <c r="F233" i="6"/>
  <c r="E233" i="6"/>
  <c r="C234" i="6"/>
  <c r="F176" i="5"/>
  <c r="E176" i="5"/>
  <c r="C177" i="5"/>
  <c r="C167" i="4"/>
  <c r="F166" i="4"/>
  <c r="E166" i="4"/>
  <c r="F175" i="3"/>
  <c r="E175" i="3"/>
  <c r="C176" i="3"/>
  <c r="F166" i="2"/>
  <c r="E166" i="2"/>
  <c r="C167" i="2"/>
  <c r="E235" i="1"/>
  <c r="C236" i="1"/>
  <c r="F235" i="1"/>
  <c r="F171" i="19" l="1"/>
  <c r="C177" i="13"/>
  <c r="F176" i="13"/>
  <c r="E176" i="13"/>
  <c r="E180" i="12"/>
  <c r="D180" i="12"/>
  <c r="B181" i="12"/>
  <c r="F167" i="10"/>
  <c r="E167" i="10"/>
  <c r="C168" i="10"/>
  <c r="C235" i="9"/>
  <c r="F234" i="9"/>
  <c r="E234" i="9"/>
  <c r="F234" i="8"/>
  <c r="C235" i="8"/>
  <c r="E234" i="8"/>
  <c r="E330" i="7"/>
  <c r="C331" i="7"/>
  <c r="F330" i="7"/>
  <c r="C235" i="6"/>
  <c r="F234" i="6"/>
  <c r="E234" i="6"/>
  <c r="C178" i="5"/>
  <c r="E177" i="5"/>
  <c r="F177" i="5"/>
  <c r="E167" i="4"/>
  <c r="C168" i="4"/>
  <c r="F167" i="4"/>
  <c r="E176" i="3"/>
  <c r="C177" i="3"/>
  <c r="F176" i="3"/>
  <c r="E167" i="2"/>
  <c r="C168" i="2"/>
  <c r="F167" i="2"/>
  <c r="E236" i="1"/>
  <c r="C237" i="1"/>
  <c r="F236" i="1"/>
  <c r="F172" i="19" l="1"/>
  <c r="E177" i="13"/>
  <c r="C178" i="13"/>
  <c r="F177" i="13"/>
  <c r="B182" i="12"/>
  <c r="E181" i="12"/>
  <c r="D181" i="12"/>
  <c r="C169" i="10"/>
  <c r="F168" i="10"/>
  <c r="E168" i="10"/>
  <c r="C236" i="9"/>
  <c r="F235" i="9"/>
  <c r="E235" i="9"/>
  <c r="C236" i="8"/>
  <c r="E235" i="8"/>
  <c r="F235" i="8"/>
  <c r="F331" i="7"/>
  <c r="E331" i="7"/>
  <c r="C332" i="7"/>
  <c r="E235" i="6"/>
  <c r="C236" i="6"/>
  <c r="F235" i="6"/>
  <c r="F178" i="5"/>
  <c r="C179" i="5"/>
  <c r="E178" i="5"/>
  <c r="E168" i="4"/>
  <c r="C169" i="4"/>
  <c r="F168" i="4"/>
  <c r="F177" i="3"/>
  <c r="E177" i="3"/>
  <c r="C178" i="3"/>
  <c r="F168" i="2"/>
  <c r="E168" i="2"/>
  <c r="C169" i="2"/>
  <c r="F237" i="1"/>
  <c r="E237" i="1"/>
  <c r="C238" i="1"/>
  <c r="F173" i="19" l="1"/>
  <c r="C179" i="13"/>
  <c r="F178" i="13"/>
  <c r="E178" i="13"/>
  <c r="B183" i="12"/>
  <c r="E182" i="12"/>
  <c r="D182" i="12"/>
  <c r="C170" i="10"/>
  <c r="F169" i="10"/>
  <c r="E169" i="10"/>
  <c r="F236" i="9"/>
  <c r="E236" i="9"/>
  <c r="C237" i="9"/>
  <c r="F236" i="8"/>
  <c r="E236" i="8"/>
  <c r="C237" i="8"/>
  <c r="C333" i="7"/>
  <c r="E332" i="7"/>
  <c r="F332" i="7"/>
  <c r="F236" i="6"/>
  <c r="E236" i="6"/>
  <c r="C237" i="6"/>
  <c r="C180" i="5"/>
  <c r="E179" i="5"/>
  <c r="F179" i="5"/>
  <c r="C170" i="4"/>
  <c r="F169" i="4"/>
  <c r="E169" i="4"/>
  <c r="E178" i="3"/>
  <c r="F178" i="3"/>
  <c r="C179" i="3"/>
  <c r="E169" i="2"/>
  <c r="F169" i="2"/>
  <c r="C170" i="2"/>
  <c r="C239" i="1"/>
  <c r="F238" i="1"/>
  <c r="E238" i="1"/>
  <c r="F174" i="19" l="1"/>
  <c r="E179" i="13"/>
  <c r="C180" i="13"/>
  <c r="F179" i="13"/>
  <c r="D183" i="12"/>
  <c r="B184" i="12"/>
  <c r="E183" i="12"/>
  <c r="F170" i="10"/>
  <c r="E170" i="10"/>
  <c r="C171" i="10"/>
  <c r="C238" i="9"/>
  <c r="F237" i="9"/>
  <c r="E237" i="9"/>
  <c r="E237" i="8"/>
  <c r="C238" i="8"/>
  <c r="F237" i="8"/>
  <c r="F333" i="7"/>
  <c r="E333" i="7"/>
  <c r="C334" i="7"/>
  <c r="C238" i="6"/>
  <c r="F237" i="6"/>
  <c r="E237" i="6"/>
  <c r="F180" i="5"/>
  <c r="E180" i="5"/>
  <c r="C181" i="5"/>
  <c r="F170" i="4"/>
  <c r="E170" i="4"/>
  <c r="C171" i="4"/>
  <c r="F179" i="3"/>
  <c r="E179" i="3"/>
  <c r="C180" i="3"/>
  <c r="F170" i="2"/>
  <c r="E170" i="2"/>
  <c r="C171" i="2"/>
  <c r="F239" i="1"/>
  <c r="E239" i="1"/>
  <c r="C240" i="1"/>
  <c r="F175" i="19" l="1"/>
  <c r="C181" i="13"/>
  <c r="F180" i="13"/>
  <c r="E180" i="13"/>
  <c r="B185" i="12"/>
  <c r="E184" i="12"/>
  <c r="D184" i="12"/>
  <c r="C172" i="10"/>
  <c r="F171" i="10"/>
  <c r="E171" i="10"/>
  <c r="E238" i="9"/>
  <c r="F238" i="9"/>
  <c r="C239" i="9"/>
  <c r="E238" i="8"/>
  <c r="F238" i="8"/>
  <c r="C239" i="8"/>
  <c r="C335" i="7"/>
  <c r="F334" i="7"/>
  <c r="E334" i="7"/>
  <c r="F238" i="6"/>
  <c r="E238" i="6"/>
  <c r="C239" i="6"/>
  <c r="C182" i="5"/>
  <c r="E181" i="5"/>
  <c r="F181" i="5"/>
  <c r="C172" i="4"/>
  <c r="F171" i="4"/>
  <c r="E171" i="4"/>
  <c r="E180" i="3"/>
  <c r="C181" i="3"/>
  <c r="F180" i="3"/>
  <c r="E171" i="2"/>
  <c r="C172" i="2"/>
  <c r="F171" i="2"/>
  <c r="C241" i="1"/>
  <c r="F240" i="1"/>
  <c r="E240" i="1"/>
  <c r="F176" i="19" l="1"/>
  <c r="E181" i="13"/>
  <c r="F181" i="13"/>
  <c r="C182" i="13"/>
  <c r="B186" i="12"/>
  <c r="E185" i="12"/>
  <c r="D185" i="12"/>
  <c r="E172" i="10"/>
  <c r="C173" i="10"/>
  <c r="F172" i="10"/>
  <c r="F239" i="9"/>
  <c r="C240" i="9"/>
  <c r="E239" i="9"/>
  <c r="E239" i="8"/>
  <c r="C240" i="8"/>
  <c r="F239" i="8"/>
  <c r="C336" i="7"/>
  <c r="F335" i="7"/>
  <c r="E335" i="7"/>
  <c r="C240" i="6"/>
  <c r="F239" i="6"/>
  <c r="E239" i="6"/>
  <c r="F182" i="5"/>
  <c r="C183" i="5"/>
  <c r="E182" i="5"/>
  <c r="C173" i="4"/>
  <c r="F172" i="4"/>
  <c r="E172" i="4"/>
  <c r="F181" i="3"/>
  <c r="E181" i="3"/>
  <c r="C182" i="3"/>
  <c r="F172" i="2"/>
  <c r="E172" i="2"/>
  <c r="C173" i="2"/>
  <c r="F241" i="1"/>
  <c r="E241" i="1"/>
  <c r="C242" i="1"/>
  <c r="F177" i="19" l="1"/>
  <c r="C183" i="13"/>
  <c r="F182" i="13"/>
  <c r="E182" i="13"/>
  <c r="D186" i="12"/>
  <c r="B187" i="12"/>
  <c r="E186" i="12"/>
  <c r="F173" i="10"/>
  <c r="E173" i="10"/>
  <c r="C174" i="10"/>
  <c r="C241" i="9"/>
  <c r="F240" i="9"/>
  <c r="E240" i="9"/>
  <c r="E240" i="8"/>
  <c r="C241" i="8"/>
  <c r="F240" i="8"/>
  <c r="F336" i="7"/>
  <c r="E336" i="7"/>
  <c r="C337" i="7"/>
  <c r="C241" i="6"/>
  <c r="F240" i="6"/>
  <c r="E240" i="6"/>
  <c r="C184" i="5"/>
  <c r="E183" i="5"/>
  <c r="F183" i="5"/>
  <c r="F173" i="4"/>
  <c r="C174" i="4"/>
  <c r="E173" i="4"/>
  <c r="E182" i="3"/>
  <c r="C183" i="3"/>
  <c r="F182" i="3"/>
  <c r="E173" i="2"/>
  <c r="F173" i="2"/>
  <c r="C174" i="2"/>
  <c r="E242" i="1"/>
  <c r="C243" i="1"/>
  <c r="F242" i="1"/>
  <c r="F178" i="19" l="1"/>
  <c r="E183" i="13"/>
  <c r="C184" i="13"/>
  <c r="F183" i="13"/>
  <c r="B188" i="12"/>
  <c r="E187" i="12"/>
  <c r="D187" i="12"/>
  <c r="C175" i="10"/>
  <c r="E174" i="10"/>
  <c r="F174" i="10"/>
  <c r="F241" i="9"/>
  <c r="E241" i="9"/>
  <c r="C242" i="9"/>
  <c r="E241" i="8"/>
  <c r="F241" i="8"/>
  <c r="C242" i="8"/>
  <c r="C338" i="7"/>
  <c r="F337" i="7"/>
  <c r="E337" i="7"/>
  <c r="F241" i="6"/>
  <c r="E241" i="6"/>
  <c r="C242" i="6"/>
  <c r="F184" i="5"/>
  <c r="E184" i="5"/>
  <c r="C185" i="5"/>
  <c r="C175" i="4"/>
  <c r="F174" i="4"/>
  <c r="E174" i="4"/>
  <c r="F183" i="3"/>
  <c r="E183" i="3"/>
  <c r="C184" i="3"/>
  <c r="F174" i="2"/>
  <c r="E174" i="2"/>
  <c r="C175" i="2"/>
  <c r="C244" i="1"/>
  <c r="F243" i="1"/>
  <c r="E243" i="1"/>
  <c r="F179" i="19" l="1"/>
  <c r="C185" i="13"/>
  <c r="F184" i="13"/>
  <c r="E184" i="13"/>
  <c r="E188" i="12"/>
  <c r="D188" i="12"/>
  <c r="B189" i="12"/>
  <c r="F175" i="10"/>
  <c r="E175" i="10"/>
  <c r="C176" i="10"/>
  <c r="C243" i="9"/>
  <c r="F242" i="9"/>
  <c r="E242" i="9"/>
  <c r="F242" i="8"/>
  <c r="C243" i="8"/>
  <c r="E242" i="8"/>
  <c r="E338" i="7"/>
  <c r="C339" i="7"/>
  <c r="F338" i="7"/>
  <c r="C243" i="6"/>
  <c r="F242" i="6"/>
  <c r="E242" i="6"/>
  <c r="C186" i="5"/>
  <c r="E185" i="5"/>
  <c r="F185" i="5"/>
  <c r="E175" i="4"/>
  <c r="C176" i="4"/>
  <c r="F175" i="4"/>
  <c r="E184" i="3"/>
  <c r="C185" i="3"/>
  <c r="F184" i="3"/>
  <c r="E175" i="2"/>
  <c r="C176" i="2"/>
  <c r="F175" i="2"/>
  <c r="E244" i="1"/>
  <c r="C245" i="1"/>
  <c r="F244" i="1"/>
  <c r="F180" i="19" l="1"/>
  <c r="E185" i="13"/>
  <c r="C186" i="13"/>
  <c r="F185" i="13"/>
  <c r="B190" i="12"/>
  <c r="E189" i="12"/>
  <c r="D189" i="12"/>
  <c r="C177" i="10"/>
  <c r="F176" i="10"/>
  <c r="E176" i="10"/>
  <c r="E243" i="9"/>
  <c r="C244" i="9"/>
  <c r="F243" i="9"/>
  <c r="C244" i="8"/>
  <c r="F243" i="8"/>
  <c r="E243" i="8"/>
  <c r="F339" i="7"/>
  <c r="E339" i="7"/>
  <c r="C340" i="7"/>
  <c r="E243" i="6"/>
  <c r="C244" i="6"/>
  <c r="F243" i="6"/>
  <c r="F186" i="5"/>
  <c r="C187" i="5"/>
  <c r="E186" i="5"/>
  <c r="E176" i="4"/>
  <c r="C177" i="4"/>
  <c r="F176" i="4"/>
  <c r="F185" i="3"/>
  <c r="E185" i="3"/>
  <c r="C186" i="3"/>
  <c r="F176" i="2"/>
  <c r="E176" i="2"/>
  <c r="C177" i="2"/>
  <c r="C246" i="1"/>
  <c r="E245" i="1"/>
  <c r="F245" i="1"/>
  <c r="F181" i="19" l="1"/>
  <c r="C187" i="13"/>
  <c r="F186" i="13"/>
  <c r="E186" i="13"/>
  <c r="B191" i="12"/>
  <c r="E190" i="12"/>
  <c r="D190" i="12"/>
  <c r="C178" i="10"/>
  <c r="F177" i="10"/>
  <c r="E177" i="10"/>
  <c r="F244" i="9"/>
  <c r="E244" i="9"/>
  <c r="C245" i="9"/>
  <c r="C245" i="8"/>
  <c r="E244" i="8"/>
  <c r="F244" i="8"/>
  <c r="C341" i="7"/>
  <c r="E340" i="7"/>
  <c r="F340" i="7"/>
  <c r="F244" i="6"/>
  <c r="E244" i="6"/>
  <c r="C245" i="6"/>
  <c r="C188" i="5"/>
  <c r="E187" i="5"/>
  <c r="F187" i="5"/>
  <c r="C178" i="4"/>
  <c r="F177" i="4"/>
  <c r="E177" i="4"/>
  <c r="E186" i="3"/>
  <c r="C187" i="3"/>
  <c r="F186" i="3"/>
  <c r="E177" i="2"/>
  <c r="F177" i="2"/>
  <c r="C178" i="2"/>
  <c r="E246" i="1"/>
  <c r="C247" i="1"/>
  <c r="F246" i="1"/>
  <c r="F182" i="19" l="1"/>
  <c r="E187" i="13"/>
  <c r="C188" i="13"/>
  <c r="F187" i="13"/>
  <c r="D191" i="12"/>
  <c r="E191" i="12"/>
  <c r="B192" i="12"/>
  <c r="F178" i="10"/>
  <c r="E178" i="10"/>
  <c r="C179" i="10"/>
  <c r="C246" i="9"/>
  <c r="F245" i="9"/>
  <c r="E245" i="9"/>
  <c r="E245" i="8"/>
  <c r="C246" i="8"/>
  <c r="F245" i="8"/>
  <c r="F341" i="7"/>
  <c r="E341" i="7"/>
  <c r="C342" i="7"/>
  <c r="C246" i="6"/>
  <c r="F245" i="6"/>
  <c r="E245" i="6"/>
  <c r="F188" i="5"/>
  <c r="E188" i="5"/>
  <c r="C189" i="5"/>
  <c r="F178" i="4"/>
  <c r="E178" i="4"/>
  <c r="C179" i="4"/>
  <c r="F187" i="3"/>
  <c r="E187" i="3"/>
  <c r="C188" i="3"/>
  <c r="F178" i="2"/>
  <c r="E178" i="2"/>
  <c r="C179" i="2"/>
  <c r="F247" i="1"/>
  <c r="C248" i="1"/>
  <c r="E247" i="1"/>
  <c r="F183" i="19" l="1"/>
  <c r="C189" i="13"/>
  <c r="F188" i="13"/>
  <c r="E188" i="13"/>
  <c r="B193" i="12"/>
  <c r="E192" i="12"/>
  <c r="D192" i="12"/>
  <c r="C180" i="10"/>
  <c r="F179" i="10"/>
  <c r="E179" i="10"/>
  <c r="E246" i="9"/>
  <c r="C247" i="9"/>
  <c r="F246" i="9"/>
  <c r="C247" i="8"/>
  <c r="E246" i="8"/>
  <c r="F246" i="8"/>
  <c r="C343" i="7"/>
  <c r="F342" i="7"/>
  <c r="E342" i="7"/>
  <c r="F246" i="6"/>
  <c r="E246" i="6"/>
  <c r="C247" i="6"/>
  <c r="C190" i="5"/>
  <c r="F189" i="5"/>
  <c r="E189" i="5"/>
  <c r="C180" i="4"/>
  <c r="F179" i="4"/>
  <c r="E179" i="4"/>
  <c r="E188" i="3"/>
  <c r="C189" i="3"/>
  <c r="F188" i="3"/>
  <c r="E179" i="2"/>
  <c r="C180" i="2"/>
  <c r="F179" i="2"/>
  <c r="C249" i="1"/>
  <c r="F248" i="1"/>
  <c r="E248" i="1"/>
  <c r="F184" i="19" l="1"/>
  <c r="E189" i="13"/>
  <c r="C190" i="13"/>
  <c r="F189" i="13"/>
  <c r="B194" i="12"/>
  <c r="E193" i="12"/>
  <c r="D193" i="12"/>
  <c r="E180" i="10"/>
  <c r="C181" i="10"/>
  <c r="F180" i="10"/>
  <c r="F247" i="9"/>
  <c r="E247" i="9"/>
  <c r="C248" i="9"/>
  <c r="E247" i="8"/>
  <c r="C248" i="8"/>
  <c r="F247" i="8"/>
  <c r="C344" i="7"/>
  <c r="F343" i="7"/>
  <c r="E343" i="7"/>
  <c r="C248" i="6"/>
  <c r="F247" i="6"/>
  <c r="E247" i="6"/>
  <c r="F190" i="5"/>
  <c r="C191" i="5"/>
  <c r="E190" i="5"/>
  <c r="C181" i="4"/>
  <c r="F180" i="4"/>
  <c r="E180" i="4"/>
  <c r="F189" i="3"/>
  <c r="E189" i="3"/>
  <c r="C190" i="3"/>
  <c r="F180" i="2"/>
  <c r="E180" i="2"/>
  <c r="C181" i="2"/>
  <c r="F249" i="1"/>
  <c r="C250" i="1"/>
  <c r="E249" i="1"/>
  <c r="F185" i="19" l="1"/>
  <c r="C191" i="13"/>
  <c r="F190" i="13"/>
  <c r="E190" i="13"/>
  <c r="B195" i="12"/>
  <c r="E194" i="12"/>
  <c r="D194" i="12"/>
  <c r="F181" i="10"/>
  <c r="E181" i="10"/>
  <c r="C182" i="10"/>
  <c r="C249" i="9"/>
  <c r="F248" i="9"/>
  <c r="E248" i="9"/>
  <c r="F248" i="8"/>
  <c r="C249" i="8"/>
  <c r="E248" i="8"/>
  <c r="F344" i="7"/>
  <c r="E344" i="7"/>
  <c r="C345" i="7"/>
  <c r="C249" i="6"/>
  <c r="F248" i="6"/>
  <c r="E248" i="6"/>
  <c r="C192" i="5"/>
  <c r="F191" i="5"/>
  <c r="E191" i="5"/>
  <c r="F181" i="4"/>
  <c r="C182" i="4"/>
  <c r="E181" i="4"/>
  <c r="E190" i="3"/>
  <c r="F190" i="3"/>
  <c r="C191" i="3"/>
  <c r="E181" i="2"/>
  <c r="F181" i="2"/>
  <c r="C182" i="2"/>
  <c r="F250" i="1"/>
  <c r="E250" i="1"/>
  <c r="C251" i="1"/>
  <c r="F186" i="19" l="1"/>
  <c r="E191" i="13"/>
  <c r="F191" i="13"/>
  <c r="C192" i="13"/>
  <c r="B196" i="12"/>
  <c r="E195" i="12"/>
  <c r="D195" i="12"/>
  <c r="C183" i="10"/>
  <c r="E182" i="10"/>
  <c r="F182" i="10"/>
  <c r="F249" i="9"/>
  <c r="E249" i="9"/>
  <c r="C250" i="9"/>
  <c r="C250" i="8"/>
  <c r="F249" i="8"/>
  <c r="E249" i="8"/>
  <c r="C346" i="7"/>
  <c r="F345" i="7"/>
  <c r="E345" i="7"/>
  <c r="F249" i="6"/>
  <c r="E249" i="6"/>
  <c r="C250" i="6"/>
  <c r="F192" i="5"/>
  <c r="E192" i="5"/>
  <c r="C193" i="5"/>
  <c r="C183" i="4"/>
  <c r="F182" i="4"/>
  <c r="E182" i="4"/>
  <c r="F191" i="3"/>
  <c r="E191" i="3"/>
  <c r="C192" i="3"/>
  <c r="F182" i="2"/>
  <c r="E182" i="2"/>
  <c r="C183" i="2"/>
  <c r="E251" i="1"/>
  <c r="F251" i="1"/>
  <c r="C252" i="1"/>
  <c r="F187" i="19" l="1"/>
  <c r="C193" i="13"/>
  <c r="F192" i="13"/>
  <c r="E192" i="13"/>
  <c r="E196" i="12"/>
  <c r="D196" i="12"/>
  <c r="B197" i="12"/>
  <c r="F183" i="10"/>
  <c r="E183" i="10"/>
  <c r="C184" i="10"/>
  <c r="C251" i="9"/>
  <c r="F250" i="9"/>
  <c r="E250" i="9"/>
  <c r="F250" i="8"/>
  <c r="E250" i="8"/>
  <c r="C251" i="8"/>
  <c r="E346" i="7"/>
  <c r="C347" i="7"/>
  <c r="F346" i="7"/>
  <c r="C251" i="6"/>
  <c r="F250" i="6"/>
  <c r="E250" i="6"/>
  <c r="C194" i="5"/>
  <c r="F193" i="5"/>
  <c r="E193" i="5"/>
  <c r="E183" i="4"/>
  <c r="C184" i="4"/>
  <c r="F183" i="4"/>
  <c r="E192" i="3"/>
  <c r="C193" i="3"/>
  <c r="F192" i="3"/>
  <c r="E183" i="2"/>
  <c r="C184" i="2"/>
  <c r="F183" i="2"/>
  <c r="E252" i="1"/>
  <c r="C253" i="1"/>
  <c r="F252" i="1"/>
  <c r="F188" i="19" l="1"/>
  <c r="E193" i="13"/>
  <c r="C194" i="13"/>
  <c r="F193" i="13"/>
  <c r="B198" i="12"/>
  <c r="E197" i="12"/>
  <c r="D197" i="12"/>
  <c r="C185" i="10"/>
  <c r="F184" i="10"/>
  <c r="E184" i="10"/>
  <c r="C252" i="9"/>
  <c r="F251" i="9"/>
  <c r="E251" i="9"/>
  <c r="C252" i="8"/>
  <c r="E251" i="8"/>
  <c r="F251" i="8"/>
  <c r="F347" i="7"/>
  <c r="E347" i="7"/>
  <c r="C348" i="7"/>
  <c r="E251" i="6"/>
  <c r="C252" i="6"/>
  <c r="F251" i="6"/>
  <c r="F194" i="5"/>
  <c r="C195" i="5"/>
  <c r="E194" i="5"/>
  <c r="E184" i="4"/>
  <c r="C185" i="4"/>
  <c r="F184" i="4"/>
  <c r="F193" i="3"/>
  <c r="E193" i="3"/>
  <c r="C194" i="3"/>
  <c r="F184" i="2"/>
  <c r="E184" i="2"/>
  <c r="C185" i="2"/>
  <c r="F253" i="1"/>
  <c r="C254" i="1"/>
  <c r="E253" i="1"/>
  <c r="F189" i="19" l="1"/>
  <c r="C195" i="13"/>
  <c r="F194" i="13"/>
  <c r="E194" i="13"/>
  <c r="B199" i="12"/>
  <c r="E198" i="12"/>
  <c r="D198" i="12"/>
  <c r="C186" i="10"/>
  <c r="F185" i="10"/>
  <c r="E185" i="10"/>
  <c r="F252" i="9"/>
  <c r="E252" i="9"/>
  <c r="C253" i="9"/>
  <c r="F252" i="8"/>
  <c r="E252" i="8"/>
  <c r="C253" i="8"/>
  <c r="C349" i="7"/>
  <c r="E348" i="7"/>
  <c r="F348" i="7"/>
  <c r="F252" i="6"/>
  <c r="E252" i="6"/>
  <c r="C253" i="6"/>
  <c r="C196" i="5"/>
  <c r="F195" i="5"/>
  <c r="E195" i="5"/>
  <c r="C186" i="4"/>
  <c r="F185" i="4"/>
  <c r="E185" i="4"/>
  <c r="E194" i="3"/>
  <c r="F194" i="3"/>
  <c r="C195" i="3"/>
  <c r="E185" i="2"/>
  <c r="F185" i="2"/>
  <c r="C186" i="2"/>
  <c r="C255" i="1"/>
  <c r="F254" i="1"/>
  <c r="E254" i="1"/>
  <c r="F190" i="19" l="1"/>
  <c r="E195" i="13"/>
  <c r="C196" i="13"/>
  <c r="F195" i="13"/>
  <c r="D199" i="12"/>
  <c r="E199" i="12"/>
  <c r="B200" i="12"/>
  <c r="F186" i="10"/>
  <c r="E186" i="10"/>
  <c r="C187" i="10"/>
  <c r="C254" i="9"/>
  <c r="F253" i="9"/>
  <c r="E253" i="9"/>
  <c r="E253" i="8"/>
  <c r="C254" i="8"/>
  <c r="F253" i="8"/>
  <c r="F349" i="7"/>
  <c r="E349" i="7"/>
  <c r="C350" i="7"/>
  <c r="C254" i="6"/>
  <c r="F253" i="6"/>
  <c r="E253" i="6"/>
  <c r="F196" i="5"/>
  <c r="C197" i="5"/>
  <c r="E196" i="5"/>
  <c r="F186" i="4"/>
  <c r="E186" i="4"/>
  <c r="C187" i="4"/>
  <c r="F195" i="3"/>
  <c r="E195" i="3"/>
  <c r="C196" i="3"/>
  <c r="F186" i="2"/>
  <c r="E186" i="2"/>
  <c r="C187" i="2"/>
  <c r="F255" i="1"/>
  <c r="E255" i="1"/>
  <c r="C256" i="1"/>
  <c r="F191" i="19" l="1"/>
  <c r="C197" i="13"/>
  <c r="F196" i="13"/>
  <c r="E196" i="13"/>
  <c r="B201" i="12"/>
  <c r="E200" i="12"/>
  <c r="D200" i="12"/>
  <c r="C188" i="10"/>
  <c r="F187" i="10"/>
  <c r="E187" i="10"/>
  <c r="E254" i="9"/>
  <c r="F254" i="9"/>
  <c r="C255" i="9"/>
  <c r="E254" i="8"/>
  <c r="F254" i="8"/>
  <c r="C255" i="8"/>
  <c r="C351" i="7"/>
  <c r="F350" i="7"/>
  <c r="E350" i="7"/>
  <c r="F254" i="6"/>
  <c r="E254" i="6"/>
  <c r="C255" i="6"/>
  <c r="C198" i="5"/>
  <c r="F197" i="5"/>
  <c r="E197" i="5"/>
  <c r="C188" i="4"/>
  <c r="F187" i="4"/>
  <c r="E187" i="4"/>
  <c r="E196" i="3"/>
  <c r="C197" i="3"/>
  <c r="F196" i="3"/>
  <c r="E187" i="2"/>
  <c r="C188" i="2"/>
  <c r="F187" i="2"/>
  <c r="C257" i="1"/>
  <c r="F256" i="1"/>
  <c r="E256" i="1"/>
  <c r="F192" i="19" l="1"/>
  <c r="E197" i="13"/>
  <c r="F197" i="13"/>
  <c r="C198" i="13"/>
  <c r="B202" i="12"/>
  <c r="E201" i="12"/>
  <c r="D201" i="12"/>
  <c r="E188" i="10"/>
  <c r="C189" i="10"/>
  <c r="F188" i="10"/>
  <c r="F255" i="9"/>
  <c r="C256" i="9"/>
  <c r="E255" i="9"/>
  <c r="E255" i="8"/>
  <c r="C256" i="8"/>
  <c r="F255" i="8"/>
  <c r="C352" i="7"/>
  <c r="F351" i="7"/>
  <c r="E351" i="7"/>
  <c r="C256" i="6"/>
  <c r="F255" i="6"/>
  <c r="E255" i="6"/>
  <c r="F198" i="5"/>
  <c r="C199" i="5"/>
  <c r="E198" i="5"/>
  <c r="C189" i="4"/>
  <c r="F188" i="4"/>
  <c r="E188" i="4"/>
  <c r="F197" i="3"/>
  <c r="E197" i="3"/>
  <c r="C198" i="3"/>
  <c r="F188" i="2"/>
  <c r="E188" i="2"/>
  <c r="C189" i="2"/>
  <c r="F257" i="1"/>
  <c r="E257" i="1"/>
  <c r="C258" i="1"/>
  <c r="F193" i="19" l="1"/>
  <c r="C199" i="13"/>
  <c r="F198" i="13"/>
  <c r="E198" i="13"/>
  <c r="D202" i="12"/>
  <c r="B203" i="12"/>
  <c r="E202" i="12"/>
  <c r="F189" i="10"/>
  <c r="E189" i="10"/>
  <c r="C190" i="10"/>
  <c r="C257" i="9"/>
  <c r="F256" i="9"/>
  <c r="E256" i="9"/>
  <c r="E256" i="8"/>
  <c r="C257" i="8"/>
  <c r="F256" i="8"/>
  <c r="F352" i="7"/>
  <c r="E352" i="7"/>
  <c r="C353" i="7"/>
  <c r="C257" i="6"/>
  <c r="F256" i="6"/>
  <c r="E256" i="6"/>
  <c r="C200" i="5"/>
  <c r="F199" i="5"/>
  <c r="E199" i="5"/>
  <c r="F189" i="4"/>
  <c r="C190" i="4"/>
  <c r="E189" i="4"/>
  <c r="E198" i="3"/>
  <c r="C199" i="3"/>
  <c r="F198" i="3"/>
  <c r="E189" i="2"/>
  <c r="F189" i="2"/>
  <c r="C190" i="2"/>
  <c r="E258" i="1"/>
  <c r="C259" i="1"/>
  <c r="F258" i="1"/>
  <c r="F194" i="19" l="1"/>
  <c r="E199" i="13"/>
  <c r="C200" i="13"/>
  <c r="F199" i="13"/>
  <c r="B204" i="12"/>
  <c r="E203" i="12"/>
  <c r="D203" i="12"/>
  <c r="C191" i="10"/>
  <c r="E190" i="10"/>
  <c r="F190" i="10"/>
  <c r="F257" i="9"/>
  <c r="E257" i="9"/>
  <c r="C258" i="9"/>
  <c r="E257" i="8"/>
  <c r="C258" i="8"/>
  <c r="F257" i="8"/>
  <c r="C354" i="7"/>
  <c r="F353" i="7"/>
  <c r="E353" i="7"/>
  <c r="F257" i="6"/>
  <c r="E257" i="6"/>
  <c r="C258" i="6"/>
  <c r="F200" i="5"/>
  <c r="C201" i="5"/>
  <c r="E200" i="5"/>
  <c r="C191" i="4"/>
  <c r="F190" i="4"/>
  <c r="E190" i="4"/>
  <c r="F199" i="3"/>
  <c r="E199" i="3"/>
  <c r="C200" i="3"/>
  <c r="F190" i="2"/>
  <c r="E190" i="2"/>
  <c r="C191" i="2"/>
  <c r="C260" i="1"/>
  <c r="F259" i="1"/>
  <c r="E259" i="1"/>
  <c r="F195" i="19" l="1"/>
  <c r="C201" i="13"/>
  <c r="F200" i="13"/>
  <c r="E200" i="13"/>
  <c r="E204" i="12"/>
  <c r="B205" i="12"/>
  <c r="D204" i="12"/>
  <c r="F191" i="10"/>
  <c r="E191" i="10"/>
  <c r="C192" i="10"/>
  <c r="C259" i="9"/>
  <c r="E258" i="9"/>
  <c r="F258" i="9"/>
  <c r="F258" i="8"/>
  <c r="C259" i="8"/>
  <c r="E258" i="8"/>
  <c r="E354" i="7"/>
  <c r="C355" i="7"/>
  <c r="F354" i="7"/>
  <c r="C259" i="6"/>
  <c r="F258" i="6"/>
  <c r="E258" i="6"/>
  <c r="C202" i="5"/>
  <c r="F201" i="5"/>
  <c r="E201" i="5"/>
  <c r="E191" i="4"/>
  <c r="C192" i="4"/>
  <c r="F191" i="4"/>
  <c r="E200" i="3"/>
  <c r="C201" i="3"/>
  <c r="F200" i="3"/>
  <c r="E191" i="2"/>
  <c r="C192" i="2"/>
  <c r="F191" i="2"/>
  <c r="E260" i="1"/>
  <c r="F260" i="1"/>
  <c r="C261" i="1"/>
  <c r="F196" i="19" l="1"/>
  <c r="E201" i="13"/>
  <c r="C202" i="13"/>
  <c r="F201" i="13"/>
  <c r="B206" i="12"/>
  <c r="E205" i="12"/>
  <c r="D205" i="12"/>
  <c r="C193" i="10"/>
  <c r="F192" i="10"/>
  <c r="E192" i="10"/>
  <c r="F259" i="9"/>
  <c r="E259" i="9"/>
  <c r="C260" i="9"/>
  <c r="C260" i="8"/>
  <c r="F259" i="8"/>
  <c r="E259" i="8"/>
  <c r="F355" i="7"/>
  <c r="E355" i="7"/>
  <c r="C356" i="7"/>
  <c r="E259" i="6"/>
  <c r="C260" i="6"/>
  <c r="F259" i="6"/>
  <c r="F202" i="5"/>
  <c r="E202" i="5"/>
  <c r="C203" i="5"/>
  <c r="E192" i="4"/>
  <c r="C193" i="4"/>
  <c r="F192" i="4"/>
  <c r="F201" i="3"/>
  <c r="E201" i="3"/>
  <c r="C202" i="3"/>
  <c r="F192" i="2"/>
  <c r="E192" i="2"/>
  <c r="C193" i="2"/>
  <c r="F261" i="1"/>
  <c r="E261" i="1"/>
  <c r="C262" i="1"/>
  <c r="F197" i="19" l="1"/>
  <c r="C203" i="13"/>
  <c r="F202" i="13"/>
  <c r="E202" i="13"/>
  <c r="B207" i="12"/>
  <c r="E206" i="12"/>
  <c r="D206" i="12"/>
  <c r="C194" i="10"/>
  <c r="F193" i="10"/>
  <c r="E193" i="10"/>
  <c r="F260" i="9"/>
  <c r="E260" i="9"/>
  <c r="C261" i="9"/>
  <c r="E260" i="8"/>
  <c r="C261" i="8"/>
  <c r="F260" i="8"/>
  <c r="C357" i="7"/>
  <c r="E356" i="7"/>
  <c r="F356" i="7"/>
  <c r="F260" i="6"/>
  <c r="E260" i="6"/>
  <c r="C261" i="6"/>
  <c r="C204" i="5"/>
  <c r="F203" i="5"/>
  <c r="E203" i="5"/>
  <c r="C194" i="4"/>
  <c r="F193" i="4"/>
  <c r="E193" i="4"/>
  <c r="E202" i="3"/>
  <c r="C203" i="3"/>
  <c r="F202" i="3"/>
  <c r="E193" i="2"/>
  <c r="F193" i="2"/>
  <c r="C194" i="2"/>
  <c r="E262" i="1"/>
  <c r="C263" i="1"/>
  <c r="F262" i="1"/>
  <c r="F198" i="19" l="1"/>
  <c r="E203" i="13"/>
  <c r="C204" i="13"/>
  <c r="F203" i="13"/>
  <c r="D207" i="12"/>
  <c r="E207" i="12"/>
  <c r="B208" i="12"/>
  <c r="F194" i="10"/>
  <c r="E194" i="10"/>
  <c r="C195" i="10"/>
  <c r="C262" i="9"/>
  <c r="F261" i="9"/>
  <c r="E261" i="9"/>
  <c r="E261" i="8"/>
  <c r="F261" i="8"/>
  <c r="C262" i="8"/>
  <c r="F357" i="7"/>
  <c r="E357" i="7"/>
  <c r="C358" i="7"/>
  <c r="C262" i="6"/>
  <c r="F261" i="6"/>
  <c r="E261" i="6"/>
  <c r="F204" i="5"/>
  <c r="E204" i="5"/>
  <c r="C205" i="5"/>
  <c r="F194" i="4"/>
  <c r="E194" i="4"/>
  <c r="C195" i="4"/>
  <c r="F203" i="3"/>
  <c r="E203" i="3"/>
  <c r="C204" i="3"/>
  <c r="F194" i="2"/>
  <c r="E194" i="2"/>
  <c r="C195" i="2"/>
  <c r="F263" i="1"/>
  <c r="C264" i="1"/>
  <c r="E263" i="1"/>
  <c r="F199" i="19" l="1"/>
  <c r="C205" i="13"/>
  <c r="F204" i="13"/>
  <c r="E204" i="13"/>
  <c r="B209" i="12"/>
  <c r="E208" i="12"/>
  <c r="D208" i="12"/>
  <c r="C196" i="10"/>
  <c r="F195" i="10"/>
  <c r="E195" i="10"/>
  <c r="E262" i="9"/>
  <c r="C263" i="9"/>
  <c r="F262" i="9"/>
  <c r="C263" i="8"/>
  <c r="E262" i="8"/>
  <c r="F262" i="8"/>
  <c r="C359" i="7"/>
  <c r="F358" i="7"/>
  <c r="E358" i="7"/>
  <c r="F262" i="6"/>
  <c r="E262" i="6"/>
  <c r="C263" i="6"/>
  <c r="C206" i="5"/>
  <c r="F205" i="5"/>
  <c r="E205" i="5"/>
  <c r="C196" i="4"/>
  <c r="F195" i="4"/>
  <c r="E195" i="4"/>
  <c r="E204" i="3"/>
  <c r="C205" i="3"/>
  <c r="F204" i="3"/>
  <c r="E195" i="2"/>
  <c r="C196" i="2"/>
  <c r="F195" i="2"/>
  <c r="C265" i="1"/>
  <c r="F264" i="1"/>
  <c r="E264" i="1"/>
  <c r="F200" i="19" l="1"/>
  <c r="E205" i="13"/>
  <c r="C206" i="13"/>
  <c r="F205" i="13"/>
  <c r="B210" i="12"/>
  <c r="E209" i="12"/>
  <c r="D209" i="12"/>
  <c r="E196" i="10"/>
  <c r="C197" i="10"/>
  <c r="F196" i="10"/>
  <c r="F263" i="9"/>
  <c r="C264" i="9"/>
  <c r="E263" i="9"/>
  <c r="E263" i="8"/>
  <c r="C264" i="8"/>
  <c r="F263" i="8"/>
  <c r="C360" i="7"/>
  <c r="F359" i="7"/>
  <c r="E359" i="7"/>
  <c r="C264" i="6"/>
  <c r="F263" i="6"/>
  <c r="E263" i="6"/>
  <c r="F206" i="5"/>
  <c r="C207" i="5"/>
  <c r="E206" i="5"/>
  <c r="C197" i="4"/>
  <c r="F196" i="4"/>
  <c r="E196" i="4"/>
  <c r="F205" i="3"/>
  <c r="E205" i="3"/>
  <c r="C206" i="3"/>
  <c r="F196" i="2"/>
  <c r="E196" i="2"/>
  <c r="C197" i="2"/>
  <c r="F265" i="1"/>
  <c r="C266" i="1"/>
  <c r="E265" i="1"/>
  <c r="F201" i="19" l="1"/>
  <c r="C207" i="13"/>
  <c r="F206" i="13"/>
  <c r="E206" i="13"/>
  <c r="D210" i="12"/>
  <c r="B211" i="12"/>
  <c r="E210" i="12"/>
  <c r="F197" i="10"/>
  <c r="E197" i="10"/>
  <c r="C198" i="10"/>
  <c r="C265" i="9"/>
  <c r="F264" i="9"/>
  <c r="E264" i="9"/>
  <c r="F264" i="8"/>
  <c r="C265" i="8"/>
  <c r="E264" i="8"/>
  <c r="F360" i="7"/>
  <c r="E360" i="7"/>
  <c r="C361" i="7"/>
  <c r="C265" i="6"/>
  <c r="F264" i="6"/>
  <c r="E264" i="6"/>
  <c r="C208" i="5"/>
  <c r="F207" i="5"/>
  <c r="E207" i="5"/>
  <c r="F197" i="4"/>
  <c r="C198" i="4"/>
  <c r="E197" i="4"/>
  <c r="E206" i="3"/>
  <c r="F206" i="3"/>
  <c r="C207" i="3"/>
  <c r="E197" i="2"/>
  <c r="F197" i="2"/>
  <c r="C198" i="2"/>
  <c r="C267" i="1"/>
  <c r="F266" i="1"/>
  <c r="E266" i="1"/>
  <c r="F202" i="19" l="1"/>
  <c r="E207" i="13"/>
  <c r="F207" i="13"/>
  <c r="C208" i="13"/>
  <c r="B212" i="12"/>
  <c r="E211" i="12"/>
  <c r="D211" i="12"/>
  <c r="C199" i="10"/>
  <c r="E198" i="10"/>
  <c r="F198" i="10"/>
  <c r="F265" i="9"/>
  <c r="E265" i="9"/>
  <c r="C266" i="9"/>
  <c r="C266" i="8"/>
  <c r="F265" i="8"/>
  <c r="E265" i="8"/>
  <c r="C362" i="7"/>
  <c r="F361" i="7"/>
  <c r="E361" i="7"/>
  <c r="F265" i="6"/>
  <c r="E265" i="6"/>
  <c r="C266" i="6"/>
  <c r="F208" i="5"/>
  <c r="E208" i="5"/>
  <c r="C209" i="5"/>
  <c r="C199" i="4"/>
  <c r="F198" i="4"/>
  <c r="E198" i="4"/>
  <c r="F207" i="3"/>
  <c r="E207" i="3"/>
  <c r="C208" i="3"/>
  <c r="F198" i="2"/>
  <c r="E198" i="2"/>
  <c r="C199" i="2"/>
  <c r="E267" i="1"/>
  <c r="C268" i="1"/>
  <c r="F267" i="1"/>
  <c r="F203" i="19" l="1"/>
  <c r="C209" i="13"/>
  <c r="F208" i="13"/>
  <c r="E208" i="13"/>
  <c r="E212" i="12"/>
  <c r="D212" i="12"/>
  <c r="B213" i="12"/>
  <c r="F199" i="10"/>
  <c r="E199" i="10"/>
  <c r="C200" i="10"/>
  <c r="C267" i="9"/>
  <c r="E266" i="9"/>
  <c r="F266" i="9"/>
  <c r="F266" i="8"/>
  <c r="E266" i="8"/>
  <c r="C267" i="8"/>
  <c r="E362" i="7"/>
  <c r="C363" i="7"/>
  <c r="F362" i="7"/>
  <c r="C267" i="6"/>
  <c r="F266" i="6"/>
  <c r="E266" i="6"/>
  <c r="C210" i="5"/>
  <c r="F209" i="5"/>
  <c r="E209" i="5"/>
  <c r="E199" i="4"/>
  <c r="C200" i="4"/>
  <c r="F199" i="4"/>
  <c r="E208" i="3"/>
  <c r="C209" i="3"/>
  <c r="F208" i="3"/>
  <c r="E199" i="2"/>
  <c r="C200" i="2"/>
  <c r="F199" i="2"/>
  <c r="E268" i="1"/>
  <c r="C269" i="1"/>
  <c r="F268" i="1"/>
  <c r="F204" i="19" l="1"/>
  <c r="E209" i="13"/>
  <c r="C210" i="13"/>
  <c r="F209" i="13"/>
  <c r="B214" i="12"/>
  <c r="E213" i="12"/>
  <c r="D213" i="12"/>
  <c r="C201" i="10"/>
  <c r="F200" i="10"/>
  <c r="E200" i="10"/>
  <c r="F267" i="9"/>
  <c r="E267" i="9"/>
  <c r="C268" i="9"/>
  <c r="C268" i="8"/>
  <c r="F267" i="8"/>
  <c r="E267" i="8"/>
  <c r="F363" i="7"/>
  <c r="E363" i="7"/>
  <c r="C364" i="7"/>
  <c r="E267" i="6"/>
  <c r="C268" i="6"/>
  <c r="F267" i="6"/>
  <c r="F210" i="5"/>
  <c r="C211" i="5"/>
  <c r="E210" i="5"/>
  <c r="E200" i="4"/>
  <c r="C201" i="4"/>
  <c r="F200" i="4"/>
  <c r="F209" i="3"/>
  <c r="E209" i="3"/>
  <c r="C210" i="3"/>
  <c r="F200" i="2"/>
  <c r="E200" i="2"/>
  <c r="C201" i="2"/>
  <c r="F269" i="1"/>
  <c r="C270" i="1"/>
  <c r="E269" i="1"/>
  <c r="F205" i="19" l="1"/>
  <c r="C211" i="13"/>
  <c r="F210" i="13"/>
  <c r="E210" i="13"/>
  <c r="B215" i="12"/>
  <c r="E214" i="12"/>
  <c r="D214" i="12"/>
  <c r="C202" i="10"/>
  <c r="F201" i="10"/>
  <c r="E201" i="10"/>
  <c r="F268" i="9"/>
  <c r="E268" i="9"/>
  <c r="C269" i="9"/>
  <c r="F268" i="8"/>
  <c r="C269" i="8"/>
  <c r="E268" i="8"/>
  <c r="C365" i="7"/>
  <c r="E364" i="7"/>
  <c r="F364" i="7"/>
  <c r="F268" i="6"/>
  <c r="E268" i="6"/>
  <c r="C269" i="6"/>
  <c r="C212" i="5"/>
  <c r="F211" i="5"/>
  <c r="E211" i="5"/>
  <c r="C202" i="4"/>
  <c r="F201" i="4"/>
  <c r="E201" i="4"/>
  <c r="C211" i="3"/>
  <c r="E210" i="3"/>
  <c r="F210" i="3"/>
  <c r="E201" i="2"/>
  <c r="F201" i="2"/>
  <c r="C202" i="2"/>
  <c r="C271" i="1"/>
  <c r="F270" i="1"/>
  <c r="E270" i="1"/>
  <c r="F206" i="19" l="1"/>
  <c r="E211" i="13"/>
  <c r="C212" i="13"/>
  <c r="F211" i="13"/>
  <c r="D215" i="12"/>
  <c r="E215" i="12"/>
  <c r="B216" i="12"/>
  <c r="F202" i="10"/>
  <c r="E202" i="10"/>
  <c r="C203" i="10"/>
  <c r="C270" i="9"/>
  <c r="F269" i="9"/>
  <c r="E269" i="9"/>
  <c r="E269" i="8"/>
  <c r="C270" i="8"/>
  <c r="F269" i="8"/>
  <c r="F365" i="7"/>
  <c r="E365" i="7"/>
  <c r="C366" i="7"/>
  <c r="C270" i="6"/>
  <c r="F269" i="6"/>
  <c r="E269" i="6"/>
  <c r="E212" i="5"/>
  <c r="C213" i="5"/>
  <c r="F212" i="5"/>
  <c r="F202" i="4"/>
  <c r="E202" i="4"/>
  <c r="C203" i="4"/>
  <c r="C212" i="3"/>
  <c r="F211" i="3"/>
  <c r="E211" i="3"/>
  <c r="F202" i="2"/>
  <c r="E202" i="2"/>
  <c r="C203" i="2"/>
  <c r="F271" i="1"/>
  <c r="E271" i="1"/>
  <c r="C272" i="1"/>
  <c r="F207" i="19" l="1"/>
  <c r="C213" i="13"/>
  <c r="F212" i="13"/>
  <c r="E212" i="13"/>
  <c r="B217" i="12"/>
  <c r="E216" i="12"/>
  <c r="D216" i="12"/>
  <c r="C204" i="10"/>
  <c r="F203" i="10"/>
  <c r="E203" i="10"/>
  <c r="E270" i="9"/>
  <c r="C271" i="9"/>
  <c r="F270" i="9"/>
  <c r="E270" i="8"/>
  <c r="C271" i="8"/>
  <c r="F270" i="8"/>
  <c r="C367" i="7"/>
  <c r="F366" i="7"/>
  <c r="E366" i="7"/>
  <c r="F270" i="6"/>
  <c r="E270" i="6"/>
  <c r="C271" i="6"/>
  <c r="C214" i="5"/>
  <c r="F213" i="5"/>
  <c r="E213" i="5"/>
  <c r="C204" i="4"/>
  <c r="F203" i="4"/>
  <c r="E203" i="4"/>
  <c r="C213" i="3"/>
  <c r="F212" i="3"/>
  <c r="E212" i="3"/>
  <c r="C204" i="2"/>
  <c r="E203" i="2"/>
  <c r="F203" i="2"/>
  <c r="C273" i="1"/>
  <c r="F272" i="1"/>
  <c r="E272" i="1"/>
  <c r="F208" i="19" l="1"/>
  <c r="E213" i="13"/>
  <c r="F213" i="13"/>
  <c r="C214" i="13"/>
  <c r="B218" i="12"/>
  <c r="E217" i="12"/>
  <c r="D217" i="12"/>
  <c r="E204" i="10"/>
  <c r="C205" i="10"/>
  <c r="F204" i="10"/>
  <c r="F271" i="9"/>
  <c r="C272" i="9"/>
  <c r="E271" i="9"/>
  <c r="E271" i="8"/>
  <c r="C272" i="8"/>
  <c r="F271" i="8"/>
  <c r="C368" i="7"/>
  <c r="F367" i="7"/>
  <c r="E367" i="7"/>
  <c r="C272" i="6"/>
  <c r="F271" i="6"/>
  <c r="E271" i="6"/>
  <c r="F214" i="5"/>
  <c r="E214" i="5"/>
  <c r="C215" i="5"/>
  <c r="C205" i="4"/>
  <c r="F204" i="4"/>
  <c r="E204" i="4"/>
  <c r="F213" i="3"/>
  <c r="C214" i="3"/>
  <c r="E213" i="3"/>
  <c r="C205" i="2"/>
  <c r="F204" i="2"/>
  <c r="E204" i="2"/>
  <c r="F273" i="1"/>
  <c r="C274" i="1"/>
  <c r="E273" i="1"/>
  <c r="F209" i="19" l="1"/>
  <c r="C215" i="13"/>
  <c r="F214" i="13"/>
  <c r="E214" i="13"/>
  <c r="B219" i="12"/>
  <c r="E218" i="12"/>
  <c r="D218" i="12"/>
  <c r="F205" i="10"/>
  <c r="E205" i="10"/>
  <c r="C206" i="10"/>
  <c r="C273" i="9"/>
  <c r="F272" i="9"/>
  <c r="E272" i="9"/>
  <c r="F272" i="8"/>
  <c r="C273" i="8"/>
  <c r="E272" i="8"/>
  <c r="F368" i="7"/>
  <c r="E368" i="7"/>
  <c r="C369" i="7"/>
  <c r="C273" i="6"/>
  <c r="F272" i="6"/>
  <c r="E272" i="6"/>
  <c r="C216" i="5"/>
  <c r="E215" i="5"/>
  <c r="F215" i="5"/>
  <c r="F205" i="4"/>
  <c r="C206" i="4"/>
  <c r="E205" i="4"/>
  <c r="C215" i="3"/>
  <c r="F214" i="3"/>
  <c r="E214" i="3"/>
  <c r="C206" i="2"/>
  <c r="F205" i="2"/>
  <c r="E205" i="2"/>
  <c r="E274" i="1"/>
  <c r="C275" i="1"/>
  <c r="F274" i="1"/>
  <c r="F210" i="19" l="1"/>
  <c r="E215" i="13"/>
  <c r="C216" i="13"/>
  <c r="F215" i="13"/>
  <c r="B220" i="12"/>
  <c r="E219" i="12"/>
  <c r="D219" i="12"/>
  <c r="C207" i="10"/>
  <c r="E206" i="10"/>
  <c r="F206" i="10"/>
  <c r="F273" i="9"/>
  <c r="E273" i="9"/>
  <c r="C274" i="9"/>
  <c r="E273" i="8"/>
  <c r="C274" i="8"/>
  <c r="F273" i="8"/>
  <c r="C370" i="7"/>
  <c r="F369" i="7"/>
  <c r="E369" i="7"/>
  <c r="F273" i="6"/>
  <c r="E273" i="6"/>
  <c r="C274" i="6"/>
  <c r="F216" i="5"/>
  <c r="E216" i="5"/>
  <c r="C217" i="5"/>
  <c r="C207" i="4"/>
  <c r="F206" i="4"/>
  <c r="E206" i="4"/>
  <c r="F215" i="3"/>
  <c r="E215" i="3"/>
  <c r="C216" i="3"/>
  <c r="C207" i="2"/>
  <c r="E206" i="2"/>
  <c r="F206" i="2"/>
  <c r="C276" i="1"/>
  <c r="F275" i="1"/>
  <c r="E275" i="1"/>
  <c r="F211" i="19" l="1"/>
  <c r="C217" i="13"/>
  <c r="F216" i="13"/>
  <c r="E216" i="13"/>
  <c r="E220" i="12"/>
  <c r="D220" i="12"/>
  <c r="B221" i="12"/>
  <c r="F207" i="10"/>
  <c r="E207" i="10"/>
  <c r="C208" i="10"/>
  <c r="C275" i="9"/>
  <c r="E274" i="9"/>
  <c r="F274" i="9"/>
  <c r="F274" i="8"/>
  <c r="C275" i="8"/>
  <c r="E274" i="8"/>
  <c r="E370" i="7"/>
  <c r="C371" i="7"/>
  <c r="F370" i="7"/>
  <c r="C275" i="6"/>
  <c r="F274" i="6"/>
  <c r="E274" i="6"/>
  <c r="C218" i="5"/>
  <c r="E217" i="5"/>
  <c r="F217" i="5"/>
  <c r="F207" i="4"/>
  <c r="E207" i="4"/>
  <c r="C208" i="4"/>
  <c r="C217" i="3"/>
  <c r="E216" i="3"/>
  <c r="F216" i="3"/>
  <c r="C208" i="2"/>
  <c r="E207" i="2"/>
  <c r="F207" i="2"/>
  <c r="E276" i="1"/>
  <c r="C277" i="1"/>
  <c r="F276" i="1"/>
  <c r="F212" i="19" l="1"/>
  <c r="E217" i="13"/>
  <c r="C218" i="13"/>
  <c r="F217" i="13"/>
  <c r="B222" i="12"/>
  <c r="E221" i="12"/>
  <c r="D221" i="12"/>
  <c r="C209" i="10"/>
  <c r="F208" i="10"/>
  <c r="E208" i="10"/>
  <c r="F275" i="9"/>
  <c r="E275" i="9"/>
  <c r="C276" i="9"/>
  <c r="C276" i="8"/>
  <c r="F275" i="8"/>
  <c r="E275" i="8"/>
  <c r="F371" i="7"/>
  <c r="E371" i="7"/>
  <c r="C372" i="7"/>
  <c r="E275" i="6"/>
  <c r="C276" i="6"/>
  <c r="F275" i="6"/>
  <c r="C219" i="5"/>
  <c r="F218" i="5"/>
  <c r="E218" i="5"/>
  <c r="C209" i="4"/>
  <c r="E208" i="4"/>
  <c r="F208" i="4"/>
  <c r="C218" i="3"/>
  <c r="E217" i="3"/>
  <c r="F217" i="3"/>
  <c r="E208" i="2"/>
  <c r="C209" i="2"/>
  <c r="F208" i="2"/>
  <c r="E277" i="1"/>
  <c r="C278" i="1"/>
  <c r="F277" i="1"/>
  <c r="F213" i="19" l="1"/>
  <c r="C219" i="13"/>
  <c r="F218" i="13"/>
  <c r="E218" i="13"/>
  <c r="B223" i="12"/>
  <c r="E222" i="12"/>
  <c r="D222" i="12"/>
  <c r="C210" i="10"/>
  <c r="F209" i="10"/>
  <c r="E209" i="10"/>
  <c r="F276" i="9"/>
  <c r="E276" i="9"/>
  <c r="C277" i="9"/>
  <c r="F276" i="8"/>
  <c r="E276" i="8"/>
  <c r="C277" i="8"/>
  <c r="C373" i="7"/>
  <c r="E372" i="7"/>
  <c r="F372" i="7"/>
  <c r="F276" i="6"/>
  <c r="E276" i="6"/>
  <c r="C277" i="6"/>
  <c r="C220" i="5"/>
  <c r="F219" i="5"/>
  <c r="E219" i="5"/>
  <c r="C210" i="4"/>
  <c r="F209" i="4"/>
  <c r="E209" i="4"/>
  <c r="C219" i="3"/>
  <c r="E218" i="3"/>
  <c r="F218" i="3"/>
  <c r="C210" i="2"/>
  <c r="E209" i="2"/>
  <c r="F209" i="2"/>
  <c r="E278" i="1"/>
  <c r="C279" i="1"/>
  <c r="F278" i="1"/>
  <c r="F214" i="19" l="1"/>
  <c r="E219" i="13"/>
  <c r="C220" i="13"/>
  <c r="F219" i="13"/>
  <c r="D223" i="12"/>
  <c r="E223" i="12"/>
  <c r="B224" i="12"/>
  <c r="F210" i="10"/>
  <c r="E210" i="10"/>
  <c r="C211" i="10"/>
  <c r="C278" i="9"/>
  <c r="F277" i="9"/>
  <c r="E277" i="9"/>
  <c r="E277" i="8"/>
  <c r="F277" i="8"/>
  <c r="C278" i="8"/>
  <c r="F373" i="7"/>
  <c r="E373" i="7"/>
  <c r="C374" i="7"/>
  <c r="C278" i="6"/>
  <c r="F277" i="6"/>
  <c r="E277" i="6"/>
  <c r="C221" i="5"/>
  <c r="F220" i="5"/>
  <c r="E220" i="5"/>
  <c r="F210" i="4"/>
  <c r="E210" i="4"/>
  <c r="C211" i="4"/>
  <c r="C220" i="3"/>
  <c r="F219" i="3"/>
  <c r="E219" i="3"/>
  <c r="E210" i="2"/>
  <c r="C211" i="2"/>
  <c r="F210" i="2"/>
  <c r="F279" i="1"/>
  <c r="C280" i="1"/>
  <c r="E279" i="1"/>
  <c r="F215" i="19" l="1"/>
  <c r="C221" i="13"/>
  <c r="F220" i="13"/>
  <c r="E220" i="13"/>
  <c r="B225" i="12"/>
  <c r="E224" i="12"/>
  <c r="D224" i="12"/>
  <c r="C212" i="10"/>
  <c r="F211" i="10"/>
  <c r="E211" i="10"/>
  <c r="E278" i="9"/>
  <c r="C279" i="9"/>
  <c r="F278" i="9"/>
  <c r="C279" i="8"/>
  <c r="E278" i="8"/>
  <c r="F278" i="8"/>
  <c r="C375" i="7"/>
  <c r="F374" i="7"/>
  <c r="E374" i="7"/>
  <c r="F278" i="6"/>
  <c r="E278" i="6"/>
  <c r="C279" i="6"/>
  <c r="C222" i="5"/>
  <c r="E221" i="5"/>
  <c r="F221" i="5"/>
  <c r="C212" i="4"/>
  <c r="F211" i="4"/>
  <c r="E211" i="4"/>
  <c r="C221" i="3"/>
  <c r="F220" i="3"/>
  <c r="E220" i="3"/>
  <c r="C212" i="2"/>
  <c r="E211" i="2"/>
  <c r="F211" i="2"/>
  <c r="C281" i="1"/>
  <c r="F280" i="1"/>
  <c r="E280" i="1"/>
  <c r="F216" i="19" l="1"/>
  <c r="C222" i="13"/>
  <c r="E221" i="13"/>
  <c r="F221" i="13"/>
  <c r="B226" i="12"/>
  <c r="E225" i="12"/>
  <c r="D225" i="12"/>
  <c r="E212" i="10"/>
  <c r="C213" i="10"/>
  <c r="F212" i="10"/>
  <c r="F279" i="9"/>
  <c r="C280" i="9"/>
  <c r="E279" i="9"/>
  <c r="E279" i="8"/>
  <c r="C280" i="8"/>
  <c r="F279" i="8"/>
  <c r="C376" i="7"/>
  <c r="F375" i="7"/>
  <c r="E375" i="7"/>
  <c r="C280" i="6"/>
  <c r="F279" i="6"/>
  <c r="E279" i="6"/>
  <c r="C223" i="5"/>
  <c r="F222" i="5"/>
  <c r="E222" i="5"/>
  <c r="E212" i="4"/>
  <c r="C213" i="4"/>
  <c r="F212" i="4"/>
  <c r="F221" i="3"/>
  <c r="C222" i="3"/>
  <c r="E221" i="3"/>
  <c r="E212" i="2"/>
  <c r="C213" i="2"/>
  <c r="F212" i="2"/>
  <c r="F281" i="1"/>
  <c r="E281" i="1"/>
  <c r="C282" i="1"/>
  <c r="F217" i="19" l="1"/>
  <c r="C223" i="13"/>
  <c r="F222" i="13"/>
  <c r="E222" i="13"/>
  <c r="D226" i="12"/>
  <c r="B227" i="12"/>
  <c r="E226" i="12"/>
  <c r="F213" i="10"/>
  <c r="E213" i="10"/>
  <c r="C214" i="10"/>
  <c r="C281" i="9"/>
  <c r="F280" i="9"/>
  <c r="E280" i="9"/>
  <c r="F280" i="8"/>
  <c r="E280" i="8"/>
  <c r="C281" i="8"/>
  <c r="F376" i="7"/>
  <c r="E376" i="7"/>
  <c r="C377" i="7"/>
  <c r="C281" i="6"/>
  <c r="F280" i="6"/>
  <c r="E280" i="6"/>
  <c r="F223" i="5"/>
  <c r="E223" i="5"/>
  <c r="C224" i="5"/>
  <c r="F213" i="4"/>
  <c r="C214" i="4"/>
  <c r="E213" i="4"/>
  <c r="C223" i="3"/>
  <c r="F222" i="3"/>
  <c r="E222" i="3"/>
  <c r="C214" i="2"/>
  <c r="E213" i="2"/>
  <c r="F213" i="2"/>
  <c r="C283" i="1"/>
  <c r="F282" i="1"/>
  <c r="E282" i="1"/>
  <c r="F218" i="19" l="1"/>
  <c r="C224" i="13"/>
  <c r="E223" i="13"/>
  <c r="F223" i="13"/>
  <c r="B228" i="12"/>
  <c r="E227" i="12"/>
  <c r="D227" i="12"/>
  <c r="C215" i="10"/>
  <c r="E214" i="10"/>
  <c r="F214" i="10"/>
  <c r="F281" i="9"/>
  <c r="E281" i="9"/>
  <c r="C282" i="9"/>
  <c r="C282" i="8"/>
  <c r="E281" i="8"/>
  <c r="F281" i="8"/>
  <c r="C378" i="7"/>
  <c r="F377" i="7"/>
  <c r="E377" i="7"/>
  <c r="F281" i="6"/>
  <c r="E281" i="6"/>
  <c r="C282" i="6"/>
  <c r="C225" i="5"/>
  <c r="F224" i="5"/>
  <c r="E224" i="5"/>
  <c r="C215" i="4"/>
  <c r="F214" i="4"/>
  <c r="E214" i="4"/>
  <c r="F223" i="3"/>
  <c r="E223" i="3"/>
  <c r="C224" i="3"/>
  <c r="E214" i="2"/>
  <c r="C215" i="2"/>
  <c r="F214" i="2"/>
  <c r="E283" i="1"/>
  <c r="F283" i="1"/>
  <c r="C284" i="1"/>
  <c r="F219" i="19" l="1"/>
  <c r="E224" i="13"/>
  <c r="F224" i="13"/>
  <c r="C225" i="13"/>
  <c r="E228" i="12"/>
  <c r="D228" i="12"/>
  <c r="B229" i="12"/>
  <c r="F215" i="10"/>
  <c r="E215" i="10"/>
  <c r="C216" i="10"/>
  <c r="C283" i="9"/>
  <c r="E282" i="9"/>
  <c r="F282" i="9"/>
  <c r="F282" i="8"/>
  <c r="C283" i="8"/>
  <c r="E282" i="8"/>
  <c r="E378" i="7"/>
  <c r="C379" i="7"/>
  <c r="F378" i="7"/>
  <c r="C283" i="6"/>
  <c r="F282" i="6"/>
  <c r="E282" i="6"/>
  <c r="F225" i="5"/>
  <c r="E225" i="5"/>
  <c r="C226" i="5"/>
  <c r="F215" i="4"/>
  <c r="E215" i="4"/>
  <c r="C216" i="4"/>
  <c r="F224" i="3"/>
  <c r="C225" i="3"/>
  <c r="E224" i="3"/>
  <c r="C216" i="2"/>
  <c r="E215" i="2"/>
  <c r="F215" i="2"/>
  <c r="E284" i="1"/>
  <c r="C285" i="1"/>
  <c r="F284" i="1"/>
  <c r="F220" i="19" l="1"/>
  <c r="C226" i="13"/>
  <c r="E225" i="13"/>
  <c r="F225" i="13"/>
  <c r="B230" i="12"/>
  <c r="E229" i="12"/>
  <c r="D229" i="12"/>
  <c r="C217" i="10"/>
  <c r="F216" i="10"/>
  <c r="E216" i="10"/>
  <c r="F283" i="9"/>
  <c r="E283" i="9"/>
  <c r="C284" i="9"/>
  <c r="C284" i="8"/>
  <c r="F283" i="8"/>
  <c r="E283" i="8"/>
  <c r="F379" i="7"/>
  <c r="E379" i="7"/>
  <c r="C380" i="7"/>
  <c r="E283" i="6"/>
  <c r="C284" i="6"/>
  <c r="F283" i="6"/>
  <c r="C227" i="5"/>
  <c r="F226" i="5"/>
  <c r="E226" i="5"/>
  <c r="C217" i="4"/>
  <c r="E216" i="4"/>
  <c r="F216" i="4"/>
  <c r="F225" i="3"/>
  <c r="E225" i="3"/>
  <c r="C226" i="3"/>
  <c r="E216" i="2"/>
  <c r="F216" i="2"/>
  <c r="C217" i="2"/>
  <c r="F285" i="1"/>
  <c r="C286" i="1"/>
  <c r="E285" i="1"/>
  <c r="F221" i="19" l="1"/>
  <c r="E226" i="13"/>
  <c r="C227" i="13"/>
  <c r="F226" i="13"/>
  <c r="B231" i="12"/>
  <c r="E230" i="12"/>
  <c r="D230" i="12"/>
  <c r="C218" i="10"/>
  <c r="F217" i="10"/>
  <c r="E217" i="10"/>
  <c r="F284" i="9"/>
  <c r="E284" i="9"/>
  <c r="C285" i="9"/>
  <c r="F284" i="8"/>
  <c r="C285" i="8"/>
  <c r="E284" i="8"/>
  <c r="C381" i="7"/>
  <c r="E380" i="7"/>
  <c r="F380" i="7"/>
  <c r="F284" i="6"/>
  <c r="E284" i="6"/>
  <c r="C285" i="6"/>
  <c r="C228" i="5"/>
  <c r="F227" i="5"/>
  <c r="E227" i="5"/>
  <c r="F217" i="4"/>
  <c r="E217" i="4"/>
  <c r="C218" i="4"/>
  <c r="C227" i="3"/>
  <c r="E226" i="3"/>
  <c r="F226" i="3"/>
  <c r="C218" i="2"/>
  <c r="E217" i="2"/>
  <c r="F217" i="2"/>
  <c r="C287" i="1"/>
  <c r="F286" i="1"/>
  <c r="E286" i="1"/>
  <c r="F222" i="19" l="1"/>
  <c r="C228" i="13"/>
  <c r="E227" i="13"/>
  <c r="F227" i="13"/>
  <c r="D231" i="12"/>
  <c r="E231" i="12"/>
  <c r="B232" i="12"/>
  <c r="F218" i="10"/>
  <c r="E218" i="10"/>
  <c r="C219" i="10"/>
  <c r="C286" i="9"/>
  <c r="F285" i="9"/>
  <c r="E285" i="9"/>
  <c r="E285" i="8"/>
  <c r="C286" i="8"/>
  <c r="F285" i="8"/>
  <c r="F381" i="7"/>
  <c r="E381" i="7"/>
  <c r="C382" i="7"/>
  <c r="C286" i="6"/>
  <c r="F285" i="6"/>
  <c r="E285" i="6"/>
  <c r="F228" i="5"/>
  <c r="E228" i="5"/>
  <c r="C229" i="5"/>
  <c r="F218" i="4"/>
  <c r="E218" i="4"/>
  <c r="C219" i="4"/>
  <c r="E227" i="3"/>
  <c r="C228" i="3"/>
  <c r="F227" i="3"/>
  <c r="E218" i="2"/>
  <c r="C219" i="2"/>
  <c r="F218" i="2"/>
  <c r="F287" i="1"/>
  <c r="C288" i="1"/>
  <c r="E287" i="1"/>
  <c r="F223" i="19" l="1"/>
  <c r="E228" i="13"/>
  <c r="F228" i="13"/>
  <c r="C229" i="13"/>
  <c r="B233" i="12"/>
  <c r="E232" i="12"/>
  <c r="D232" i="12"/>
  <c r="C220" i="10"/>
  <c r="F219" i="10"/>
  <c r="E219" i="10"/>
  <c r="E286" i="9"/>
  <c r="C287" i="9"/>
  <c r="F286" i="9"/>
  <c r="E286" i="8"/>
  <c r="C287" i="8"/>
  <c r="F286" i="8"/>
  <c r="C383" i="7"/>
  <c r="F382" i="7"/>
  <c r="E382" i="7"/>
  <c r="F286" i="6"/>
  <c r="E286" i="6"/>
  <c r="C287" i="6"/>
  <c r="C230" i="5"/>
  <c r="E229" i="5"/>
  <c r="F229" i="5"/>
  <c r="C220" i="4"/>
  <c r="F219" i="4"/>
  <c r="E219" i="4"/>
  <c r="F228" i="3"/>
  <c r="C229" i="3"/>
  <c r="E228" i="3"/>
  <c r="C220" i="2"/>
  <c r="E219" i="2"/>
  <c r="F219" i="2"/>
  <c r="C289" i="1"/>
  <c r="F288" i="1"/>
  <c r="E288" i="1"/>
  <c r="F224" i="19" l="1"/>
  <c r="C230" i="13"/>
  <c r="E229" i="13"/>
  <c r="F229" i="13"/>
  <c r="B234" i="12"/>
  <c r="E233" i="12"/>
  <c r="D233" i="12"/>
  <c r="E220" i="10"/>
  <c r="C221" i="10"/>
  <c r="F220" i="10"/>
  <c r="F287" i="9"/>
  <c r="C288" i="9"/>
  <c r="E287" i="9"/>
  <c r="E287" i="8"/>
  <c r="C288" i="8"/>
  <c r="F287" i="8"/>
  <c r="C384" i="7"/>
  <c r="F383" i="7"/>
  <c r="E383" i="7"/>
  <c r="C288" i="6"/>
  <c r="F287" i="6"/>
  <c r="E287" i="6"/>
  <c r="E230" i="5"/>
  <c r="F230" i="5"/>
  <c r="C231" i="5"/>
  <c r="E220" i="4"/>
  <c r="C221" i="4"/>
  <c r="F220" i="4"/>
  <c r="C230" i="3"/>
  <c r="F229" i="3"/>
  <c r="E229" i="3"/>
  <c r="E220" i="2"/>
  <c r="F220" i="2"/>
  <c r="C221" i="2"/>
  <c r="C290" i="1"/>
  <c r="F289" i="1"/>
  <c r="E289" i="1"/>
  <c r="C385" i="7" l="1"/>
  <c r="F225" i="19"/>
  <c r="E230" i="13"/>
  <c r="C231" i="13"/>
  <c r="F230" i="13"/>
  <c r="B235" i="12"/>
  <c r="E234" i="12"/>
  <c r="D234" i="12"/>
  <c r="F221" i="10"/>
  <c r="E221" i="10"/>
  <c r="C222" i="10"/>
  <c r="C289" i="9"/>
  <c r="F288" i="9"/>
  <c r="E288" i="9"/>
  <c r="F288" i="8"/>
  <c r="C289" i="8"/>
  <c r="E288" i="8"/>
  <c r="F384" i="7"/>
  <c r="E384" i="7"/>
  <c r="C289" i="6"/>
  <c r="F288" i="6"/>
  <c r="E288" i="6"/>
  <c r="C232" i="5"/>
  <c r="F231" i="5"/>
  <c r="E231" i="5"/>
  <c r="F221" i="4"/>
  <c r="C222" i="4"/>
  <c r="E221" i="4"/>
  <c r="E230" i="3"/>
  <c r="C231" i="3"/>
  <c r="F230" i="3"/>
  <c r="C222" i="2"/>
  <c r="E221" i="2"/>
  <c r="F221" i="2"/>
  <c r="E290" i="1"/>
  <c r="F290" i="1"/>
  <c r="C291" i="1"/>
  <c r="C386" i="7" l="1"/>
  <c r="F385" i="7"/>
  <c r="E385" i="7"/>
  <c r="F226" i="19"/>
  <c r="C232" i="13"/>
  <c r="E231" i="13"/>
  <c r="F231" i="13"/>
  <c r="B236" i="12"/>
  <c r="E235" i="12"/>
  <c r="D235" i="12"/>
  <c r="C223" i="10"/>
  <c r="E222" i="10"/>
  <c r="F222" i="10"/>
  <c r="F289" i="9"/>
  <c r="E289" i="9"/>
  <c r="C290" i="9"/>
  <c r="E289" i="8"/>
  <c r="C290" i="8"/>
  <c r="F289" i="8"/>
  <c r="F289" i="6"/>
  <c r="E289" i="6"/>
  <c r="C290" i="6"/>
  <c r="E232" i="5"/>
  <c r="F232" i="5"/>
  <c r="C233" i="5"/>
  <c r="C223" i="4"/>
  <c r="F222" i="4"/>
  <c r="E222" i="4"/>
  <c r="F231" i="3"/>
  <c r="E231" i="3"/>
  <c r="C232" i="3"/>
  <c r="E222" i="2"/>
  <c r="F222" i="2"/>
  <c r="C223" i="2"/>
  <c r="C292" i="1"/>
  <c r="F291" i="1"/>
  <c r="E291" i="1"/>
  <c r="C387" i="7" l="1"/>
  <c r="F386" i="7"/>
  <c r="E386" i="7"/>
  <c r="B237" i="12"/>
  <c r="F227" i="19"/>
  <c r="E232" i="13"/>
  <c r="F232" i="13"/>
  <c r="C233" i="13"/>
  <c r="E236" i="12"/>
  <c r="D236" i="12"/>
  <c r="F223" i="10"/>
  <c r="E223" i="10"/>
  <c r="C224" i="10"/>
  <c r="C291" i="9"/>
  <c r="E290" i="9"/>
  <c r="F290" i="9"/>
  <c r="F290" i="8"/>
  <c r="C291" i="8"/>
  <c r="E290" i="8"/>
  <c r="C291" i="6"/>
  <c r="F290" i="6"/>
  <c r="E290" i="6"/>
  <c r="F233" i="5"/>
  <c r="C234" i="5"/>
  <c r="E233" i="5"/>
  <c r="F223" i="4"/>
  <c r="E223" i="4"/>
  <c r="C224" i="4"/>
  <c r="F232" i="3"/>
  <c r="E232" i="3"/>
  <c r="C233" i="3"/>
  <c r="C224" i="2"/>
  <c r="E223" i="2"/>
  <c r="F223" i="2"/>
  <c r="E292" i="1"/>
  <c r="F292" i="1"/>
  <c r="C293" i="1"/>
  <c r="F387" i="7" l="1"/>
  <c r="G382" i="7"/>
  <c r="G374" i="7"/>
  <c r="G366" i="7"/>
  <c r="G358" i="7"/>
  <c r="G350" i="7"/>
  <c r="G342" i="7"/>
  <c r="G334" i="7"/>
  <c r="G326" i="7"/>
  <c r="G318" i="7"/>
  <c r="G310" i="7"/>
  <c r="G302" i="7"/>
  <c r="G294" i="7"/>
  <c r="G286" i="7"/>
  <c r="G278" i="7"/>
  <c r="G270" i="7"/>
  <c r="G262" i="7"/>
  <c r="G254" i="7"/>
  <c r="G246" i="7"/>
  <c r="G238" i="7"/>
  <c r="G230" i="7"/>
  <c r="G222" i="7"/>
  <c r="G214" i="7"/>
  <c r="G206" i="7"/>
  <c r="G198" i="7"/>
  <c r="G190" i="7"/>
  <c r="G182" i="7"/>
  <c r="G174" i="7"/>
  <c r="G166" i="7"/>
  <c r="G158" i="7"/>
  <c r="G150" i="7"/>
  <c r="G142" i="7"/>
  <c r="G134" i="7"/>
  <c r="G125" i="7"/>
  <c r="G116" i="7"/>
  <c r="G108" i="7"/>
  <c r="G99" i="7"/>
  <c r="G90" i="7"/>
  <c r="G82" i="7"/>
  <c r="G73" i="7"/>
  <c r="G64" i="7"/>
  <c r="G56" i="7"/>
  <c r="G47" i="7"/>
  <c r="G38" i="7"/>
  <c r="G30" i="7"/>
  <c r="G21" i="7"/>
  <c r="G12" i="7"/>
  <c r="E387" i="7"/>
  <c r="G381" i="7"/>
  <c r="G373" i="7"/>
  <c r="G365" i="7"/>
  <c r="G357" i="7"/>
  <c r="G349" i="7"/>
  <c r="G341" i="7"/>
  <c r="G333" i="7"/>
  <c r="G325" i="7"/>
  <c r="G317" i="7"/>
  <c r="G309" i="7"/>
  <c r="G301" i="7"/>
  <c r="G293" i="7"/>
  <c r="G285" i="7"/>
  <c r="G277" i="7"/>
  <c r="G269" i="7"/>
  <c r="G261" i="7"/>
  <c r="G253" i="7"/>
  <c r="G245" i="7"/>
  <c r="G237" i="7"/>
  <c r="G229" i="7"/>
  <c r="G221" i="7"/>
  <c r="G213" i="7"/>
  <c r="G205" i="7"/>
  <c r="G197" i="7"/>
  <c r="G189" i="7"/>
  <c r="G181" i="7"/>
  <c r="G173" i="7"/>
  <c r="G165" i="7"/>
  <c r="G157" i="7"/>
  <c r="G149" i="7"/>
  <c r="G141" i="7"/>
  <c r="G133" i="7"/>
  <c r="G124" i="7"/>
  <c r="G115" i="7"/>
  <c r="G107" i="7"/>
  <c r="G98" i="7"/>
  <c r="G89" i="7"/>
  <c r="G81" i="7"/>
  <c r="G72" i="7"/>
  <c r="G63" i="7"/>
  <c r="G55" i="7"/>
  <c r="G46" i="7"/>
  <c r="G37" i="7"/>
  <c r="G29" i="7"/>
  <c r="G20" i="7"/>
  <c r="G11" i="7"/>
  <c r="G380" i="7"/>
  <c r="G372" i="7"/>
  <c r="G364" i="7"/>
  <c r="G356" i="7"/>
  <c r="G348" i="7"/>
  <c r="G340" i="7"/>
  <c r="G332" i="7"/>
  <c r="G324" i="7"/>
  <c r="G316" i="7"/>
  <c r="G308" i="7"/>
  <c r="G300" i="7"/>
  <c r="G292" i="7"/>
  <c r="G284" i="7"/>
  <c r="G276" i="7"/>
  <c r="G268" i="7"/>
  <c r="G260" i="7"/>
  <c r="G252" i="7"/>
  <c r="G244" i="7"/>
  <c r="G236" i="7"/>
  <c r="G228" i="7"/>
  <c r="G220" i="7"/>
  <c r="G212" i="7"/>
  <c r="G204" i="7"/>
  <c r="G196" i="7"/>
  <c r="G188" i="7"/>
  <c r="G180" i="7"/>
  <c r="G172" i="7"/>
  <c r="G164" i="7"/>
  <c r="G156" i="7"/>
  <c r="G148" i="7"/>
  <c r="G140" i="7"/>
  <c r="G132" i="7"/>
  <c r="G123" i="7"/>
  <c r="G114" i="7"/>
  <c r="G106" i="7"/>
  <c r="G97" i="7"/>
  <c r="G88" i="7"/>
  <c r="G80" i="7"/>
  <c r="G71" i="7"/>
  <c r="G62" i="7"/>
  <c r="G54" i="7"/>
  <c r="G45" i="7"/>
  <c r="G36" i="7"/>
  <c r="G28" i="7"/>
  <c r="G19" i="7"/>
  <c r="G10" i="7"/>
  <c r="G267" i="7"/>
  <c r="G171" i="7"/>
  <c r="G139" i="7"/>
  <c r="G122" i="7"/>
  <c r="G104" i="7"/>
  <c r="G96" i="7"/>
  <c r="G78" i="7"/>
  <c r="G70" i="7"/>
  <c r="G52" i="7"/>
  <c r="G44" i="7"/>
  <c r="G26" i="7"/>
  <c r="G18" i="7"/>
  <c r="G387" i="7"/>
  <c r="G379" i="7"/>
  <c r="G371" i="7"/>
  <c r="G363" i="7"/>
  <c r="G355" i="7"/>
  <c r="G347" i="7"/>
  <c r="G339" i="7"/>
  <c r="G331" i="7"/>
  <c r="G323" i="7"/>
  <c r="G315" i="7"/>
  <c r="G307" i="7"/>
  <c r="G299" i="7"/>
  <c r="G291" i="7"/>
  <c r="G283" i="7"/>
  <c r="G275" i="7"/>
  <c r="G259" i="7"/>
  <c r="G251" i="7"/>
  <c r="G243" i="7"/>
  <c r="G235" i="7"/>
  <c r="G227" i="7"/>
  <c r="G219" i="7"/>
  <c r="G211" i="7"/>
  <c r="G203" i="7"/>
  <c r="G195" i="7"/>
  <c r="G187" i="7"/>
  <c r="G179" i="7"/>
  <c r="G163" i="7"/>
  <c r="G155" i="7"/>
  <c r="G147" i="7"/>
  <c r="G130" i="7"/>
  <c r="G113" i="7"/>
  <c r="G87" i="7"/>
  <c r="G61" i="7"/>
  <c r="G35" i="7"/>
  <c r="G9" i="7"/>
  <c r="G386" i="7"/>
  <c r="G378" i="7"/>
  <c r="G370" i="7"/>
  <c r="G362" i="7"/>
  <c r="G354" i="7"/>
  <c r="G346" i="7"/>
  <c r="G338" i="7"/>
  <c r="G330" i="7"/>
  <c r="G322" i="7"/>
  <c r="G314" i="7"/>
  <c r="G306" i="7"/>
  <c r="G298" i="7"/>
  <c r="G290" i="7"/>
  <c r="G282" i="7"/>
  <c r="G274" i="7"/>
  <c r="G266" i="7"/>
  <c r="G258" i="7"/>
  <c r="G250" i="7"/>
  <c r="G242" i="7"/>
  <c r="G234" i="7"/>
  <c r="G226" i="7"/>
  <c r="G218" i="7"/>
  <c r="G210" i="7"/>
  <c r="G202" i="7"/>
  <c r="G194" i="7"/>
  <c r="G186" i="7"/>
  <c r="G178" i="7"/>
  <c r="G170" i="7"/>
  <c r="G162" i="7"/>
  <c r="G154" i="7"/>
  <c r="G146" i="7"/>
  <c r="G138" i="7"/>
  <c r="G129" i="7"/>
  <c r="G121" i="7"/>
  <c r="G112" i="7"/>
  <c r="G103" i="7"/>
  <c r="G95" i="7"/>
  <c r="G86" i="7"/>
  <c r="G77" i="7"/>
  <c r="G69" i="7"/>
  <c r="G60" i="7"/>
  <c r="G51" i="7"/>
  <c r="G43" i="7"/>
  <c r="G34" i="7"/>
  <c r="G25" i="7"/>
  <c r="G17" i="7"/>
  <c r="G8" i="7"/>
  <c r="G385" i="7"/>
  <c r="G377" i="7"/>
  <c r="G369" i="7"/>
  <c r="G361" i="7"/>
  <c r="G353" i="7"/>
  <c r="G345" i="7"/>
  <c r="G337" i="7"/>
  <c r="G329" i="7"/>
  <c r="G321" i="7"/>
  <c r="G313" i="7"/>
  <c r="G305" i="7"/>
  <c r="G297" i="7"/>
  <c r="G289" i="7"/>
  <c r="G281" i="7"/>
  <c r="G273" i="7"/>
  <c r="G265" i="7"/>
  <c r="G257" i="7"/>
  <c r="G249" i="7"/>
  <c r="G241" i="7"/>
  <c r="G233" i="7"/>
  <c r="G225" i="7"/>
  <c r="G217" i="7"/>
  <c r="G201" i="7"/>
  <c r="G193" i="7"/>
  <c r="G185" i="7"/>
  <c r="G177" i="7"/>
  <c r="G169" i="7"/>
  <c r="G161" i="7"/>
  <c r="G153" i="7"/>
  <c r="G145" i="7"/>
  <c r="G137" i="7"/>
  <c r="G128" i="7"/>
  <c r="G384" i="7"/>
  <c r="G376" i="7"/>
  <c r="G368" i="7"/>
  <c r="G360" i="7"/>
  <c r="G352" i="7"/>
  <c r="G344" i="7"/>
  <c r="G336" i="7"/>
  <c r="G328" i="7"/>
  <c r="G320" i="7"/>
  <c r="G312" i="7"/>
  <c r="G304" i="7"/>
  <c r="G296" i="7"/>
  <c r="G288" i="7"/>
  <c r="G280" i="7"/>
  <c r="G272" i="7"/>
  <c r="G264" i="7"/>
  <c r="G256" i="7"/>
  <c r="G248" i="7"/>
  <c r="G240" i="7"/>
  <c r="G232" i="7"/>
  <c r="G224" i="7"/>
  <c r="G216" i="7"/>
  <c r="G208" i="7"/>
  <c r="G200" i="7"/>
  <c r="G192" i="7"/>
  <c r="G184" i="7"/>
  <c r="G176" i="7"/>
  <c r="G168" i="7"/>
  <c r="G160" i="7"/>
  <c r="G152" i="7"/>
  <c r="G144" i="7"/>
  <c r="G136" i="7"/>
  <c r="G127" i="7"/>
  <c r="G119" i="7"/>
  <c r="G110" i="7"/>
  <c r="G101" i="7"/>
  <c r="G93" i="7"/>
  <c r="G84" i="7"/>
  <c r="G75" i="7"/>
  <c r="G67" i="7"/>
  <c r="G58" i="7"/>
  <c r="G49" i="7"/>
  <c r="G41" i="7"/>
  <c r="G32" i="7"/>
  <c r="G23" i="7"/>
  <c r="G15" i="7"/>
  <c r="G375" i="7"/>
  <c r="G367" i="7"/>
  <c r="G359" i="7"/>
  <c r="G351" i="7"/>
  <c r="G343" i="7"/>
  <c r="G335" i="7"/>
  <c r="G327" i="7"/>
  <c r="G319" i="7"/>
  <c r="G311" i="7"/>
  <c r="G303" i="7"/>
  <c r="G295" i="7"/>
  <c r="G287" i="7"/>
  <c r="G279" i="7"/>
  <c r="G271" i="7"/>
  <c r="G263" i="7"/>
  <c r="G255" i="7"/>
  <c r="G247" i="7"/>
  <c r="G239" i="7"/>
  <c r="G231" i="7"/>
  <c r="G223" i="7"/>
  <c r="G215" i="7"/>
  <c r="G207" i="7"/>
  <c r="G199" i="7"/>
  <c r="G191" i="7"/>
  <c r="G183" i="7"/>
  <c r="G175" i="7"/>
  <c r="G167" i="7"/>
  <c r="G159" i="7"/>
  <c r="G151" i="7"/>
  <c r="G143" i="7"/>
  <c r="G135" i="7"/>
  <c r="G126" i="7"/>
  <c r="G117" i="7"/>
  <c r="G109" i="7"/>
  <c r="G100" i="7"/>
  <c r="G91" i="7"/>
  <c r="G83" i="7"/>
  <c r="G74" i="7"/>
  <c r="G65" i="7"/>
  <c r="G383" i="7"/>
  <c r="G85" i="7"/>
  <c r="G39" i="7"/>
  <c r="G76" i="7"/>
  <c r="G33" i="7"/>
  <c r="G16" i="7"/>
  <c r="G68" i="7"/>
  <c r="G31" i="7"/>
  <c r="G50" i="7"/>
  <c r="G209" i="7"/>
  <c r="G59" i="7"/>
  <c r="G24" i="7"/>
  <c r="G111" i="7"/>
  <c r="G120" i="7"/>
  <c r="G57" i="7"/>
  <c r="G22" i="7"/>
  <c r="G102" i="7"/>
  <c r="G48" i="7"/>
  <c r="G13" i="7"/>
  <c r="G94" i="7"/>
  <c r="G42" i="7"/>
  <c r="G7" i="7"/>
  <c r="B238" i="12"/>
  <c r="D237" i="12"/>
  <c r="E237" i="12"/>
  <c r="F228" i="19"/>
  <c r="C234" i="13"/>
  <c r="E233" i="13"/>
  <c r="F233" i="13"/>
  <c r="C225" i="10"/>
  <c r="F224" i="10"/>
  <c r="E224" i="10"/>
  <c r="F291" i="9"/>
  <c r="E291" i="9"/>
  <c r="C292" i="9"/>
  <c r="C292" i="8"/>
  <c r="F291" i="8"/>
  <c r="E291" i="8"/>
  <c r="E291" i="6"/>
  <c r="C292" i="6"/>
  <c r="F291" i="6"/>
  <c r="C235" i="5"/>
  <c r="F234" i="5"/>
  <c r="E234" i="5"/>
  <c r="C225" i="4"/>
  <c r="E224" i="4"/>
  <c r="F224" i="4"/>
  <c r="F233" i="3"/>
  <c r="E233" i="3"/>
  <c r="C234" i="3"/>
  <c r="E224" i="2"/>
  <c r="C225" i="2"/>
  <c r="F224" i="2"/>
  <c r="C294" i="1"/>
  <c r="F293" i="1"/>
  <c r="E293" i="1"/>
  <c r="B239" i="12" l="1"/>
  <c r="D238" i="12"/>
  <c r="E238" i="12"/>
  <c r="F229" i="19"/>
  <c r="E234" i="13"/>
  <c r="C235" i="13"/>
  <c r="F234" i="13"/>
  <c r="C226" i="10"/>
  <c r="F225" i="10"/>
  <c r="E225" i="10"/>
  <c r="F292" i="9"/>
  <c r="E292" i="9"/>
  <c r="C293" i="9"/>
  <c r="F292" i="8"/>
  <c r="E292" i="8"/>
  <c r="C293" i="8"/>
  <c r="F292" i="6"/>
  <c r="E292" i="6"/>
  <c r="C293" i="6"/>
  <c r="F235" i="5"/>
  <c r="E235" i="5"/>
  <c r="C236" i="5"/>
  <c r="C226" i="4"/>
  <c r="F225" i="4"/>
  <c r="E225" i="4"/>
  <c r="C235" i="3"/>
  <c r="E234" i="3"/>
  <c r="F234" i="3"/>
  <c r="C226" i="2"/>
  <c r="E225" i="2"/>
  <c r="F225" i="2"/>
  <c r="E294" i="1"/>
  <c r="F294" i="1"/>
  <c r="C295" i="1"/>
  <c r="E239" i="12" l="1"/>
  <c r="D239" i="12"/>
  <c r="F230" i="19"/>
  <c r="C236" i="13"/>
  <c r="E235" i="13"/>
  <c r="F235" i="13"/>
  <c r="F226" i="10"/>
  <c r="E226" i="10"/>
  <c r="C227" i="10"/>
  <c r="C294" i="9"/>
  <c r="F293" i="9"/>
  <c r="E293" i="9"/>
  <c r="E293" i="8"/>
  <c r="C294" i="8"/>
  <c r="F293" i="8"/>
  <c r="C294" i="6"/>
  <c r="F293" i="6"/>
  <c r="E293" i="6"/>
  <c r="C237" i="5"/>
  <c r="E236" i="5"/>
  <c r="F236" i="5"/>
  <c r="F226" i="4"/>
  <c r="E226" i="4"/>
  <c r="C227" i="4"/>
  <c r="C236" i="3"/>
  <c r="F235" i="3"/>
  <c r="E235" i="3"/>
  <c r="E226" i="2"/>
  <c r="F226" i="2"/>
  <c r="C227" i="2"/>
  <c r="F295" i="1"/>
  <c r="C296" i="1"/>
  <c r="E295" i="1"/>
  <c r="F231" i="19" l="1"/>
  <c r="E236" i="13"/>
  <c r="C237" i="13"/>
  <c r="F236" i="13"/>
  <c r="C228" i="10"/>
  <c r="F227" i="10"/>
  <c r="E227" i="10"/>
  <c r="E294" i="9"/>
  <c r="C295" i="9"/>
  <c r="F294" i="9"/>
  <c r="C295" i="8"/>
  <c r="E294" i="8"/>
  <c r="F294" i="8"/>
  <c r="F294" i="6"/>
  <c r="E294" i="6"/>
  <c r="C295" i="6"/>
  <c r="F237" i="5"/>
  <c r="E237" i="5"/>
  <c r="C238" i="5"/>
  <c r="C228" i="4"/>
  <c r="F227" i="4"/>
  <c r="E227" i="4"/>
  <c r="F236" i="3"/>
  <c r="C237" i="3"/>
  <c r="E236" i="3"/>
  <c r="C228" i="2"/>
  <c r="E227" i="2"/>
  <c r="F227" i="2"/>
  <c r="C297" i="1"/>
  <c r="F296" i="1"/>
  <c r="E296" i="1"/>
  <c r="F232" i="19" l="1"/>
  <c r="F237" i="13"/>
  <c r="E237" i="13"/>
  <c r="C238" i="13"/>
  <c r="E228" i="10"/>
  <c r="C229" i="10"/>
  <c r="F228" i="10"/>
  <c r="F295" i="9"/>
  <c r="C296" i="9"/>
  <c r="E295" i="9"/>
  <c r="E295" i="8"/>
  <c r="C296" i="8"/>
  <c r="F295" i="8"/>
  <c r="C296" i="6"/>
  <c r="F295" i="6"/>
  <c r="E295" i="6"/>
  <c r="E238" i="5"/>
  <c r="C239" i="5"/>
  <c r="F238" i="5"/>
  <c r="E228" i="4"/>
  <c r="C229" i="4"/>
  <c r="F228" i="4"/>
  <c r="C238" i="3"/>
  <c r="F237" i="3"/>
  <c r="E237" i="3"/>
  <c r="E228" i="2"/>
  <c r="C229" i="2"/>
  <c r="F228" i="2"/>
  <c r="F297" i="1"/>
  <c r="C298" i="1"/>
  <c r="E297" i="1"/>
  <c r="F233" i="19" l="1"/>
  <c r="C239" i="13"/>
  <c r="F238" i="13"/>
  <c r="E238" i="13"/>
  <c r="F229" i="10"/>
  <c r="E229" i="10"/>
  <c r="C230" i="10"/>
  <c r="C297" i="9"/>
  <c r="F296" i="9"/>
  <c r="E296" i="9"/>
  <c r="F296" i="8"/>
  <c r="E296" i="8"/>
  <c r="C297" i="8"/>
  <c r="C297" i="6"/>
  <c r="F296" i="6"/>
  <c r="E296" i="6"/>
  <c r="F239" i="5"/>
  <c r="E239" i="5"/>
  <c r="C240" i="5"/>
  <c r="F229" i="4"/>
  <c r="C230" i="4"/>
  <c r="E229" i="4"/>
  <c r="E238" i="3"/>
  <c r="C239" i="3"/>
  <c r="F238" i="3"/>
  <c r="C230" i="2"/>
  <c r="E229" i="2"/>
  <c r="F229" i="2"/>
  <c r="C299" i="1"/>
  <c r="F298" i="1"/>
  <c r="E298" i="1"/>
  <c r="F234" i="19" l="1"/>
  <c r="E239" i="13"/>
  <c r="C240" i="13"/>
  <c r="F239" i="13"/>
  <c r="C231" i="10"/>
  <c r="E230" i="10"/>
  <c r="F230" i="10"/>
  <c r="F297" i="9"/>
  <c r="E297" i="9"/>
  <c r="C298" i="9"/>
  <c r="C298" i="8"/>
  <c r="E297" i="8"/>
  <c r="F297" i="8"/>
  <c r="F297" i="6"/>
  <c r="E297" i="6"/>
  <c r="C298" i="6"/>
  <c r="C241" i="5"/>
  <c r="F240" i="5"/>
  <c r="E240" i="5"/>
  <c r="C231" i="4"/>
  <c r="F230" i="4"/>
  <c r="E230" i="4"/>
  <c r="F239" i="3"/>
  <c r="E239" i="3"/>
  <c r="C240" i="3"/>
  <c r="E230" i="2"/>
  <c r="F230" i="2"/>
  <c r="C231" i="2"/>
  <c r="E299" i="1"/>
  <c r="C300" i="1"/>
  <c r="F299" i="1"/>
  <c r="F235" i="19" l="1"/>
  <c r="F240" i="13"/>
  <c r="C241" i="13"/>
  <c r="E240" i="13"/>
  <c r="F231" i="10"/>
  <c r="E231" i="10"/>
  <c r="C232" i="10"/>
  <c r="C299" i="9"/>
  <c r="E298" i="9"/>
  <c r="F298" i="9"/>
  <c r="F298" i="8"/>
  <c r="C299" i="8"/>
  <c r="E298" i="8"/>
  <c r="C299" i="6"/>
  <c r="F298" i="6"/>
  <c r="E298" i="6"/>
  <c r="F241" i="5"/>
  <c r="C242" i="5"/>
  <c r="E241" i="5"/>
  <c r="F231" i="4"/>
  <c r="E231" i="4"/>
  <c r="C232" i="4"/>
  <c r="F240" i="3"/>
  <c r="E240" i="3"/>
  <c r="C241" i="3"/>
  <c r="C232" i="2"/>
  <c r="E231" i="2"/>
  <c r="F231" i="2"/>
  <c r="E300" i="1"/>
  <c r="C301" i="1"/>
  <c r="F300" i="1"/>
  <c r="F236" i="19" l="1"/>
  <c r="C242" i="13"/>
  <c r="E241" i="13"/>
  <c r="F241" i="13"/>
  <c r="C233" i="10"/>
  <c r="F232" i="10"/>
  <c r="E232" i="10"/>
  <c r="F299" i="9"/>
  <c r="E299" i="9"/>
  <c r="C300" i="9"/>
  <c r="C300" i="8"/>
  <c r="F299" i="8"/>
  <c r="E299" i="8"/>
  <c r="E299" i="6"/>
  <c r="C300" i="6"/>
  <c r="F299" i="6"/>
  <c r="C243" i="5"/>
  <c r="F242" i="5"/>
  <c r="E242" i="5"/>
  <c r="C233" i="4"/>
  <c r="E232" i="4"/>
  <c r="F232" i="4"/>
  <c r="F241" i="3"/>
  <c r="E241" i="3"/>
  <c r="C242" i="3"/>
  <c r="E232" i="2"/>
  <c r="F232" i="2"/>
  <c r="C233" i="2"/>
  <c r="F301" i="1"/>
  <c r="E301" i="1"/>
  <c r="C302" i="1"/>
  <c r="F237" i="19" l="1"/>
  <c r="F242" i="13"/>
  <c r="E242" i="13"/>
  <c r="C243" i="13"/>
  <c r="C234" i="10"/>
  <c r="F233" i="10"/>
  <c r="E233" i="10"/>
  <c r="F300" i="9"/>
  <c r="E300" i="9"/>
  <c r="C301" i="9"/>
  <c r="F300" i="8"/>
  <c r="C301" i="8"/>
  <c r="E300" i="8"/>
  <c r="F300" i="6"/>
  <c r="E300" i="6"/>
  <c r="C301" i="6"/>
  <c r="C244" i="5"/>
  <c r="F243" i="5"/>
  <c r="E243" i="5"/>
  <c r="F233" i="4"/>
  <c r="E233" i="4"/>
  <c r="C234" i="4"/>
  <c r="C243" i="3"/>
  <c r="E242" i="3"/>
  <c r="F242" i="3"/>
  <c r="C234" i="2"/>
  <c r="E233" i="2"/>
  <c r="F233" i="2"/>
  <c r="C303" i="1"/>
  <c r="F302" i="1"/>
  <c r="E302" i="1"/>
  <c r="F238" i="19" l="1"/>
  <c r="C244" i="13"/>
  <c r="E243" i="13"/>
  <c r="F243" i="13"/>
  <c r="F234" i="10"/>
  <c r="E234" i="10"/>
  <c r="C235" i="10"/>
  <c r="C302" i="9"/>
  <c r="F301" i="9"/>
  <c r="E301" i="9"/>
  <c r="E301" i="8"/>
  <c r="F301" i="8"/>
  <c r="C302" i="8"/>
  <c r="C302" i="6"/>
  <c r="F301" i="6"/>
  <c r="E301" i="6"/>
  <c r="F244" i="5"/>
  <c r="E244" i="5"/>
  <c r="C245" i="5"/>
  <c r="F234" i="4"/>
  <c r="E234" i="4"/>
  <c r="C235" i="4"/>
  <c r="E243" i="3"/>
  <c r="C244" i="3"/>
  <c r="F243" i="3"/>
  <c r="E234" i="2"/>
  <c r="C235" i="2"/>
  <c r="F234" i="2"/>
  <c r="F303" i="1"/>
  <c r="E303" i="1"/>
  <c r="C304" i="1"/>
  <c r="F239" i="19" l="1"/>
  <c r="E244" i="13"/>
  <c r="C245" i="13"/>
  <c r="F244" i="13"/>
  <c r="C236" i="10"/>
  <c r="F235" i="10"/>
  <c r="E235" i="10"/>
  <c r="E302" i="9"/>
  <c r="C303" i="9"/>
  <c r="F302" i="9"/>
  <c r="E302" i="8"/>
  <c r="C303" i="8"/>
  <c r="F302" i="8"/>
  <c r="F302" i="6"/>
  <c r="E302" i="6"/>
  <c r="C303" i="6"/>
  <c r="C246" i="5"/>
  <c r="E245" i="5"/>
  <c r="F245" i="5"/>
  <c r="C236" i="4"/>
  <c r="F235" i="4"/>
  <c r="E235" i="4"/>
  <c r="F244" i="3"/>
  <c r="C245" i="3"/>
  <c r="E244" i="3"/>
  <c r="C236" i="2"/>
  <c r="E235" i="2"/>
  <c r="F235" i="2"/>
  <c r="C305" i="1"/>
  <c r="F304" i="1"/>
  <c r="E304" i="1"/>
  <c r="F240" i="19" l="1"/>
  <c r="F245" i="13"/>
  <c r="E245" i="13"/>
  <c r="C246" i="13"/>
  <c r="E236" i="10"/>
  <c r="C237" i="10"/>
  <c r="F236" i="10"/>
  <c r="F303" i="9"/>
  <c r="C304" i="9"/>
  <c r="E303" i="9"/>
  <c r="E303" i="8"/>
  <c r="C304" i="8"/>
  <c r="F303" i="8"/>
  <c r="C304" i="6"/>
  <c r="F303" i="6"/>
  <c r="E303" i="6"/>
  <c r="E246" i="5"/>
  <c r="F246" i="5"/>
  <c r="C247" i="5"/>
  <c r="E236" i="4"/>
  <c r="C237" i="4"/>
  <c r="F236" i="4"/>
  <c r="C246" i="3"/>
  <c r="F245" i="3"/>
  <c r="E245" i="3"/>
  <c r="E236" i="2"/>
  <c r="F236" i="2"/>
  <c r="C237" i="2"/>
  <c r="F305" i="1"/>
  <c r="E305" i="1"/>
  <c r="C306" i="1"/>
  <c r="F241" i="19" l="1"/>
  <c r="C247" i="13"/>
  <c r="F246" i="13"/>
  <c r="E246" i="13"/>
  <c r="F237" i="10"/>
  <c r="E237" i="10"/>
  <c r="C238" i="10"/>
  <c r="C305" i="9"/>
  <c r="F304" i="9"/>
  <c r="E304" i="9"/>
  <c r="C305" i="8"/>
  <c r="F304" i="8"/>
  <c r="E304" i="8"/>
  <c r="C305" i="6"/>
  <c r="F304" i="6"/>
  <c r="E304" i="6"/>
  <c r="C248" i="5"/>
  <c r="F247" i="5"/>
  <c r="E247" i="5"/>
  <c r="F237" i="4"/>
  <c r="C238" i="4"/>
  <c r="E237" i="4"/>
  <c r="E246" i="3"/>
  <c r="C247" i="3"/>
  <c r="F246" i="3"/>
  <c r="C238" i="2"/>
  <c r="E237" i="2"/>
  <c r="F237" i="2"/>
  <c r="E306" i="1"/>
  <c r="C307" i="1"/>
  <c r="F306" i="1"/>
  <c r="F242" i="19" l="1"/>
  <c r="E247" i="13"/>
  <c r="C248" i="13"/>
  <c r="F247" i="13"/>
  <c r="C239" i="10"/>
  <c r="E238" i="10"/>
  <c r="F238" i="10"/>
  <c r="F305" i="9"/>
  <c r="E305" i="9"/>
  <c r="C306" i="9"/>
  <c r="E305" i="8"/>
  <c r="F305" i="8"/>
  <c r="C306" i="8"/>
  <c r="F305" i="6"/>
  <c r="E305" i="6"/>
  <c r="C306" i="6"/>
  <c r="E248" i="5"/>
  <c r="C249" i="5"/>
  <c r="F248" i="5"/>
  <c r="C239" i="4"/>
  <c r="F238" i="4"/>
  <c r="E238" i="4"/>
  <c r="F247" i="3"/>
  <c r="C248" i="3"/>
  <c r="E247" i="3"/>
  <c r="E238" i="2"/>
  <c r="F238" i="2"/>
  <c r="C239" i="2"/>
  <c r="C308" i="1"/>
  <c r="F307" i="1"/>
  <c r="E307" i="1"/>
  <c r="F243" i="19" l="1"/>
  <c r="F248" i="13"/>
  <c r="C249" i="13"/>
  <c r="E248" i="13"/>
  <c r="F239" i="10"/>
  <c r="E239" i="10"/>
  <c r="C240" i="10"/>
  <c r="C307" i="9"/>
  <c r="E306" i="9"/>
  <c r="F306" i="9"/>
  <c r="F306" i="8"/>
  <c r="C307" i="8"/>
  <c r="E306" i="8"/>
  <c r="C307" i="6"/>
  <c r="F306" i="6"/>
  <c r="E306" i="6"/>
  <c r="F249" i="5"/>
  <c r="C250" i="5"/>
  <c r="E249" i="5"/>
  <c r="F239" i="4"/>
  <c r="E239" i="4"/>
  <c r="C240" i="4"/>
  <c r="F248" i="3"/>
  <c r="E248" i="3"/>
  <c r="C249" i="3"/>
  <c r="C240" i="2"/>
  <c r="E239" i="2"/>
  <c r="F239" i="2"/>
  <c r="E308" i="1"/>
  <c r="C309" i="1"/>
  <c r="F308" i="1"/>
  <c r="F244" i="19" l="1"/>
  <c r="C250" i="13"/>
  <c r="E249" i="13"/>
  <c r="F249" i="13"/>
  <c r="C241" i="10"/>
  <c r="F240" i="10"/>
  <c r="E240" i="10"/>
  <c r="F307" i="9"/>
  <c r="E307" i="9"/>
  <c r="C308" i="9"/>
  <c r="C308" i="8"/>
  <c r="F307" i="8"/>
  <c r="E307" i="8"/>
  <c r="E307" i="6"/>
  <c r="C308" i="6"/>
  <c r="F307" i="6"/>
  <c r="C251" i="5"/>
  <c r="F250" i="5"/>
  <c r="E250" i="5"/>
  <c r="C241" i="4"/>
  <c r="E240" i="4"/>
  <c r="F240" i="4"/>
  <c r="F249" i="3"/>
  <c r="E249" i="3"/>
  <c r="C250" i="3"/>
  <c r="E240" i="2"/>
  <c r="C241" i="2"/>
  <c r="F240" i="2"/>
  <c r="C310" i="1"/>
  <c r="F309" i="1"/>
  <c r="E309" i="1"/>
  <c r="F245" i="19" l="1"/>
  <c r="F250" i="13"/>
  <c r="E250" i="13"/>
  <c r="C251" i="13"/>
  <c r="C242" i="10"/>
  <c r="F241" i="10"/>
  <c r="E241" i="10"/>
  <c r="F308" i="9"/>
  <c r="E308" i="9"/>
  <c r="C309" i="9"/>
  <c r="F308" i="8"/>
  <c r="E308" i="8"/>
  <c r="C309" i="8"/>
  <c r="F308" i="6"/>
  <c r="E308" i="6"/>
  <c r="C309" i="6"/>
  <c r="F251" i="5"/>
  <c r="E251" i="5"/>
  <c r="C252" i="5"/>
  <c r="C242" i="4"/>
  <c r="F241" i="4"/>
  <c r="E241" i="4"/>
  <c r="C251" i="3"/>
  <c r="E250" i="3"/>
  <c r="F250" i="3"/>
  <c r="C242" i="2"/>
  <c r="E241" i="2"/>
  <c r="F241" i="2"/>
  <c r="E310" i="1"/>
  <c r="C311" i="1"/>
  <c r="F310" i="1"/>
  <c r="F246" i="19" l="1"/>
  <c r="C252" i="13"/>
  <c r="E251" i="13"/>
  <c r="F251" i="13"/>
  <c r="F242" i="10"/>
  <c r="E242" i="10"/>
  <c r="C243" i="10"/>
  <c r="C310" i="9"/>
  <c r="F309" i="9"/>
  <c r="E309" i="9"/>
  <c r="E309" i="8"/>
  <c r="C310" i="8"/>
  <c r="F309" i="8"/>
  <c r="C310" i="6"/>
  <c r="F309" i="6"/>
  <c r="E309" i="6"/>
  <c r="E252" i="5"/>
  <c r="F252" i="5"/>
  <c r="C253" i="5"/>
  <c r="F242" i="4"/>
  <c r="E242" i="4"/>
  <c r="C243" i="4"/>
  <c r="C252" i="3"/>
  <c r="F251" i="3"/>
  <c r="E251" i="3"/>
  <c r="E242" i="2"/>
  <c r="C243" i="2"/>
  <c r="F242" i="2"/>
  <c r="F311" i="1"/>
  <c r="C312" i="1"/>
  <c r="E311" i="1"/>
  <c r="F247" i="19" l="1"/>
  <c r="E252" i="13"/>
  <c r="C253" i="13"/>
  <c r="F252" i="13"/>
  <c r="C244" i="10"/>
  <c r="F243" i="10"/>
  <c r="E243" i="10"/>
  <c r="E310" i="9"/>
  <c r="C311" i="9"/>
  <c r="F310" i="9"/>
  <c r="C311" i="8"/>
  <c r="E310" i="8"/>
  <c r="F310" i="8"/>
  <c r="F310" i="6"/>
  <c r="E310" i="6"/>
  <c r="C311" i="6"/>
  <c r="F253" i="5"/>
  <c r="E253" i="5"/>
  <c r="C254" i="5"/>
  <c r="C244" i="4"/>
  <c r="F243" i="4"/>
  <c r="E243" i="4"/>
  <c r="F252" i="3"/>
  <c r="C253" i="3"/>
  <c r="E252" i="3"/>
  <c r="C244" i="2"/>
  <c r="E243" i="2"/>
  <c r="F243" i="2"/>
  <c r="C313" i="1"/>
  <c r="F312" i="1"/>
  <c r="E312" i="1"/>
  <c r="F248" i="19" l="1"/>
  <c r="F253" i="13"/>
  <c r="E253" i="13"/>
  <c r="C254" i="13"/>
  <c r="E244" i="10"/>
  <c r="C245" i="10"/>
  <c r="F244" i="10"/>
  <c r="F311" i="9"/>
  <c r="C312" i="9"/>
  <c r="E311" i="9"/>
  <c r="E311" i="8"/>
  <c r="C312" i="8"/>
  <c r="F311" i="8"/>
  <c r="C312" i="6"/>
  <c r="F311" i="6"/>
  <c r="E311" i="6"/>
  <c r="E254" i="5"/>
  <c r="C255" i="5"/>
  <c r="F254" i="5"/>
  <c r="E244" i="4"/>
  <c r="C245" i="4"/>
  <c r="F244" i="4"/>
  <c r="C254" i="3"/>
  <c r="F253" i="3"/>
  <c r="E253" i="3"/>
  <c r="E244" i="2"/>
  <c r="C245" i="2"/>
  <c r="F244" i="2"/>
  <c r="F313" i="1"/>
  <c r="C314" i="1"/>
  <c r="E313" i="1"/>
  <c r="F249" i="19" l="1"/>
  <c r="C255" i="13"/>
  <c r="F254" i="13"/>
  <c r="E254" i="13"/>
  <c r="F245" i="10"/>
  <c r="E245" i="10"/>
  <c r="C246" i="10"/>
  <c r="C313" i="9"/>
  <c r="F312" i="9"/>
  <c r="E312" i="9"/>
  <c r="F312" i="8"/>
  <c r="C313" i="8"/>
  <c r="E312" i="8"/>
  <c r="C313" i="6"/>
  <c r="F312" i="6"/>
  <c r="E312" i="6"/>
  <c r="F255" i="5"/>
  <c r="E255" i="5"/>
  <c r="C256" i="5"/>
  <c r="F245" i="4"/>
  <c r="C246" i="4"/>
  <c r="E245" i="4"/>
  <c r="E254" i="3"/>
  <c r="C255" i="3"/>
  <c r="F254" i="3"/>
  <c r="C246" i="2"/>
  <c r="E245" i="2"/>
  <c r="F245" i="2"/>
  <c r="F314" i="1"/>
  <c r="E314" i="1"/>
  <c r="C315" i="1"/>
  <c r="F250" i="19" l="1"/>
  <c r="E255" i="13"/>
  <c r="C256" i="13"/>
  <c r="F255" i="13"/>
  <c r="C247" i="10"/>
  <c r="E246" i="10"/>
  <c r="F246" i="10"/>
  <c r="F313" i="9"/>
  <c r="E313" i="9"/>
  <c r="C314" i="9"/>
  <c r="C314" i="8"/>
  <c r="F313" i="8"/>
  <c r="E313" i="8"/>
  <c r="F313" i="6"/>
  <c r="E313" i="6"/>
  <c r="C314" i="6"/>
  <c r="C257" i="5"/>
  <c r="E256" i="5"/>
  <c r="F256" i="5"/>
  <c r="C247" i="4"/>
  <c r="F246" i="4"/>
  <c r="E246" i="4"/>
  <c r="F255" i="3"/>
  <c r="E255" i="3"/>
  <c r="C256" i="3"/>
  <c r="E246" i="2"/>
  <c r="C247" i="2"/>
  <c r="F246" i="2"/>
  <c r="E315" i="1"/>
  <c r="C316" i="1"/>
  <c r="F315" i="1"/>
  <c r="F251" i="19" l="1"/>
  <c r="F256" i="13"/>
  <c r="C257" i="13"/>
  <c r="E256" i="13"/>
  <c r="F247" i="10"/>
  <c r="E247" i="10"/>
  <c r="C248" i="10"/>
  <c r="C315" i="9"/>
  <c r="E314" i="9"/>
  <c r="F314" i="9"/>
  <c r="F314" i="8"/>
  <c r="C315" i="8"/>
  <c r="E314" i="8"/>
  <c r="C315" i="6"/>
  <c r="F314" i="6"/>
  <c r="E314" i="6"/>
  <c r="F257" i="5"/>
  <c r="C258" i="5"/>
  <c r="E257" i="5"/>
  <c r="F247" i="4"/>
  <c r="E247" i="4"/>
  <c r="C248" i="4"/>
  <c r="F256" i="3"/>
  <c r="C257" i="3"/>
  <c r="E256" i="3"/>
  <c r="C248" i="2"/>
  <c r="E247" i="2"/>
  <c r="F247" i="2"/>
  <c r="E316" i="1"/>
  <c r="C317" i="1"/>
  <c r="F316" i="1"/>
  <c r="F252" i="19" l="1"/>
  <c r="C258" i="13"/>
  <c r="E257" i="13"/>
  <c r="F257" i="13"/>
  <c r="C249" i="10"/>
  <c r="F248" i="10"/>
  <c r="E248" i="10"/>
  <c r="F315" i="9"/>
  <c r="E315" i="9"/>
  <c r="C316" i="9"/>
  <c r="C316" i="8"/>
  <c r="F315" i="8"/>
  <c r="E315" i="8"/>
  <c r="E315" i="6"/>
  <c r="C316" i="6"/>
  <c r="F315" i="6"/>
  <c r="C259" i="5"/>
  <c r="F258" i="5"/>
  <c r="E258" i="5"/>
  <c r="C249" i="4"/>
  <c r="E248" i="4"/>
  <c r="F248" i="4"/>
  <c r="F257" i="3"/>
  <c r="E257" i="3"/>
  <c r="C258" i="3"/>
  <c r="E248" i="2"/>
  <c r="F248" i="2"/>
  <c r="C249" i="2"/>
  <c r="F317" i="1"/>
  <c r="C318" i="1"/>
  <c r="E317" i="1"/>
  <c r="F253" i="19" l="1"/>
  <c r="F258" i="13"/>
  <c r="E258" i="13"/>
  <c r="C259" i="13"/>
  <c r="C250" i="10"/>
  <c r="F249" i="10"/>
  <c r="E249" i="10"/>
  <c r="F316" i="9"/>
  <c r="E316" i="9"/>
  <c r="C317" i="9"/>
  <c r="F316" i="8"/>
  <c r="C317" i="8"/>
  <c r="E316" i="8"/>
  <c r="F316" i="6"/>
  <c r="E316" i="6"/>
  <c r="C317" i="6"/>
  <c r="C260" i="5"/>
  <c r="F259" i="5"/>
  <c r="E259" i="5"/>
  <c r="C250" i="4"/>
  <c r="F249" i="4"/>
  <c r="E249" i="4"/>
  <c r="C259" i="3"/>
  <c r="E258" i="3"/>
  <c r="F258" i="3"/>
  <c r="C250" i="2"/>
  <c r="E249" i="2"/>
  <c r="F249" i="2"/>
  <c r="C319" i="1"/>
  <c r="F318" i="1"/>
  <c r="E318" i="1"/>
  <c r="F254" i="19" l="1"/>
  <c r="C260" i="13"/>
  <c r="E259" i="13"/>
  <c r="F259" i="13"/>
  <c r="F250" i="10"/>
  <c r="E250" i="10"/>
  <c r="C251" i="10"/>
  <c r="C318" i="9"/>
  <c r="F317" i="9"/>
  <c r="E317" i="9"/>
  <c r="E317" i="8"/>
  <c r="F317" i="8"/>
  <c r="C318" i="8"/>
  <c r="C318" i="6"/>
  <c r="F317" i="6"/>
  <c r="E317" i="6"/>
  <c r="F260" i="5"/>
  <c r="E260" i="5"/>
  <c r="C261" i="5"/>
  <c r="F250" i="4"/>
  <c r="E250" i="4"/>
  <c r="C251" i="4"/>
  <c r="E259" i="3"/>
  <c r="F259" i="3"/>
  <c r="C260" i="3"/>
  <c r="E250" i="2"/>
  <c r="C251" i="2"/>
  <c r="F250" i="2"/>
  <c r="F319" i="1"/>
  <c r="E319" i="1"/>
  <c r="C320" i="1"/>
  <c r="F255" i="19" l="1"/>
  <c r="E260" i="13"/>
  <c r="C261" i="13"/>
  <c r="F260" i="13"/>
  <c r="C252" i="10"/>
  <c r="F251" i="10"/>
  <c r="E251" i="10"/>
  <c r="E318" i="9"/>
  <c r="C319" i="9"/>
  <c r="F318" i="9"/>
  <c r="E318" i="8"/>
  <c r="C319" i="8"/>
  <c r="F318" i="8"/>
  <c r="F318" i="6"/>
  <c r="E318" i="6"/>
  <c r="C319" i="6"/>
  <c r="C262" i="5"/>
  <c r="F261" i="5"/>
  <c r="E261" i="5"/>
  <c r="C252" i="4"/>
  <c r="F251" i="4"/>
  <c r="E251" i="4"/>
  <c r="F260" i="3"/>
  <c r="C261" i="3"/>
  <c r="E260" i="3"/>
  <c r="C252" i="2"/>
  <c r="E251" i="2"/>
  <c r="F251" i="2"/>
  <c r="C321" i="1"/>
  <c r="F320" i="1"/>
  <c r="E320" i="1"/>
  <c r="F256" i="19" l="1"/>
  <c r="F261" i="13"/>
  <c r="E261" i="13"/>
  <c r="C262" i="13"/>
  <c r="E252" i="10"/>
  <c r="C253" i="10"/>
  <c r="F252" i="10"/>
  <c r="F319" i="9"/>
  <c r="C320" i="9"/>
  <c r="E319" i="9"/>
  <c r="E319" i="8"/>
  <c r="C320" i="8"/>
  <c r="F319" i="8"/>
  <c r="C320" i="6"/>
  <c r="F319" i="6"/>
  <c r="E319" i="6"/>
  <c r="E262" i="5"/>
  <c r="F262" i="5"/>
  <c r="C263" i="5"/>
  <c r="E252" i="4"/>
  <c r="C253" i="4"/>
  <c r="F252" i="4"/>
  <c r="C262" i="3"/>
  <c r="F261" i="3"/>
  <c r="E261" i="3"/>
  <c r="E252" i="2"/>
  <c r="F252" i="2"/>
  <c r="C253" i="2"/>
  <c r="F321" i="1"/>
  <c r="E321" i="1"/>
  <c r="C322" i="1"/>
  <c r="F257" i="19" l="1"/>
  <c r="C263" i="13"/>
  <c r="F262" i="13"/>
  <c r="E262" i="13"/>
  <c r="F253" i="10"/>
  <c r="E253" i="10"/>
  <c r="C254" i="10"/>
  <c r="C321" i="9"/>
  <c r="F320" i="9"/>
  <c r="E320" i="9"/>
  <c r="F320" i="8"/>
  <c r="E320" i="8"/>
  <c r="C321" i="8"/>
  <c r="C321" i="6"/>
  <c r="F320" i="6"/>
  <c r="E320" i="6"/>
  <c r="F263" i="5"/>
  <c r="E263" i="5"/>
  <c r="C264" i="5"/>
  <c r="F253" i="4"/>
  <c r="E253" i="4"/>
  <c r="C254" i="4"/>
  <c r="E262" i="3"/>
  <c r="C263" i="3"/>
  <c r="F262" i="3"/>
  <c r="C254" i="2"/>
  <c r="E253" i="2"/>
  <c r="F253" i="2"/>
  <c r="E322" i="1"/>
  <c r="C323" i="1"/>
  <c r="F322" i="1"/>
  <c r="F258" i="19" l="1"/>
  <c r="E263" i="13"/>
  <c r="C264" i="13"/>
  <c r="F263" i="13"/>
  <c r="C255" i="10"/>
  <c r="E254" i="10"/>
  <c r="F254" i="10"/>
  <c r="F321" i="9"/>
  <c r="E321" i="9"/>
  <c r="C322" i="9"/>
  <c r="E321" i="8"/>
  <c r="C322" i="8"/>
  <c r="F321" i="8"/>
  <c r="G321" i="6"/>
  <c r="G313" i="6"/>
  <c r="G305" i="6"/>
  <c r="G297" i="6"/>
  <c r="G289" i="6"/>
  <c r="G281" i="6"/>
  <c r="G273" i="6"/>
  <c r="G265" i="6"/>
  <c r="G257" i="6"/>
  <c r="G249" i="6"/>
  <c r="G241" i="6"/>
  <c r="G233" i="6"/>
  <c r="G225" i="6"/>
  <c r="F321" i="6"/>
  <c r="G316" i="6"/>
  <c r="G308" i="6"/>
  <c r="G300" i="6"/>
  <c r="G292" i="6"/>
  <c r="G284" i="6"/>
  <c r="G276" i="6"/>
  <c r="G268" i="6"/>
  <c r="G260" i="6"/>
  <c r="G252" i="6"/>
  <c r="G244" i="6"/>
  <c r="G236" i="6"/>
  <c r="G228" i="6"/>
  <c r="E321" i="6"/>
  <c r="G319" i="6"/>
  <c r="G311" i="6"/>
  <c r="G303" i="6"/>
  <c r="G295" i="6"/>
  <c r="G287" i="6"/>
  <c r="G279" i="6"/>
  <c r="G271" i="6"/>
  <c r="G263" i="6"/>
  <c r="G255" i="6"/>
  <c r="G247" i="6"/>
  <c r="G239" i="6"/>
  <c r="G231" i="6"/>
  <c r="G223" i="6"/>
  <c r="G221" i="6"/>
  <c r="G219" i="6"/>
  <c r="G217" i="6"/>
  <c r="G215" i="6"/>
  <c r="G213" i="6"/>
  <c r="G211" i="6"/>
  <c r="G209" i="6"/>
  <c r="G207" i="6"/>
  <c r="G205" i="6"/>
  <c r="G203" i="6"/>
  <c r="G201" i="6"/>
  <c r="G199" i="6"/>
  <c r="G197" i="6"/>
  <c r="G195" i="6"/>
  <c r="G193" i="6"/>
  <c r="G191" i="6"/>
  <c r="G189" i="6"/>
  <c r="G187" i="6"/>
  <c r="G185" i="6"/>
  <c r="G183" i="6"/>
  <c r="G314" i="6"/>
  <c r="G306" i="6"/>
  <c r="G298" i="6"/>
  <c r="G290" i="6"/>
  <c r="G282" i="6"/>
  <c r="G274" i="6"/>
  <c r="G266" i="6"/>
  <c r="G258" i="6"/>
  <c r="G250" i="6"/>
  <c r="G242" i="6"/>
  <c r="G234" i="6"/>
  <c r="G226" i="6"/>
  <c r="G317" i="6"/>
  <c r="G309" i="6"/>
  <c r="G301" i="6"/>
  <c r="G293" i="6"/>
  <c r="G285" i="6"/>
  <c r="G277" i="6"/>
  <c r="G269" i="6"/>
  <c r="G261" i="6"/>
  <c r="G253" i="6"/>
  <c r="G245" i="6"/>
  <c r="G237" i="6"/>
  <c r="G229" i="6"/>
  <c r="G320" i="6"/>
  <c r="G312" i="6"/>
  <c r="G304" i="6"/>
  <c r="G296" i="6"/>
  <c r="G288" i="6"/>
  <c r="G280" i="6"/>
  <c r="G272" i="6"/>
  <c r="G264" i="6"/>
  <c r="G256" i="6"/>
  <c r="G248" i="6"/>
  <c r="G240" i="6"/>
  <c r="G232" i="6"/>
  <c r="G224" i="6"/>
  <c r="G218" i="6"/>
  <c r="G210" i="6"/>
  <c r="G202" i="6"/>
  <c r="G194" i="6"/>
  <c r="G186" i="6"/>
  <c r="G180" i="6"/>
  <c r="G176" i="6"/>
  <c r="G172" i="6"/>
  <c r="G164" i="6"/>
  <c r="G156" i="6"/>
  <c r="G72" i="6"/>
  <c r="G64" i="6"/>
  <c r="G56" i="6"/>
  <c r="G53" i="6"/>
  <c r="G42" i="6"/>
  <c r="G40" i="6"/>
  <c r="G38" i="6"/>
  <c r="G36" i="6"/>
  <c r="G31" i="6"/>
  <c r="G28" i="6"/>
  <c r="G23" i="6"/>
  <c r="G20" i="6"/>
  <c r="G13" i="6"/>
  <c r="G7" i="6"/>
  <c r="G169" i="6"/>
  <c r="G161" i="6"/>
  <c r="G153" i="6"/>
  <c r="G69" i="6"/>
  <c r="G61" i="6"/>
  <c r="G25" i="6"/>
  <c r="G12" i="6"/>
  <c r="G216" i="6"/>
  <c r="G208" i="6"/>
  <c r="G200" i="6"/>
  <c r="G192" i="6"/>
  <c r="G184" i="6"/>
  <c r="G166" i="6"/>
  <c r="G158" i="6"/>
  <c r="G74" i="6"/>
  <c r="G66" i="6"/>
  <c r="G58" i="6"/>
  <c r="G50" i="6"/>
  <c r="G48" i="6"/>
  <c r="G46" i="6"/>
  <c r="G44" i="6"/>
  <c r="G33" i="6"/>
  <c r="G30" i="6"/>
  <c r="G19" i="6"/>
  <c r="G11" i="6"/>
  <c r="G315" i="6"/>
  <c r="G307" i="6"/>
  <c r="G299" i="6"/>
  <c r="G291" i="6"/>
  <c r="G283" i="6"/>
  <c r="G275" i="6"/>
  <c r="G267" i="6"/>
  <c r="G259" i="6"/>
  <c r="G251" i="6"/>
  <c r="G243" i="6"/>
  <c r="G235" i="6"/>
  <c r="G227" i="6"/>
  <c r="G179" i="6"/>
  <c r="G175" i="6"/>
  <c r="G171" i="6"/>
  <c r="G163" i="6"/>
  <c r="G155" i="6"/>
  <c r="G150" i="6"/>
  <c r="G148" i="6"/>
  <c r="G146" i="6"/>
  <c r="G144" i="6"/>
  <c r="G142" i="6"/>
  <c r="G140" i="6"/>
  <c r="G138" i="6"/>
  <c r="G136" i="6"/>
  <c r="G134" i="6"/>
  <c r="G132" i="6"/>
  <c r="G130" i="6"/>
  <c r="G128" i="6"/>
  <c r="G126" i="6"/>
  <c r="G124" i="6"/>
  <c r="G122" i="6"/>
  <c r="G120" i="6"/>
  <c r="G118" i="6"/>
  <c r="G116" i="6"/>
  <c r="G114" i="6"/>
  <c r="G112" i="6"/>
  <c r="G110" i="6"/>
  <c r="G108" i="6"/>
  <c r="G106" i="6"/>
  <c r="G104" i="6"/>
  <c r="G102" i="6"/>
  <c r="G100" i="6"/>
  <c r="G98" i="6"/>
  <c r="G96" i="6"/>
  <c r="G94" i="6"/>
  <c r="G92" i="6"/>
  <c r="G90" i="6"/>
  <c r="G88" i="6"/>
  <c r="G86" i="6"/>
  <c r="G84" i="6"/>
  <c r="G82" i="6"/>
  <c r="G80" i="6"/>
  <c r="G78" i="6"/>
  <c r="G76" i="6"/>
  <c r="G71" i="6"/>
  <c r="G63" i="6"/>
  <c r="G55" i="6"/>
  <c r="G52" i="6"/>
  <c r="G27" i="6"/>
  <c r="G22" i="6"/>
  <c r="G18" i="6"/>
  <c r="G10" i="6"/>
  <c r="G222" i="6"/>
  <c r="G214" i="6"/>
  <c r="G206" i="6"/>
  <c r="G198" i="6"/>
  <c r="G190" i="6"/>
  <c r="G182" i="6"/>
  <c r="G178" i="6"/>
  <c r="G174" i="6"/>
  <c r="G168" i="6"/>
  <c r="G160" i="6"/>
  <c r="G152" i="6"/>
  <c r="G68" i="6"/>
  <c r="G60" i="6"/>
  <c r="G41" i="6"/>
  <c r="G39" i="6"/>
  <c r="G37" i="6"/>
  <c r="G35" i="6"/>
  <c r="G24" i="6"/>
  <c r="G17" i="6"/>
  <c r="G9" i="6"/>
  <c r="G318" i="6"/>
  <c r="G310" i="6"/>
  <c r="G302" i="6"/>
  <c r="G294" i="6"/>
  <c r="G286" i="6"/>
  <c r="G278" i="6"/>
  <c r="G270" i="6"/>
  <c r="G262" i="6"/>
  <c r="G254" i="6"/>
  <c r="G246" i="6"/>
  <c r="G238" i="6"/>
  <c r="G230" i="6"/>
  <c r="G165" i="6"/>
  <c r="G157" i="6"/>
  <c r="G73" i="6"/>
  <c r="G65" i="6"/>
  <c r="G57" i="6"/>
  <c r="G54" i="6"/>
  <c r="G32" i="6"/>
  <c r="G29" i="6"/>
  <c r="G16" i="6"/>
  <c r="G220" i="6"/>
  <c r="G212" i="6"/>
  <c r="G204" i="6"/>
  <c r="G196" i="6"/>
  <c r="G188" i="6"/>
  <c r="G170" i="6"/>
  <c r="G162" i="6"/>
  <c r="G154" i="6"/>
  <c r="G70" i="6"/>
  <c r="G62" i="6"/>
  <c r="G51" i="6"/>
  <c r="G49" i="6"/>
  <c r="G47" i="6"/>
  <c r="G45" i="6"/>
  <c r="G43" i="6"/>
  <c r="G26" i="6"/>
  <c r="G21" i="6"/>
  <c r="G15" i="6"/>
  <c r="G8" i="6"/>
  <c r="G177" i="6"/>
  <c r="G137" i="6"/>
  <c r="G121" i="6"/>
  <c r="G105" i="6"/>
  <c r="G89" i="6"/>
  <c r="G34" i="6"/>
  <c r="G173" i="6"/>
  <c r="G151" i="6"/>
  <c r="G135" i="6"/>
  <c r="G119" i="6"/>
  <c r="G103" i="6"/>
  <c r="G87" i="6"/>
  <c r="G149" i="6"/>
  <c r="G133" i="6"/>
  <c r="G117" i="6"/>
  <c r="G101" i="6"/>
  <c r="G85" i="6"/>
  <c r="G59" i="6"/>
  <c r="G167" i="6"/>
  <c r="G147" i="6"/>
  <c r="G131" i="6"/>
  <c r="G115" i="6"/>
  <c r="G99" i="6"/>
  <c r="G83" i="6"/>
  <c r="G75" i="6"/>
  <c r="G14" i="6"/>
  <c r="G145" i="6"/>
  <c r="G129" i="6"/>
  <c r="G113" i="6"/>
  <c r="G97" i="6"/>
  <c r="G81" i="6"/>
  <c r="G67" i="6"/>
  <c r="G143" i="6"/>
  <c r="G127" i="6"/>
  <c r="G111" i="6"/>
  <c r="G95" i="6"/>
  <c r="G79" i="6"/>
  <c r="G159" i="6"/>
  <c r="G141" i="6"/>
  <c r="G125" i="6"/>
  <c r="G109" i="6"/>
  <c r="G93" i="6"/>
  <c r="G77" i="6"/>
  <c r="G181" i="6"/>
  <c r="G139" i="6"/>
  <c r="G123" i="6"/>
  <c r="G107" i="6"/>
  <c r="G91" i="6"/>
  <c r="C265" i="5"/>
  <c r="E264" i="5"/>
  <c r="F264" i="5"/>
  <c r="C255" i="4"/>
  <c r="F254" i="4"/>
  <c r="E254" i="4"/>
  <c r="F263" i="3"/>
  <c r="C264" i="3"/>
  <c r="E263" i="3"/>
  <c r="E254" i="2"/>
  <c r="F254" i="2"/>
  <c r="C255" i="2"/>
  <c r="C324" i="1"/>
  <c r="F323" i="1"/>
  <c r="E323" i="1"/>
  <c r="F259" i="19" l="1"/>
  <c r="F264" i="13"/>
  <c r="C265" i="13"/>
  <c r="E264" i="13"/>
  <c r="F255" i="10"/>
  <c r="E255" i="10"/>
  <c r="C256" i="10"/>
  <c r="C323" i="9"/>
  <c r="E322" i="9"/>
  <c r="F322" i="9"/>
  <c r="F322" i="8"/>
  <c r="C323" i="8"/>
  <c r="E322" i="8"/>
  <c r="F265" i="5"/>
  <c r="E265" i="5"/>
  <c r="C266" i="5"/>
  <c r="F255" i="4"/>
  <c r="E255" i="4"/>
  <c r="C256" i="4"/>
  <c r="F264" i="3"/>
  <c r="E264" i="3"/>
  <c r="C265" i="3"/>
  <c r="C256" i="2"/>
  <c r="E255" i="2"/>
  <c r="F255" i="2"/>
  <c r="E324" i="1"/>
  <c r="C325" i="1"/>
  <c r="F324" i="1"/>
  <c r="F260" i="19" l="1"/>
  <c r="C266" i="13"/>
  <c r="E265" i="13"/>
  <c r="F265" i="13"/>
  <c r="C257" i="10"/>
  <c r="F256" i="10"/>
  <c r="E256" i="10"/>
  <c r="F323" i="9"/>
  <c r="E323" i="9"/>
  <c r="C324" i="9"/>
  <c r="C324" i="8"/>
  <c r="F323" i="8"/>
  <c r="E323" i="8"/>
  <c r="C267" i="5"/>
  <c r="F266" i="5"/>
  <c r="E266" i="5"/>
  <c r="C257" i="4"/>
  <c r="F256" i="4"/>
  <c r="E256" i="4"/>
  <c r="F265" i="3"/>
  <c r="E265" i="3"/>
  <c r="C266" i="3"/>
  <c r="E256" i="2"/>
  <c r="C257" i="2"/>
  <c r="F256" i="2"/>
  <c r="F325" i="1"/>
  <c r="E325" i="1"/>
  <c r="C326" i="1"/>
  <c r="F261" i="19" l="1"/>
  <c r="F266" i="13"/>
  <c r="E266" i="13"/>
  <c r="C267" i="13"/>
  <c r="C258" i="10"/>
  <c r="F257" i="10"/>
  <c r="E257" i="10"/>
  <c r="F324" i="9"/>
  <c r="E324" i="9"/>
  <c r="C325" i="9"/>
  <c r="F324" i="8"/>
  <c r="E324" i="8"/>
  <c r="C325" i="8"/>
  <c r="C268" i="5"/>
  <c r="F267" i="5"/>
  <c r="E267" i="5"/>
  <c r="C258" i="4"/>
  <c r="F257" i="4"/>
  <c r="E257" i="4"/>
  <c r="C267" i="3"/>
  <c r="E266" i="3"/>
  <c r="F266" i="3"/>
  <c r="C258" i="2"/>
  <c r="E257" i="2"/>
  <c r="F257" i="2"/>
  <c r="C327" i="1"/>
  <c r="E326" i="1"/>
  <c r="F326" i="1"/>
  <c r="F262" i="19" l="1"/>
  <c r="C268" i="13"/>
  <c r="E267" i="13"/>
  <c r="F267" i="13"/>
  <c r="F258" i="10"/>
  <c r="E258" i="10"/>
  <c r="C259" i="10"/>
  <c r="C326" i="9"/>
  <c r="F325" i="9"/>
  <c r="E325" i="9"/>
  <c r="E325" i="8"/>
  <c r="C326" i="8"/>
  <c r="F325" i="8"/>
  <c r="F268" i="5"/>
  <c r="E268" i="5"/>
  <c r="C269" i="5"/>
  <c r="F258" i="4"/>
  <c r="E258" i="4"/>
  <c r="C259" i="4"/>
  <c r="C268" i="3"/>
  <c r="F267" i="3"/>
  <c r="E267" i="3"/>
  <c r="E258" i="2"/>
  <c r="F258" i="2"/>
  <c r="C259" i="2"/>
  <c r="F327" i="1"/>
  <c r="C328" i="1"/>
  <c r="E327" i="1"/>
  <c r="F263" i="19" l="1"/>
  <c r="E268" i="13"/>
  <c r="C269" i="13"/>
  <c r="F268" i="13"/>
  <c r="C260" i="10"/>
  <c r="F259" i="10"/>
  <c r="E259" i="10"/>
  <c r="E326" i="9"/>
  <c r="C327" i="9"/>
  <c r="F326" i="9"/>
  <c r="C327" i="8"/>
  <c r="E326" i="8"/>
  <c r="F326" i="8"/>
  <c r="C270" i="5"/>
  <c r="E269" i="5"/>
  <c r="F269" i="5"/>
  <c r="C260" i="4"/>
  <c r="F259" i="4"/>
  <c r="E259" i="4"/>
  <c r="F268" i="3"/>
  <c r="C269" i="3"/>
  <c r="E268" i="3"/>
  <c r="C260" i="2"/>
  <c r="E259" i="2"/>
  <c r="F259" i="2"/>
  <c r="C329" i="1"/>
  <c r="F328" i="1"/>
  <c r="E328" i="1"/>
  <c r="F264" i="19" l="1"/>
  <c r="F269" i="13"/>
  <c r="E269" i="13"/>
  <c r="C270" i="13"/>
  <c r="E260" i="10"/>
  <c r="C261" i="10"/>
  <c r="F260" i="10"/>
  <c r="F327" i="9"/>
  <c r="C328" i="9"/>
  <c r="E327" i="9"/>
  <c r="E327" i="8"/>
  <c r="C328" i="8"/>
  <c r="F327" i="8"/>
  <c r="E270" i="5"/>
  <c r="C271" i="5"/>
  <c r="F270" i="5"/>
  <c r="E260" i="4"/>
  <c r="C261" i="4"/>
  <c r="F260" i="4"/>
  <c r="C270" i="3"/>
  <c r="F269" i="3"/>
  <c r="E269" i="3"/>
  <c r="E260" i="2"/>
  <c r="C261" i="2"/>
  <c r="F260" i="2"/>
  <c r="F329" i="1"/>
  <c r="C330" i="1"/>
  <c r="E329" i="1"/>
  <c r="F265" i="19" l="1"/>
  <c r="C271" i="13"/>
  <c r="F270" i="13"/>
  <c r="E270" i="13"/>
  <c r="F261" i="10"/>
  <c r="E261" i="10"/>
  <c r="C262" i="10"/>
  <c r="C329" i="9"/>
  <c r="F328" i="9"/>
  <c r="E328" i="9"/>
  <c r="F328" i="8"/>
  <c r="C329" i="8"/>
  <c r="E328" i="8"/>
  <c r="F271" i="5"/>
  <c r="E271" i="5"/>
  <c r="C272" i="5"/>
  <c r="F261" i="4"/>
  <c r="E261" i="4"/>
  <c r="C262" i="4"/>
  <c r="E270" i="3"/>
  <c r="C271" i="3"/>
  <c r="F270" i="3"/>
  <c r="C262" i="2"/>
  <c r="E261" i="2"/>
  <c r="F261" i="2"/>
  <c r="F330" i="1"/>
  <c r="E330" i="1"/>
  <c r="C331" i="1"/>
  <c r="F266" i="19" l="1"/>
  <c r="E271" i="13"/>
  <c r="C272" i="13"/>
  <c r="F271" i="13"/>
  <c r="C263" i="10"/>
  <c r="E262" i="10"/>
  <c r="F262" i="10"/>
  <c r="F329" i="9"/>
  <c r="E329" i="9"/>
  <c r="C330" i="9"/>
  <c r="C330" i="8"/>
  <c r="F329" i="8"/>
  <c r="E329" i="8"/>
  <c r="C273" i="5"/>
  <c r="E272" i="5"/>
  <c r="F272" i="5"/>
  <c r="C263" i="4"/>
  <c r="F262" i="4"/>
  <c r="E262" i="4"/>
  <c r="F271" i="3"/>
  <c r="E271" i="3"/>
  <c r="C272" i="3"/>
  <c r="E262" i="2"/>
  <c r="F262" i="2"/>
  <c r="C263" i="2"/>
  <c r="E331" i="1"/>
  <c r="C332" i="1"/>
  <c r="F331" i="1"/>
  <c r="F267" i="19" l="1"/>
  <c r="F272" i="13"/>
  <c r="C273" i="13"/>
  <c r="E272" i="13"/>
  <c r="F263" i="10"/>
  <c r="E263" i="10"/>
  <c r="C264" i="10"/>
  <c r="C331" i="9"/>
  <c r="E330" i="9"/>
  <c r="F330" i="9"/>
  <c r="F330" i="8"/>
  <c r="C331" i="8"/>
  <c r="E330" i="8"/>
  <c r="F273" i="5"/>
  <c r="E273" i="5"/>
  <c r="C274" i="5"/>
  <c r="F263" i="4"/>
  <c r="E263" i="4"/>
  <c r="C264" i="4"/>
  <c r="F272" i="3"/>
  <c r="C273" i="3"/>
  <c r="E272" i="3"/>
  <c r="C264" i="2"/>
  <c r="E263" i="2"/>
  <c r="F263" i="2"/>
  <c r="E332" i="1"/>
  <c r="C333" i="1"/>
  <c r="F332" i="1"/>
  <c r="F268" i="19" l="1"/>
  <c r="C274" i="13"/>
  <c r="E273" i="13"/>
  <c r="F273" i="13"/>
  <c r="C265" i="10"/>
  <c r="F264" i="10"/>
  <c r="E264" i="10"/>
  <c r="F331" i="9"/>
  <c r="E331" i="9"/>
  <c r="C332" i="9"/>
  <c r="C332" i="8"/>
  <c r="F331" i="8"/>
  <c r="E331" i="8"/>
  <c r="C275" i="5"/>
  <c r="F274" i="5"/>
  <c r="E274" i="5"/>
  <c r="C265" i="4"/>
  <c r="F264" i="4"/>
  <c r="E264" i="4"/>
  <c r="F273" i="3"/>
  <c r="E273" i="3"/>
  <c r="C274" i="3"/>
  <c r="E264" i="2"/>
  <c r="F264" i="2"/>
  <c r="C265" i="2"/>
  <c r="F333" i="1"/>
  <c r="E333" i="1"/>
  <c r="C334" i="1"/>
  <c r="F269" i="19" l="1"/>
  <c r="F274" i="13"/>
  <c r="E274" i="13"/>
  <c r="C275" i="13"/>
  <c r="C266" i="10"/>
  <c r="F265" i="10"/>
  <c r="E265" i="10"/>
  <c r="F332" i="9"/>
  <c r="E332" i="9"/>
  <c r="C333" i="9"/>
  <c r="F332" i="8"/>
  <c r="C333" i="8"/>
  <c r="E332" i="8"/>
  <c r="C276" i="5"/>
  <c r="F275" i="5"/>
  <c r="E275" i="5"/>
  <c r="C266" i="4"/>
  <c r="F265" i="4"/>
  <c r="E265" i="4"/>
  <c r="C275" i="3"/>
  <c r="E274" i="3"/>
  <c r="F274" i="3"/>
  <c r="C266" i="2"/>
  <c r="E265" i="2"/>
  <c r="F265" i="2"/>
  <c r="E334" i="1"/>
  <c r="C335" i="1"/>
  <c r="F334" i="1"/>
  <c r="F270" i="19" l="1"/>
  <c r="C276" i="13"/>
  <c r="E275" i="13"/>
  <c r="F275" i="13"/>
  <c r="F266" i="10"/>
  <c r="E266" i="10"/>
  <c r="C267" i="10"/>
  <c r="C334" i="9"/>
  <c r="F333" i="9"/>
  <c r="E333" i="9"/>
  <c r="E333" i="8"/>
  <c r="C334" i="8"/>
  <c r="F333" i="8"/>
  <c r="F276" i="5"/>
  <c r="E276" i="5"/>
  <c r="C277" i="5"/>
  <c r="F266" i="4"/>
  <c r="E266" i="4"/>
  <c r="C267" i="4"/>
  <c r="E275" i="3"/>
  <c r="C276" i="3"/>
  <c r="F275" i="3"/>
  <c r="E266" i="2"/>
  <c r="C267" i="2"/>
  <c r="F266" i="2"/>
  <c r="F335" i="1"/>
  <c r="C336" i="1"/>
  <c r="E335" i="1"/>
  <c r="F271" i="19" l="1"/>
  <c r="E276" i="13"/>
  <c r="C277" i="13"/>
  <c r="F276" i="13"/>
  <c r="C268" i="10"/>
  <c r="F267" i="10"/>
  <c r="E267" i="10"/>
  <c r="E334" i="9"/>
  <c r="C335" i="9"/>
  <c r="F334" i="9"/>
  <c r="E334" i="8"/>
  <c r="C335" i="8"/>
  <c r="F334" i="8"/>
  <c r="C278" i="5"/>
  <c r="F277" i="5"/>
  <c r="E277" i="5"/>
  <c r="C268" i="4"/>
  <c r="F267" i="4"/>
  <c r="E267" i="4"/>
  <c r="F276" i="3"/>
  <c r="E276" i="3"/>
  <c r="C277" i="3"/>
  <c r="C268" i="2"/>
  <c r="F267" i="2"/>
  <c r="E267" i="2"/>
  <c r="C337" i="1"/>
  <c r="F336" i="1"/>
  <c r="E336" i="1"/>
  <c r="F272" i="19" l="1"/>
  <c r="F277" i="13"/>
  <c r="E277" i="13"/>
  <c r="C278" i="13"/>
  <c r="E268" i="10"/>
  <c r="C269" i="10"/>
  <c r="F268" i="10"/>
  <c r="F335" i="9"/>
  <c r="C336" i="9"/>
  <c r="E335" i="9"/>
  <c r="E335" i="8"/>
  <c r="C336" i="8"/>
  <c r="F335" i="8"/>
  <c r="E278" i="5"/>
  <c r="F278" i="5"/>
  <c r="C279" i="5"/>
  <c r="E268" i="4"/>
  <c r="C269" i="4"/>
  <c r="F268" i="4"/>
  <c r="C278" i="3"/>
  <c r="F277" i="3"/>
  <c r="E277" i="3"/>
  <c r="E268" i="2"/>
  <c r="C269" i="2"/>
  <c r="F268" i="2"/>
  <c r="C338" i="1"/>
  <c r="F337" i="1"/>
  <c r="E337" i="1"/>
  <c r="F273" i="19" l="1"/>
  <c r="C279" i="13"/>
  <c r="F278" i="13"/>
  <c r="E278" i="13"/>
  <c r="F269" i="10"/>
  <c r="E269" i="10"/>
  <c r="C270" i="10"/>
  <c r="C337" i="9"/>
  <c r="F336" i="9"/>
  <c r="E336" i="9"/>
  <c r="F336" i="8"/>
  <c r="C337" i="8"/>
  <c r="E336" i="8"/>
  <c r="F279" i="5"/>
  <c r="E279" i="5"/>
  <c r="C280" i="5"/>
  <c r="F269" i="4"/>
  <c r="E269" i="4"/>
  <c r="C270" i="4"/>
  <c r="E278" i="3"/>
  <c r="C279" i="3"/>
  <c r="F278" i="3"/>
  <c r="C270" i="2"/>
  <c r="F269" i="2"/>
  <c r="E269" i="2"/>
  <c r="E338" i="1"/>
  <c r="C339" i="1"/>
  <c r="F338" i="1"/>
  <c r="F274" i="19" l="1"/>
  <c r="E279" i="13"/>
  <c r="C280" i="13"/>
  <c r="F279" i="13"/>
  <c r="C271" i="10"/>
  <c r="E270" i="10"/>
  <c r="F270" i="10"/>
  <c r="F337" i="9"/>
  <c r="E337" i="9"/>
  <c r="C338" i="9"/>
  <c r="E337" i="8"/>
  <c r="C338" i="8"/>
  <c r="F337" i="8"/>
  <c r="C281" i="5"/>
  <c r="E280" i="5"/>
  <c r="F280" i="5"/>
  <c r="C271" i="4"/>
  <c r="F270" i="4"/>
  <c r="E270" i="4"/>
  <c r="F279" i="3"/>
  <c r="C280" i="3"/>
  <c r="E279" i="3"/>
  <c r="E270" i="2"/>
  <c r="C271" i="2"/>
  <c r="F270" i="2"/>
  <c r="C340" i="1"/>
  <c r="F339" i="1"/>
  <c r="E339" i="1"/>
  <c r="F275" i="19" l="1"/>
  <c r="F280" i="13"/>
  <c r="C281" i="13"/>
  <c r="E280" i="13"/>
  <c r="F271" i="10"/>
  <c r="E271" i="10"/>
  <c r="C272" i="10"/>
  <c r="C339" i="9"/>
  <c r="E338" i="9"/>
  <c r="F338" i="9"/>
  <c r="F338" i="8"/>
  <c r="C339" i="8"/>
  <c r="E338" i="8"/>
  <c r="F281" i="5"/>
  <c r="E281" i="5"/>
  <c r="C282" i="5"/>
  <c r="F271" i="4"/>
  <c r="E271" i="4"/>
  <c r="C272" i="4"/>
  <c r="C281" i="3"/>
  <c r="E280" i="3"/>
  <c r="F280" i="3"/>
  <c r="C272" i="2"/>
  <c r="F271" i="2"/>
  <c r="E271" i="2"/>
  <c r="E340" i="1"/>
  <c r="F340" i="1"/>
  <c r="C341" i="1"/>
  <c r="F276" i="19" l="1"/>
  <c r="C282" i="13"/>
  <c r="E281" i="13"/>
  <c r="F281" i="13"/>
  <c r="C273" i="10"/>
  <c r="F272" i="10"/>
  <c r="E272" i="10"/>
  <c r="F339" i="9"/>
  <c r="E339" i="9"/>
  <c r="C340" i="9"/>
  <c r="C340" i="8"/>
  <c r="F339" i="8"/>
  <c r="E339" i="8"/>
  <c r="C283" i="5"/>
  <c r="F282" i="5"/>
  <c r="E282" i="5"/>
  <c r="C273" i="4"/>
  <c r="F272" i="4"/>
  <c r="E272" i="4"/>
  <c r="F281" i="3"/>
  <c r="E281" i="3"/>
  <c r="C282" i="3"/>
  <c r="E272" i="2"/>
  <c r="F272" i="2"/>
  <c r="C273" i="2"/>
  <c r="F341" i="1"/>
  <c r="C342" i="1"/>
  <c r="E341" i="1"/>
  <c r="F277" i="19" l="1"/>
  <c r="F282" i="13"/>
  <c r="E282" i="13"/>
  <c r="C283" i="13"/>
  <c r="C274" i="10"/>
  <c r="F273" i="10"/>
  <c r="E273" i="10"/>
  <c r="F340" i="9"/>
  <c r="E340" i="9"/>
  <c r="C341" i="9"/>
  <c r="F340" i="8"/>
  <c r="E340" i="8"/>
  <c r="C341" i="8"/>
  <c r="C284" i="5"/>
  <c r="F283" i="5"/>
  <c r="E283" i="5"/>
  <c r="C274" i="4"/>
  <c r="F273" i="4"/>
  <c r="E273" i="4"/>
  <c r="C283" i="3"/>
  <c r="E282" i="3"/>
  <c r="F282" i="3"/>
  <c r="C274" i="2"/>
  <c r="F273" i="2"/>
  <c r="E273" i="2"/>
  <c r="C343" i="1"/>
  <c r="E342" i="1"/>
  <c r="F342" i="1"/>
  <c r="F278" i="19" l="1"/>
  <c r="C284" i="13"/>
  <c r="E283" i="13"/>
  <c r="F283" i="13"/>
  <c r="F274" i="10"/>
  <c r="E274" i="10"/>
  <c r="C275" i="10"/>
  <c r="C342" i="9"/>
  <c r="F341" i="9"/>
  <c r="E341" i="9"/>
  <c r="E341" i="8"/>
  <c r="C342" i="8"/>
  <c r="F341" i="8"/>
  <c r="F284" i="5"/>
  <c r="E284" i="5"/>
  <c r="C285" i="5"/>
  <c r="F274" i="4"/>
  <c r="E274" i="4"/>
  <c r="C275" i="4"/>
  <c r="C284" i="3"/>
  <c r="E283" i="3"/>
  <c r="F283" i="3"/>
  <c r="E274" i="2"/>
  <c r="C275" i="2"/>
  <c r="F274" i="2"/>
  <c r="F343" i="1"/>
  <c r="C344" i="1"/>
  <c r="E343" i="1"/>
  <c r="F279" i="19" l="1"/>
  <c r="E284" i="13"/>
  <c r="C285" i="13"/>
  <c r="F284" i="13"/>
  <c r="C276" i="10"/>
  <c r="F275" i="10"/>
  <c r="E275" i="10"/>
  <c r="E342" i="9"/>
  <c r="C343" i="9"/>
  <c r="F342" i="9"/>
  <c r="C343" i="8"/>
  <c r="E342" i="8"/>
  <c r="F342" i="8"/>
  <c r="C286" i="5"/>
  <c r="E285" i="5"/>
  <c r="F285" i="5"/>
  <c r="C276" i="4"/>
  <c r="F275" i="4"/>
  <c r="E275" i="4"/>
  <c r="F284" i="3"/>
  <c r="E284" i="3"/>
  <c r="C285" i="3"/>
  <c r="C276" i="2"/>
  <c r="F275" i="2"/>
  <c r="E275" i="2"/>
  <c r="C345" i="1"/>
  <c r="F344" i="1"/>
  <c r="E344" i="1"/>
  <c r="F280" i="19" l="1"/>
  <c r="C286" i="13"/>
  <c r="F285" i="13"/>
  <c r="E285" i="13"/>
  <c r="E276" i="10"/>
  <c r="C277" i="10"/>
  <c r="F276" i="10"/>
  <c r="F343" i="9"/>
  <c r="C344" i="9"/>
  <c r="E343" i="9"/>
  <c r="E343" i="8"/>
  <c r="C344" i="8"/>
  <c r="F343" i="8"/>
  <c r="E286" i="5"/>
  <c r="C287" i="5"/>
  <c r="F286" i="5"/>
  <c r="E276" i="4"/>
  <c r="C277" i="4"/>
  <c r="F276" i="4"/>
  <c r="C286" i="3"/>
  <c r="F285" i="3"/>
  <c r="E285" i="3"/>
  <c r="E276" i="2"/>
  <c r="C277" i="2"/>
  <c r="F276" i="2"/>
  <c r="F345" i="1"/>
  <c r="E345" i="1"/>
  <c r="C346" i="1"/>
  <c r="F281" i="19" l="1"/>
  <c r="C287" i="13"/>
  <c r="F286" i="13"/>
  <c r="E286" i="13"/>
  <c r="F277" i="10"/>
  <c r="E277" i="10"/>
  <c r="C278" i="10"/>
  <c r="C345" i="9"/>
  <c r="F344" i="9"/>
  <c r="E344" i="9"/>
  <c r="F344" i="8"/>
  <c r="E344" i="8"/>
  <c r="C345" i="8"/>
  <c r="F287" i="5"/>
  <c r="E287" i="5"/>
  <c r="C288" i="5"/>
  <c r="F277" i="4"/>
  <c r="E277" i="4"/>
  <c r="C278" i="4"/>
  <c r="E286" i="3"/>
  <c r="C287" i="3"/>
  <c r="F286" i="3"/>
  <c r="C278" i="2"/>
  <c r="F277" i="2"/>
  <c r="E277" i="2"/>
  <c r="C347" i="1"/>
  <c r="F346" i="1"/>
  <c r="E346" i="1"/>
  <c r="F282" i="19" l="1"/>
  <c r="F287" i="13"/>
  <c r="E287" i="13"/>
  <c r="C288" i="13"/>
  <c r="C279" i="10"/>
  <c r="E278" i="10"/>
  <c r="F278" i="10"/>
  <c r="F345" i="9"/>
  <c r="E345" i="9"/>
  <c r="C346" i="9"/>
  <c r="C346" i="8"/>
  <c r="F345" i="8"/>
  <c r="E345" i="8"/>
  <c r="C289" i="5"/>
  <c r="E288" i="5"/>
  <c r="F288" i="5"/>
  <c r="C279" i="4"/>
  <c r="F278" i="4"/>
  <c r="E278" i="4"/>
  <c r="F287" i="3"/>
  <c r="E287" i="3"/>
  <c r="C288" i="3"/>
  <c r="E278" i="2"/>
  <c r="C279" i="2"/>
  <c r="F278" i="2"/>
  <c r="E347" i="1"/>
  <c r="F347" i="1"/>
  <c r="C348" i="1"/>
  <c r="F283" i="19" l="1"/>
  <c r="C289" i="13"/>
  <c r="F288" i="13"/>
  <c r="E288" i="13"/>
  <c r="F279" i="10"/>
  <c r="E279" i="10"/>
  <c r="C280" i="10"/>
  <c r="C347" i="9"/>
  <c r="E346" i="9"/>
  <c r="F346" i="9"/>
  <c r="F346" i="8"/>
  <c r="C347" i="8"/>
  <c r="E346" i="8"/>
  <c r="F289" i="5"/>
  <c r="E289" i="5"/>
  <c r="C290" i="5"/>
  <c r="F279" i="4"/>
  <c r="E279" i="4"/>
  <c r="C280" i="4"/>
  <c r="C289" i="3"/>
  <c r="E288" i="3"/>
  <c r="F288" i="3"/>
  <c r="C280" i="2"/>
  <c r="F279" i="2"/>
  <c r="E279" i="2"/>
  <c r="E348" i="1"/>
  <c r="C349" i="1"/>
  <c r="F348" i="1"/>
  <c r="F284" i="19" l="1"/>
  <c r="E289" i="13"/>
  <c r="C290" i="13"/>
  <c r="F289" i="13"/>
  <c r="C281" i="10"/>
  <c r="F280" i="10"/>
  <c r="E280" i="10"/>
  <c r="F347" i="9"/>
  <c r="E347" i="9"/>
  <c r="C348" i="9"/>
  <c r="C348" i="8"/>
  <c r="F347" i="8"/>
  <c r="E347" i="8"/>
  <c r="C291" i="5"/>
  <c r="F290" i="5"/>
  <c r="E290" i="5"/>
  <c r="C281" i="4"/>
  <c r="F280" i="4"/>
  <c r="E280" i="4"/>
  <c r="F289" i="3"/>
  <c r="E289" i="3"/>
  <c r="C290" i="3"/>
  <c r="E280" i="2"/>
  <c r="F280" i="2"/>
  <c r="C281" i="2"/>
  <c r="F349" i="1"/>
  <c r="C350" i="1"/>
  <c r="E349" i="1"/>
  <c r="F285" i="19" l="1"/>
  <c r="F290" i="13"/>
  <c r="E290" i="13"/>
  <c r="C291" i="13"/>
  <c r="C282" i="10"/>
  <c r="F281" i="10"/>
  <c r="E281" i="10"/>
  <c r="F348" i="9"/>
  <c r="E348" i="9"/>
  <c r="C349" i="9"/>
  <c r="F348" i="8"/>
  <c r="C349" i="8"/>
  <c r="E348" i="8"/>
  <c r="C292" i="5"/>
  <c r="F291" i="5"/>
  <c r="E291" i="5"/>
  <c r="C282" i="4"/>
  <c r="F281" i="4"/>
  <c r="E281" i="4"/>
  <c r="C291" i="3"/>
  <c r="F290" i="3"/>
  <c r="E290" i="3"/>
  <c r="C282" i="2"/>
  <c r="F281" i="2"/>
  <c r="E281" i="2"/>
  <c r="E350" i="1"/>
  <c r="C351" i="1"/>
  <c r="F350" i="1"/>
  <c r="F286" i="19" l="1"/>
  <c r="C292" i="13"/>
  <c r="E291" i="13"/>
  <c r="F291" i="13"/>
  <c r="F282" i="10"/>
  <c r="E282" i="10"/>
  <c r="C283" i="10"/>
  <c r="C350" i="9"/>
  <c r="F349" i="9"/>
  <c r="E349" i="9"/>
  <c r="E349" i="8"/>
  <c r="C350" i="8"/>
  <c r="F349" i="8"/>
  <c r="F292" i="5"/>
  <c r="E292" i="5"/>
  <c r="C293" i="5"/>
  <c r="F282" i="4"/>
  <c r="E282" i="4"/>
  <c r="C283" i="4"/>
  <c r="C292" i="3"/>
  <c r="F291" i="3"/>
  <c r="E291" i="3"/>
  <c r="E282" i="2"/>
  <c r="C283" i="2"/>
  <c r="F282" i="2"/>
  <c r="F351" i="1"/>
  <c r="C352" i="1"/>
  <c r="E351" i="1"/>
  <c r="F287" i="19" l="1"/>
  <c r="F292" i="13"/>
  <c r="E292" i="13"/>
  <c r="C293" i="13"/>
  <c r="C284" i="10"/>
  <c r="F283" i="10"/>
  <c r="E283" i="10"/>
  <c r="E350" i="9"/>
  <c r="C351" i="9"/>
  <c r="F350" i="9"/>
  <c r="E350" i="8"/>
  <c r="C351" i="8"/>
  <c r="F350" i="8"/>
  <c r="C294" i="5"/>
  <c r="F293" i="5"/>
  <c r="E293" i="5"/>
  <c r="C284" i="4"/>
  <c r="F283" i="4"/>
  <c r="E283" i="4"/>
  <c r="F292" i="3"/>
  <c r="E292" i="3"/>
  <c r="C293" i="3"/>
  <c r="C284" i="2"/>
  <c r="F283" i="2"/>
  <c r="E283" i="2"/>
  <c r="C353" i="1"/>
  <c r="F352" i="1"/>
  <c r="E352" i="1"/>
  <c r="F288" i="19" l="1"/>
  <c r="C294" i="13"/>
  <c r="F293" i="13"/>
  <c r="E293" i="13"/>
  <c r="E284" i="10"/>
  <c r="C285" i="10"/>
  <c r="F284" i="10"/>
  <c r="F351" i="9"/>
  <c r="C352" i="9"/>
  <c r="E351" i="9"/>
  <c r="E351" i="8"/>
  <c r="C352" i="8"/>
  <c r="F351" i="8"/>
  <c r="E294" i="5"/>
  <c r="F294" i="5"/>
  <c r="C295" i="5"/>
  <c r="E284" i="4"/>
  <c r="C285" i="4"/>
  <c r="F284" i="4"/>
  <c r="C294" i="3"/>
  <c r="F293" i="3"/>
  <c r="E293" i="3"/>
  <c r="E284" i="2"/>
  <c r="C285" i="2"/>
  <c r="F284" i="2"/>
  <c r="E353" i="1"/>
  <c r="C354" i="1"/>
  <c r="F353" i="1"/>
  <c r="F289" i="19" l="1"/>
  <c r="C295" i="13"/>
  <c r="F294" i="13"/>
  <c r="E294" i="13"/>
  <c r="F285" i="10"/>
  <c r="E285" i="10"/>
  <c r="C286" i="10"/>
  <c r="C353" i="9"/>
  <c r="F352" i="9"/>
  <c r="E352" i="9"/>
  <c r="F352" i="8"/>
  <c r="C353" i="8"/>
  <c r="E352" i="8"/>
  <c r="F295" i="5"/>
  <c r="E295" i="5"/>
  <c r="C296" i="5"/>
  <c r="F285" i="4"/>
  <c r="E285" i="4"/>
  <c r="C286" i="4"/>
  <c r="E294" i="3"/>
  <c r="C295" i="3"/>
  <c r="F294" i="3"/>
  <c r="C286" i="2"/>
  <c r="F285" i="2"/>
  <c r="E285" i="2"/>
  <c r="E354" i="1"/>
  <c r="C355" i="1"/>
  <c r="F354" i="1"/>
  <c r="F290" i="19" l="1"/>
  <c r="F295" i="13"/>
  <c r="E295" i="13"/>
  <c r="C296" i="13"/>
  <c r="C287" i="10"/>
  <c r="E286" i="10"/>
  <c r="F286" i="10"/>
  <c r="F353" i="9"/>
  <c r="E353" i="9"/>
  <c r="C354" i="9"/>
  <c r="E353" i="8"/>
  <c r="C354" i="8"/>
  <c r="F353" i="8"/>
  <c r="C297" i="5"/>
  <c r="E296" i="5"/>
  <c r="F296" i="5"/>
  <c r="C287" i="4"/>
  <c r="F286" i="4"/>
  <c r="E286" i="4"/>
  <c r="F295" i="3"/>
  <c r="E295" i="3"/>
  <c r="C296" i="3"/>
  <c r="E286" i="2"/>
  <c r="C287" i="2"/>
  <c r="F286" i="2"/>
  <c r="C356" i="1"/>
  <c r="E355" i="1"/>
  <c r="F355" i="1"/>
  <c r="F291" i="19" l="1"/>
  <c r="C297" i="13"/>
  <c r="F296" i="13"/>
  <c r="E296" i="13"/>
  <c r="F287" i="10"/>
  <c r="E287" i="10"/>
  <c r="C288" i="10"/>
  <c r="C355" i="9"/>
  <c r="E354" i="9"/>
  <c r="F354" i="9"/>
  <c r="F354" i="8"/>
  <c r="C355" i="8"/>
  <c r="E354" i="8"/>
  <c r="F297" i="5"/>
  <c r="E297" i="5"/>
  <c r="C298" i="5"/>
  <c r="F287" i="4"/>
  <c r="E287" i="4"/>
  <c r="C288" i="4"/>
  <c r="C297" i="3"/>
  <c r="F296" i="3"/>
  <c r="E296" i="3"/>
  <c r="C288" i="2"/>
  <c r="F287" i="2"/>
  <c r="E287" i="2"/>
  <c r="E356" i="1"/>
  <c r="C357" i="1"/>
  <c r="F356" i="1"/>
  <c r="F292" i="19" l="1"/>
  <c r="E297" i="13"/>
  <c r="C298" i="13"/>
  <c r="F297" i="13"/>
  <c r="C289" i="10"/>
  <c r="F288" i="10"/>
  <c r="E288" i="10"/>
  <c r="F355" i="9"/>
  <c r="E355" i="9"/>
  <c r="C356" i="9"/>
  <c r="C356" i="8"/>
  <c r="F355" i="8"/>
  <c r="E355" i="8"/>
  <c r="C299" i="5"/>
  <c r="F298" i="5"/>
  <c r="E298" i="5"/>
  <c r="C289" i="4"/>
  <c r="F288" i="4"/>
  <c r="E288" i="4"/>
  <c r="F297" i="3"/>
  <c r="E297" i="3"/>
  <c r="C298" i="3"/>
  <c r="E288" i="2"/>
  <c r="F288" i="2"/>
  <c r="C289" i="2"/>
  <c r="F357" i="1"/>
  <c r="E357" i="1"/>
  <c r="C358" i="1"/>
  <c r="F293" i="19" l="1"/>
  <c r="F298" i="13"/>
  <c r="E298" i="13"/>
  <c r="C299" i="13"/>
  <c r="C290" i="10"/>
  <c r="F289" i="10"/>
  <c r="E289" i="10"/>
  <c r="F356" i="9"/>
  <c r="E356" i="9"/>
  <c r="C357" i="9"/>
  <c r="F356" i="8"/>
  <c r="E356" i="8"/>
  <c r="C357" i="8"/>
  <c r="C300" i="5"/>
  <c r="F299" i="5"/>
  <c r="E299" i="5"/>
  <c r="C290" i="4"/>
  <c r="F289" i="4"/>
  <c r="E289" i="4"/>
  <c r="C299" i="3"/>
  <c r="F298" i="3"/>
  <c r="E298" i="3"/>
  <c r="C290" i="2"/>
  <c r="F289" i="2"/>
  <c r="E289" i="2"/>
  <c r="C359" i="1"/>
  <c r="E358" i="1"/>
  <c r="F358" i="1"/>
  <c r="F294" i="19" l="1"/>
  <c r="C300" i="13"/>
  <c r="E299" i="13"/>
  <c r="F299" i="13"/>
  <c r="F290" i="10"/>
  <c r="E290" i="10"/>
  <c r="C291" i="10"/>
  <c r="C358" i="9"/>
  <c r="F357" i="9"/>
  <c r="E357" i="9"/>
  <c r="E357" i="8"/>
  <c r="C358" i="8"/>
  <c r="F357" i="8"/>
  <c r="F300" i="5"/>
  <c r="E300" i="5"/>
  <c r="C301" i="5"/>
  <c r="F290" i="4"/>
  <c r="E290" i="4"/>
  <c r="C291" i="4"/>
  <c r="C300" i="3"/>
  <c r="E299" i="3"/>
  <c r="F299" i="3"/>
  <c r="E290" i="2"/>
  <c r="C291" i="2"/>
  <c r="F290" i="2"/>
  <c r="F359" i="1"/>
  <c r="C360" i="1"/>
  <c r="E359" i="1"/>
  <c r="F295" i="19" l="1"/>
  <c r="F300" i="13"/>
  <c r="E300" i="13"/>
  <c r="C301" i="13"/>
  <c r="C292" i="10"/>
  <c r="F291" i="10"/>
  <c r="E291" i="10"/>
  <c r="E358" i="9"/>
  <c r="C359" i="9"/>
  <c r="F358" i="9"/>
  <c r="C359" i="8"/>
  <c r="E358" i="8"/>
  <c r="F358" i="8"/>
  <c r="C302" i="5"/>
  <c r="E301" i="5"/>
  <c r="F301" i="5"/>
  <c r="C292" i="4"/>
  <c r="F291" i="4"/>
  <c r="E291" i="4"/>
  <c r="F300" i="3"/>
  <c r="E300" i="3"/>
  <c r="C301" i="3"/>
  <c r="C292" i="2"/>
  <c r="F291" i="2"/>
  <c r="E291" i="2"/>
  <c r="C361" i="1"/>
  <c r="F360" i="1"/>
  <c r="E360" i="1"/>
  <c r="F296" i="19" l="1"/>
  <c r="C302" i="13"/>
  <c r="F301" i="13"/>
  <c r="E301" i="13"/>
  <c r="E292" i="10"/>
  <c r="C293" i="10"/>
  <c r="F292" i="10"/>
  <c r="F359" i="9"/>
  <c r="C360" i="9"/>
  <c r="E359" i="9"/>
  <c r="E359" i="8"/>
  <c r="C360" i="8"/>
  <c r="F359" i="8"/>
  <c r="E302" i="5"/>
  <c r="C303" i="5"/>
  <c r="F302" i="5"/>
  <c r="E292" i="4"/>
  <c r="C293" i="4"/>
  <c r="F292" i="4"/>
  <c r="C302" i="3"/>
  <c r="F301" i="3"/>
  <c r="E301" i="3"/>
  <c r="E292" i="2"/>
  <c r="C293" i="2"/>
  <c r="F292" i="2"/>
  <c r="F361" i="1"/>
  <c r="C362" i="1"/>
  <c r="E361" i="1"/>
  <c r="F297" i="19" l="1"/>
  <c r="C303" i="13"/>
  <c r="F302" i="13"/>
  <c r="E302" i="13"/>
  <c r="F293" i="10"/>
  <c r="E293" i="10"/>
  <c r="C294" i="10"/>
  <c r="C361" i="9"/>
  <c r="F360" i="9"/>
  <c r="E360" i="9"/>
  <c r="F360" i="8"/>
  <c r="C361" i="8"/>
  <c r="E360" i="8"/>
  <c r="F303" i="5"/>
  <c r="E303" i="5"/>
  <c r="C304" i="5"/>
  <c r="F293" i="4"/>
  <c r="E293" i="4"/>
  <c r="C294" i="4"/>
  <c r="E302" i="3"/>
  <c r="C303" i="3"/>
  <c r="F302" i="3"/>
  <c r="C294" i="2"/>
  <c r="F293" i="2"/>
  <c r="E293" i="2"/>
  <c r="F362" i="1"/>
  <c r="E362" i="1"/>
  <c r="C363" i="1"/>
  <c r="F298" i="19" l="1"/>
  <c r="F303" i="13"/>
  <c r="E303" i="13"/>
  <c r="C304" i="13"/>
  <c r="C295" i="10"/>
  <c r="E294" i="10"/>
  <c r="F294" i="10"/>
  <c r="F361" i="9"/>
  <c r="E361" i="9"/>
  <c r="C362" i="9"/>
  <c r="C362" i="8"/>
  <c r="F361" i="8"/>
  <c r="E361" i="8"/>
  <c r="C305" i="5"/>
  <c r="E304" i="5"/>
  <c r="F304" i="5"/>
  <c r="C295" i="4"/>
  <c r="F294" i="4"/>
  <c r="E294" i="4"/>
  <c r="F303" i="3"/>
  <c r="E303" i="3"/>
  <c r="C304" i="3"/>
  <c r="E294" i="2"/>
  <c r="C295" i="2"/>
  <c r="F294" i="2"/>
  <c r="E363" i="1"/>
  <c r="C364" i="1"/>
  <c r="F363" i="1"/>
  <c r="F299" i="19" l="1"/>
  <c r="C305" i="13"/>
  <c r="F304" i="13"/>
  <c r="E304" i="13"/>
  <c r="F295" i="10"/>
  <c r="E295" i="10"/>
  <c r="C296" i="10"/>
  <c r="C363" i="9"/>
  <c r="E362" i="9"/>
  <c r="F362" i="9"/>
  <c r="F362" i="8"/>
  <c r="C363" i="8"/>
  <c r="E362" i="8"/>
  <c r="F305" i="5"/>
  <c r="E305" i="5"/>
  <c r="C306" i="5"/>
  <c r="F295" i="4"/>
  <c r="E295" i="4"/>
  <c r="C296" i="4"/>
  <c r="C305" i="3"/>
  <c r="E304" i="3"/>
  <c r="F304" i="3"/>
  <c r="C296" i="2"/>
  <c r="F295" i="2"/>
  <c r="E295" i="2"/>
  <c r="E364" i="1"/>
  <c r="C365" i="1"/>
  <c r="F364" i="1"/>
  <c r="F300" i="19" l="1"/>
  <c r="E305" i="13"/>
  <c r="C306" i="13"/>
  <c r="F305" i="13"/>
  <c r="C297" i="10"/>
  <c r="F296" i="10"/>
  <c r="E296" i="10"/>
  <c r="F363" i="9"/>
  <c r="E363" i="9"/>
  <c r="C364" i="9"/>
  <c r="C364" i="8"/>
  <c r="F363" i="8"/>
  <c r="E363" i="8"/>
  <c r="C307" i="5"/>
  <c r="F306" i="5"/>
  <c r="E306" i="5"/>
  <c r="C297" i="4"/>
  <c r="F296" i="4"/>
  <c r="E296" i="4"/>
  <c r="F305" i="3"/>
  <c r="E305" i="3"/>
  <c r="C306" i="3"/>
  <c r="E296" i="2"/>
  <c r="F296" i="2"/>
  <c r="C297" i="2"/>
  <c r="F365" i="1"/>
  <c r="E365" i="1"/>
  <c r="C366" i="1"/>
  <c r="F301" i="19" l="1"/>
  <c r="F306" i="13"/>
  <c r="E306" i="13"/>
  <c r="C307" i="13"/>
  <c r="C298" i="10"/>
  <c r="F297" i="10"/>
  <c r="E297" i="10"/>
  <c r="F364" i="9"/>
  <c r="E364" i="9"/>
  <c r="C365" i="9"/>
  <c r="F364" i="8"/>
  <c r="C365" i="8"/>
  <c r="E364" i="8"/>
  <c r="C308" i="5"/>
  <c r="F307" i="5"/>
  <c r="E307" i="5"/>
  <c r="C298" i="4"/>
  <c r="F297" i="4"/>
  <c r="E297" i="4"/>
  <c r="C307" i="3"/>
  <c r="F306" i="3"/>
  <c r="E306" i="3"/>
  <c r="C298" i="2"/>
  <c r="F297" i="2"/>
  <c r="E297" i="2"/>
  <c r="E366" i="1"/>
  <c r="C367" i="1"/>
  <c r="F366" i="1"/>
  <c r="C299" i="4" l="1"/>
  <c r="C300" i="4" s="1"/>
  <c r="C301" i="4" s="1"/>
  <c r="C299" i="10"/>
  <c r="F302" i="19"/>
  <c r="C308" i="13"/>
  <c r="E307" i="13"/>
  <c r="F307" i="13"/>
  <c r="F298" i="10"/>
  <c r="E298" i="10"/>
  <c r="C366" i="9"/>
  <c r="F365" i="9"/>
  <c r="E365" i="9"/>
  <c r="E365" i="8"/>
  <c r="F365" i="8"/>
  <c r="C366" i="8"/>
  <c r="F308" i="5"/>
  <c r="E308" i="5"/>
  <c r="C309" i="5"/>
  <c r="F298" i="4"/>
  <c r="E298" i="4"/>
  <c r="C308" i="3"/>
  <c r="F307" i="3"/>
  <c r="E307" i="3"/>
  <c r="E298" i="2"/>
  <c r="C299" i="2"/>
  <c r="F298" i="2"/>
  <c r="F367" i="1"/>
  <c r="C368" i="1"/>
  <c r="E367" i="1"/>
  <c r="G296" i="4" l="1"/>
  <c r="G288" i="4"/>
  <c r="G280" i="4"/>
  <c r="G272" i="4"/>
  <c r="G264" i="4"/>
  <c r="G256" i="4"/>
  <c r="G248" i="4"/>
  <c r="G240" i="4"/>
  <c r="G232" i="4"/>
  <c r="G224" i="4"/>
  <c r="G216" i="4"/>
  <c r="G208" i="4"/>
  <c r="G200" i="4"/>
  <c r="G176" i="4"/>
  <c r="G168" i="4"/>
  <c r="G152" i="4"/>
  <c r="G144" i="4"/>
  <c r="G136" i="4"/>
  <c r="G128" i="4"/>
  <c r="G120" i="4"/>
  <c r="G112" i="4"/>
  <c r="G88" i="4"/>
  <c r="G80" i="4"/>
  <c r="G72" i="4"/>
  <c r="G48" i="4"/>
  <c r="G40" i="4"/>
  <c r="G16" i="4"/>
  <c r="G295" i="4"/>
  <c r="G287" i="4"/>
  <c r="G279" i="4"/>
  <c r="G271" i="4"/>
  <c r="G263" i="4"/>
  <c r="G255" i="4"/>
  <c r="G247" i="4"/>
  <c r="G239" i="4"/>
  <c r="G231" i="4"/>
  <c r="G223" i="4"/>
  <c r="G215" i="4"/>
  <c r="G207" i="4"/>
  <c r="G199" i="4"/>
  <c r="G191" i="4"/>
  <c r="G183" i="4"/>
  <c r="G175" i="4"/>
  <c r="G167" i="4"/>
  <c r="G159" i="4"/>
  <c r="G151" i="4"/>
  <c r="G143" i="4"/>
  <c r="G135" i="4"/>
  <c r="G127" i="4"/>
  <c r="G119" i="4"/>
  <c r="G111" i="4"/>
  <c r="G103" i="4"/>
  <c r="G95" i="4"/>
  <c r="G87" i="4"/>
  <c r="G79" i="4"/>
  <c r="G71" i="4"/>
  <c r="G63" i="4"/>
  <c r="G55" i="4"/>
  <c r="G47" i="4"/>
  <c r="G39" i="4"/>
  <c r="G31" i="4"/>
  <c r="G23" i="4"/>
  <c r="G15" i="4"/>
  <c r="G7" i="4"/>
  <c r="G285" i="4"/>
  <c r="G269" i="4"/>
  <c r="G261" i="4"/>
  <c r="G245" i="4"/>
  <c r="G237" i="4"/>
  <c r="G229" i="4"/>
  <c r="G213" i="4"/>
  <c r="G197" i="4"/>
  <c r="G181" i="4"/>
  <c r="G165" i="4"/>
  <c r="G141" i="4"/>
  <c r="G125" i="4"/>
  <c r="G109" i="4"/>
  <c r="G85" i="4"/>
  <c r="G69" i="4"/>
  <c r="G45" i="4"/>
  <c r="G21" i="4"/>
  <c r="G184" i="4"/>
  <c r="G56" i="4"/>
  <c r="G24" i="4"/>
  <c r="G294" i="4"/>
  <c r="G286" i="4"/>
  <c r="G278" i="4"/>
  <c r="G270" i="4"/>
  <c r="G262" i="4"/>
  <c r="G254" i="4"/>
  <c r="G246" i="4"/>
  <c r="G238" i="4"/>
  <c r="G230" i="4"/>
  <c r="G222" i="4"/>
  <c r="G214" i="4"/>
  <c r="G206" i="4"/>
  <c r="G198" i="4"/>
  <c r="G190" i="4"/>
  <c r="G182" i="4"/>
  <c r="G174" i="4"/>
  <c r="G166" i="4"/>
  <c r="G158" i="4"/>
  <c r="G150" i="4"/>
  <c r="G142" i="4"/>
  <c r="G134" i="4"/>
  <c r="G126" i="4"/>
  <c r="G118" i="4"/>
  <c r="G110" i="4"/>
  <c r="G102" i="4"/>
  <c r="G94" i="4"/>
  <c r="G86" i="4"/>
  <c r="G78" i="4"/>
  <c r="G70" i="4"/>
  <c r="G62" i="4"/>
  <c r="G54" i="4"/>
  <c r="G46" i="4"/>
  <c r="G38" i="4"/>
  <c r="G30" i="4"/>
  <c r="G22" i="4"/>
  <c r="G14" i="4"/>
  <c r="G293" i="4"/>
  <c r="G205" i="4"/>
  <c r="G173" i="4"/>
  <c r="G149" i="4"/>
  <c r="G117" i="4"/>
  <c r="G101" i="4"/>
  <c r="G77" i="4"/>
  <c r="G53" i="4"/>
  <c r="G29" i="4"/>
  <c r="G301" i="4"/>
  <c r="G277" i="4"/>
  <c r="G253" i="4"/>
  <c r="G221" i="4"/>
  <c r="G189" i="4"/>
  <c r="G157" i="4"/>
  <c r="G133" i="4"/>
  <c r="G93" i="4"/>
  <c r="G61" i="4"/>
  <c r="G37" i="4"/>
  <c r="G13" i="4"/>
  <c r="G104" i="4"/>
  <c r="G300" i="4"/>
  <c r="G292" i="4"/>
  <c r="G284" i="4"/>
  <c r="G276" i="4"/>
  <c r="G268" i="4"/>
  <c r="G260" i="4"/>
  <c r="G252" i="4"/>
  <c r="G244" i="4"/>
  <c r="G236" i="4"/>
  <c r="G228" i="4"/>
  <c r="G220" i="4"/>
  <c r="G212" i="4"/>
  <c r="G204" i="4"/>
  <c r="G196" i="4"/>
  <c r="G188" i="4"/>
  <c r="G180" i="4"/>
  <c r="G172" i="4"/>
  <c r="G164" i="4"/>
  <c r="G156" i="4"/>
  <c r="G148" i="4"/>
  <c r="G140" i="4"/>
  <c r="G132" i="4"/>
  <c r="G124" i="4"/>
  <c r="G116" i="4"/>
  <c r="G108" i="4"/>
  <c r="G100" i="4"/>
  <c r="G92" i="4"/>
  <c r="G84" i="4"/>
  <c r="G76" i="4"/>
  <c r="G68" i="4"/>
  <c r="G60" i="4"/>
  <c r="G52" i="4"/>
  <c r="G44" i="4"/>
  <c r="G36" i="4"/>
  <c r="G28" i="4"/>
  <c r="G20" i="4"/>
  <c r="G12" i="4"/>
  <c r="E301" i="4"/>
  <c r="G289" i="4"/>
  <c r="G241" i="4"/>
  <c r="G225" i="4"/>
  <c r="G209" i="4"/>
  <c r="G185" i="4"/>
  <c r="G169" i="4"/>
  <c r="G153" i="4"/>
  <c r="G129" i="4"/>
  <c r="G113" i="4"/>
  <c r="G89" i="4"/>
  <c r="G73" i="4"/>
  <c r="G57" i="4"/>
  <c r="G41" i="4"/>
  <c r="G25" i="4"/>
  <c r="G9" i="4"/>
  <c r="G160" i="4"/>
  <c r="G299" i="4"/>
  <c r="G291" i="4"/>
  <c r="G283" i="4"/>
  <c r="G275" i="4"/>
  <c r="G267" i="4"/>
  <c r="G259" i="4"/>
  <c r="G251" i="4"/>
  <c r="G243" i="4"/>
  <c r="G235" i="4"/>
  <c r="G227" i="4"/>
  <c r="G219" i="4"/>
  <c r="G211" i="4"/>
  <c r="G203" i="4"/>
  <c r="G195" i="4"/>
  <c r="G187" i="4"/>
  <c r="G179" i="4"/>
  <c r="G171" i="4"/>
  <c r="G163" i="4"/>
  <c r="G155" i="4"/>
  <c r="G147" i="4"/>
  <c r="G139" i="4"/>
  <c r="G131" i="4"/>
  <c r="G123" i="4"/>
  <c r="G115" i="4"/>
  <c r="G107" i="4"/>
  <c r="G99" i="4"/>
  <c r="G91" i="4"/>
  <c r="G83" i="4"/>
  <c r="G75" i="4"/>
  <c r="G67" i="4"/>
  <c r="G59" i="4"/>
  <c r="G51" i="4"/>
  <c r="G43" i="4"/>
  <c r="G35" i="4"/>
  <c r="G27" i="4"/>
  <c r="G19" i="4"/>
  <c r="G11" i="4"/>
  <c r="F301" i="4"/>
  <c r="G96" i="4"/>
  <c r="G298" i="4"/>
  <c r="G290" i="4"/>
  <c r="G282" i="4"/>
  <c r="G274" i="4"/>
  <c r="G266" i="4"/>
  <c r="G258" i="4"/>
  <c r="G250" i="4"/>
  <c r="G242" i="4"/>
  <c r="G234" i="4"/>
  <c r="G226" i="4"/>
  <c r="G218" i="4"/>
  <c r="G210" i="4"/>
  <c r="G202" i="4"/>
  <c r="G194" i="4"/>
  <c r="G186" i="4"/>
  <c r="G178" i="4"/>
  <c r="G170" i="4"/>
  <c r="G162" i="4"/>
  <c r="G154" i="4"/>
  <c r="G146" i="4"/>
  <c r="G138" i="4"/>
  <c r="G130" i="4"/>
  <c r="G122" i="4"/>
  <c r="G114" i="4"/>
  <c r="G106" i="4"/>
  <c r="G98" i="4"/>
  <c r="G90" i="4"/>
  <c r="G82" i="4"/>
  <c r="G74" i="4"/>
  <c r="G66" i="4"/>
  <c r="G58" i="4"/>
  <c r="G50" i="4"/>
  <c r="G42" i="4"/>
  <c r="G34" i="4"/>
  <c r="G26" i="4"/>
  <c r="G18" i="4"/>
  <c r="G10" i="4"/>
  <c r="G297" i="4"/>
  <c r="G281" i="4"/>
  <c r="G273" i="4"/>
  <c r="G265" i="4"/>
  <c r="G257" i="4"/>
  <c r="G249" i="4"/>
  <c r="G233" i="4"/>
  <c r="G217" i="4"/>
  <c r="G201" i="4"/>
  <c r="G193" i="4"/>
  <c r="G177" i="4"/>
  <c r="G161" i="4"/>
  <c r="G145" i="4"/>
  <c r="G137" i="4"/>
  <c r="G121" i="4"/>
  <c r="G105" i="4"/>
  <c r="G97" i="4"/>
  <c r="G81" i="4"/>
  <c r="G65" i="4"/>
  <c r="G49" i="4"/>
  <c r="G33" i="4"/>
  <c r="G17" i="4"/>
  <c r="G192" i="4"/>
  <c r="G64" i="4"/>
  <c r="G32" i="4"/>
  <c r="G8" i="4"/>
  <c r="E300" i="4"/>
  <c r="F300" i="4"/>
  <c r="C300" i="10"/>
  <c r="E299" i="4"/>
  <c r="F299" i="4"/>
  <c r="F299" i="10"/>
  <c r="E299" i="10"/>
  <c r="F303" i="19"/>
  <c r="F308" i="13"/>
  <c r="E308" i="13"/>
  <c r="C309" i="13"/>
  <c r="E366" i="9"/>
  <c r="C367" i="9"/>
  <c r="F366" i="9"/>
  <c r="E366" i="8"/>
  <c r="C367" i="8"/>
  <c r="F366" i="8"/>
  <c r="C310" i="5"/>
  <c r="F309" i="5"/>
  <c r="E309" i="5"/>
  <c r="F308" i="3"/>
  <c r="E308" i="3"/>
  <c r="C309" i="3"/>
  <c r="C300" i="2"/>
  <c r="F299" i="2"/>
  <c r="E299" i="2"/>
  <c r="C369" i="1"/>
  <c r="F368" i="1"/>
  <c r="E368" i="1"/>
  <c r="C301" i="10" l="1"/>
  <c r="E300" i="10"/>
  <c r="F300" i="10"/>
  <c r="F304" i="19"/>
  <c r="C310" i="13"/>
  <c r="F309" i="13"/>
  <c r="E309" i="13"/>
  <c r="F367" i="9"/>
  <c r="C368" i="9"/>
  <c r="E367" i="9"/>
  <c r="E367" i="8"/>
  <c r="C368" i="8"/>
  <c r="F367" i="8"/>
  <c r="E310" i="5"/>
  <c r="F310" i="5"/>
  <c r="C311" i="5"/>
  <c r="C310" i="3"/>
  <c r="F309" i="3"/>
  <c r="E309" i="3"/>
  <c r="E300" i="2"/>
  <c r="C301" i="2"/>
  <c r="F300" i="2"/>
  <c r="C370" i="1"/>
  <c r="F369" i="1"/>
  <c r="E369" i="1"/>
  <c r="G301" i="10" l="1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292" i="10"/>
  <c r="G252" i="10"/>
  <c r="G228" i="10"/>
  <c r="G212" i="10"/>
  <c r="G188" i="10"/>
  <c r="G172" i="10"/>
  <c r="G140" i="10"/>
  <c r="G84" i="10"/>
  <c r="G68" i="10"/>
  <c r="G44" i="10"/>
  <c r="G20" i="10"/>
  <c r="G300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148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10" i="10"/>
  <c r="G40" i="10"/>
  <c r="G116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49" i="10"/>
  <c r="G41" i="10"/>
  <c r="G33" i="10"/>
  <c r="G25" i="10"/>
  <c r="G17" i="10"/>
  <c r="G9" i="10"/>
  <c r="G48" i="10"/>
  <c r="G124" i="10"/>
  <c r="G296" i="10"/>
  <c r="G288" i="10"/>
  <c r="G280" i="10"/>
  <c r="G272" i="10"/>
  <c r="G264" i="10"/>
  <c r="G256" i="10"/>
  <c r="G248" i="10"/>
  <c r="G240" i="10"/>
  <c r="G232" i="10"/>
  <c r="G224" i="10"/>
  <c r="G216" i="10"/>
  <c r="G208" i="10"/>
  <c r="G200" i="10"/>
  <c r="G192" i="10"/>
  <c r="G184" i="10"/>
  <c r="G176" i="10"/>
  <c r="G168" i="10"/>
  <c r="G160" i="10"/>
  <c r="G152" i="10"/>
  <c r="G144" i="10"/>
  <c r="G136" i="10"/>
  <c r="G128" i="10"/>
  <c r="G120" i="10"/>
  <c r="G112" i="10"/>
  <c r="G104" i="10"/>
  <c r="G96" i="10"/>
  <c r="G88" i="10"/>
  <c r="G80" i="10"/>
  <c r="G72" i="10"/>
  <c r="G64" i="10"/>
  <c r="G56" i="10"/>
  <c r="G32" i="10"/>
  <c r="G24" i="10"/>
  <c r="G16" i="10"/>
  <c r="G8" i="10"/>
  <c r="G100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" i="10"/>
  <c r="G276" i="10"/>
  <c r="G164" i="10"/>
  <c r="G108" i="10"/>
  <c r="G76" i="10"/>
  <c r="G60" i="10"/>
  <c r="G36" i="10"/>
  <c r="G1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284" i="10"/>
  <c r="G268" i="10"/>
  <c r="G260" i="10"/>
  <c r="G244" i="10"/>
  <c r="G236" i="10"/>
  <c r="G220" i="10"/>
  <c r="G204" i="10"/>
  <c r="G196" i="10"/>
  <c r="G180" i="10"/>
  <c r="G156" i="10"/>
  <c r="G132" i="10"/>
  <c r="G92" i="10"/>
  <c r="G52" i="10"/>
  <c r="G28" i="10"/>
  <c r="E301" i="10"/>
  <c r="F301" i="10"/>
  <c r="F305" i="19"/>
  <c r="C311" i="13"/>
  <c r="F310" i="13"/>
  <c r="E310" i="13"/>
  <c r="C369" i="9"/>
  <c r="F368" i="9"/>
  <c r="E368" i="9"/>
  <c r="F368" i="8"/>
  <c r="C369" i="8"/>
  <c r="E368" i="8"/>
  <c r="F311" i="5"/>
  <c r="E311" i="5"/>
  <c r="C312" i="5"/>
  <c r="E310" i="3"/>
  <c r="C311" i="3"/>
  <c r="F310" i="3"/>
  <c r="C302" i="2"/>
  <c r="F301" i="2"/>
  <c r="E301" i="2"/>
  <c r="E370" i="1"/>
  <c r="F370" i="1"/>
  <c r="C371" i="1"/>
  <c r="F306" i="19" l="1"/>
  <c r="F311" i="13"/>
  <c r="E311" i="13"/>
  <c r="C312" i="13"/>
  <c r="F369" i="9"/>
  <c r="E369" i="9"/>
  <c r="C370" i="9"/>
  <c r="E369" i="8"/>
  <c r="C370" i="8"/>
  <c r="F369" i="8"/>
  <c r="C313" i="5"/>
  <c r="E312" i="5"/>
  <c r="F312" i="5"/>
  <c r="F311" i="3"/>
  <c r="E311" i="3"/>
  <c r="C312" i="3"/>
  <c r="E302" i="2"/>
  <c r="C303" i="2"/>
  <c r="F302" i="2"/>
  <c r="C372" i="1"/>
  <c r="F371" i="1"/>
  <c r="E371" i="1"/>
  <c r="F307" i="19" l="1"/>
  <c r="C313" i="13"/>
  <c r="F312" i="13"/>
  <c r="E312" i="13"/>
  <c r="C371" i="9"/>
  <c r="E370" i="9"/>
  <c r="F370" i="9"/>
  <c r="F370" i="8"/>
  <c r="C371" i="8"/>
  <c r="E370" i="8"/>
  <c r="F313" i="5"/>
  <c r="E313" i="5"/>
  <c r="C314" i="5"/>
  <c r="C313" i="3"/>
  <c r="F312" i="3"/>
  <c r="E312" i="3"/>
  <c r="C304" i="2"/>
  <c r="F303" i="2"/>
  <c r="E303" i="2"/>
  <c r="E372" i="1"/>
  <c r="C373" i="1"/>
  <c r="F372" i="1"/>
  <c r="F308" i="19" l="1"/>
  <c r="E313" i="13"/>
  <c r="C314" i="13"/>
  <c r="F313" i="13"/>
  <c r="F371" i="9"/>
  <c r="E371" i="9"/>
  <c r="C372" i="9"/>
  <c r="C372" i="8"/>
  <c r="F371" i="8"/>
  <c r="E371" i="8"/>
  <c r="C315" i="5"/>
  <c r="F314" i="5"/>
  <c r="E314" i="5"/>
  <c r="F313" i="3"/>
  <c r="E313" i="3"/>
  <c r="C314" i="3"/>
  <c r="E304" i="2"/>
  <c r="C305" i="2"/>
  <c r="F304" i="2"/>
  <c r="F373" i="1"/>
  <c r="C374" i="1"/>
  <c r="E373" i="1"/>
  <c r="F309" i="19" l="1"/>
  <c r="F314" i="13"/>
  <c r="E314" i="13"/>
  <c r="C315" i="13"/>
  <c r="F372" i="9"/>
  <c r="E372" i="9"/>
  <c r="C373" i="9"/>
  <c r="F372" i="8"/>
  <c r="E372" i="8"/>
  <c r="C373" i="8"/>
  <c r="C316" i="5"/>
  <c r="F315" i="5"/>
  <c r="E315" i="5"/>
  <c r="C315" i="3"/>
  <c r="F314" i="3"/>
  <c r="E314" i="3"/>
  <c r="C306" i="2"/>
  <c r="F305" i="2"/>
  <c r="E305" i="2"/>
  <c r="C375" i="1"/>
  <c r="E374" i="1"/>
  <c r="F374" i="1"/>
  <c r="F310" i="19" l="1"/>
  <c r="C316" i="13"/>
  <c r="E315" i="13"/>
  <c r="F315" i="13"/>
  <c r="C374" i="9"/>
  <c r="F373" i="9"/>
  <c r="E373" i="9"/>
  <c r="E373" i="8"/>
  <c r="C374" i="8"/>
  <c r="F373" i="8"/>
  <c r="F316" i="5"/>
  <c r="E316" i="5"/>
  <c r="C317" i="5"/>
  <c r="C316" i="3"/>
  <c r="E315" i="3"/>
  <c r="F315" i="3"/>
  <c r="E306" i="2"/>
  <c r="F306" i="2"/>
  <c r="C307" i="2"/>
  <c r="F375" i="1"/>
  <c r="E375" i="1"/>
  <c r="C376" i="1"/>
  <c r="F311" i="19" l="1"/>
  <c r="F316" i="13"/>
  <c r="E316" i="13"/>
  <c r="C317" i="13"/>
  <c r="E374" i="9"/>
  <c r="C375" i="9"/>
  <c r="F374" i="9"/>
  <c r="C375" i="8"/>
  <c r="E374" i="8"/>
  <c r="F374" i="8"/>
  <c r="C318" i="5"/>
  <c r="E317" i="5"/>
  <c r="F317" i="5"/>
  <c r="F316" i="3"/>
  <c r="E316" i="3"/>
  <c r="C317" i="3"/>
  <c r="C308" i="2"/>
  <c r="F307" i="2"/>
  <c r="E307" i="2"/>
  <c r="C377" i="1"/>
  <c r="E376" i="1"/>
  <c r="F376" i="1"/>
  <c r="F312" i="19" l="1"/>
  <c r="C318" i="13"/>
  <c r="F317" i="13"/>
  <c r="E317" i="13"/>
  <c r="F375" i="9"/>
  <c r="C376" i="9"/>
  <c r="E375" i="9"/>
  <c r="E375" i="8"/>
  <c r="C376" i="8"/>
  <c r="F375" i="8"/>
  <c r="E318" i="5"/>
  <c r="C319" i="5"/>
  <c r="F318" i="5"/>
  <c r="C318" i="3"/>
  <c r="F317" i="3"/>
  <c r="E317" i="3"/>
  <c r="E308" i="2"/>
  <c r="F308" i="2"/>
  <c r="C309" i="2"/>
  <c r="E377" i="1"/>
  <c r="F377" i="1"/>
  <c r="C378" i="1"/>
  <c r="F313" i="19" l="1"/>
  <c r="C319" i="13"/>
  <c r="F318" i="13"/>
  <c r="E318" i="13"/>
  <c r="C377" i="9"/>
  <c r="F376" i="9"/>
  <c r="E376" i="9"/>
  <c r="F376" i="8"/>
  <c r="E376" i="8"/>
  <c r="C377" i="8"/>
  <c r="F319" i="5"/>
  <c r="E319" i="5"/>
  <c r="C320" i="5"/>
  <c r="E318" i="3"/>
  <c r="C319" i="3"/>
  <c r="F318" i="3"/>
  <c r="C310" i="2"/>
  <c r="F309" i="2"/>
  <c r="E309" i="2"/>
  <c r="C379" i="1"/>
  <c r="F378" i="1"/>
  <c r="E378" i="1"/>
  <c r="F314" i="19" l="1"/>
  <c r="F319" i="13"/>
  <c r="E319" i="13"/>
  <c r="C320" i="13"/>
  <c r="F377" i="9"/>
  <c r="E377" i="9"/>
  <c r="C378" i="9"/>
  <c r="C378" i="8"/>
  <c r="F377" i="8"/>
  <c r="E377" i="8"/>
  <c r="C321" i="5"/>
  <c r="E320" i="5"/>
  <c r="F320" i="5"/>
  <c r="F319" i="3"/>
  <c r="E319" i="3"/>
  <c r="C320" i="3"/>
  <c r="E310" i="2"/>
  <c r="C311" i="2"/>
  <c r="F310" i="2"/>
  <c r="E379" i="1"/>
  <c r="C380" i="1"/>
  <c r="F379" i="1"/>
  <c r="F315" i="19" l="1"/>
  <c r="C321" i="13"/>
  <c r="F320" i="13"/>
  <c r="E320" i="13"/>
  <c r="C379" i="9"/>
  <c r="E378" i="9"/>
  <c r="F378" i="9"/>
  <c r="F378" i="8"/>
  <c r="C379" i="8"/>
  <c r="E378" i="8"/>
  <c r="F321" i="5"/>
  <c r="E321" i="5"/>
  <c r="C322" i="5"/>
  <c r="C321" i="3"/>
  <c r="E320" i="3"/>
  <c r="F320" i="3"/>
  <c r="C312" i="2"/>
  <c r="F311" i="2"/>
  <c r="E311" i="2"/>
  <c r="E380" i="1"/>
  <c r="C381" i="1"/>
  <c r="F380" i="1"/>
  <c r="F316" i="19" l="1"/>
  <c r="E321" i="13"/>
  <c r="C322" i="13"/>
  <c r="F321" i="13"/>
  <c r="C380" i="9"/>
  <c r="F379" i="9"/>
  <c r="E379" i="9"/>
  <c r="C380" i="8"/>
  <c r="F379" i="8"/>
  <c r="E379" i="8"/>
  <c r="C323" i="5"/>
  <c r="F322" i="5"/>
  <c r="E322" i="5"/>
  <c r="F321" i="3"/>
  <c r="E321" i="3"/>
  <c r="C322" i="3"/>
  <c r="E312" i="2"/>
  <c r="F312" i="2"/>
  <c r="C313" i="2"/>
  <c r="F381" i="1"/>
  <c r="E381" i="1"/>
  <c r="C382" i="1"/>
  <c r="C381" i="9" l="1"/>
  <c r="C381" i="8"/>
  <c r="F317" i="19"/>
  <c r="F322" i="13"/>
  <c r="E322" i="13"/>
  <c r="C323" i="13"/>
  <c r="F380" i="9"/>
  <c r="E380" i="9"/>
  <c r="E380" i="8"/>
  <c r="F380" i="8"/>
  <c r="C324" i="5"/>
  <c r="F323" i="5"/>
  <c r="E323" i="5"/>
  <c r="C323" i="3"/>
  <c r="F322" i="3"/>
  <c r="E322" i="3"/>
  <c r="C314" i="2"/>
  <c r="F313" i="2"/>
  <c r="E313" i="2"/>
  <c r="F382" i="1"/>
  <c r="E382" i="1"/>
  <c r="C383" i="1"/>
  <c r="C382" i="9" l="1"/>
  <c r="C382" i="8"/>
  <c r="C383" i="8" s="1"/>
  <c r="F381" i="9"/>
  <c r="E381" i="9"/>
  <c r="F381" i="8"/>
  <c r="E381" i="8"/>
  <c r="F318" i="19"/>
  <c r="C324" i="13"/>
  <c r="E323" i="13"/>
  <c r="F323" i="13"/>
  <c r="F324" i="5"/>
  <c r="E324" i="5"/>
  <c r="C325" i="5"/>
  <c r="C324" i="3"/>
  <c r="F323" i="3"/>
  <c r="E323" i="3"/>
  <c r="E314" i="2"/>
  <c r="F314" i="2"/>
  <c r="C315" i="2"/>
  <c r="F383" i="1"/>
  <c r="C384" i="1"/>
  <c r="E383" i="1"/>
  <c r="C383" i="9" l="1"/>
  <c r="E382" i="9"/>
  <c r="F382" i="9"/>
  <c r="E382" i="8"/>
  <c r="F382" i="8"/>
  <c r="F319" i="19"/>
  <c r="F324" i="13"/>
  <c r="E324" i="13"/>
  <c r="C325" i="13"/>
  <c r="C326" i="5"/>
  <c r="F325" i="5"/>
  <c r="E325" i="5"/>
  <c r="F324" i="3"/>
  <c r="E324" i="3"/>
  <c r="C325" i="3"/>
  <c r="C316" i="2"/>
  <c r="F315" i="2"/>
  <c r="E315" i="2"/>
  <c r="C385" i="1"/>
  <c r="E384" i="1"/>
  <c r="F384" i="1"/>
  <c r="E383" i="9" l="1"/>
  <c r="G379" i="9"/>
  <c r="G371" i="9"/>
  <c r="G363" i="9"/>
  <c r="G355" i="9"/>
  <c r="G347" i="9"/>
  <c r="G339" i="9"/>
  <c r="G331" i="9"/>
  <c r="G323" i="9"/>
  <c r="G315" i="9"/>
  <c r="G307" i="9"/>
  <c r="G299" i="9"/>
  <c r="G291" i="9"/>
  <c r="G283" i="9"/>
  <c r="G275" i="9"/>
  <c r="G267" i="9"/>
  <c r="G259" i="9"/>
  <c r="G251" i="9"/>
  <c r="G243" i="9"/>
  <c r="G235" i="9"/>
  <c r="G227" i="9"/>
  <c r="G219" i="9"/>
  <c r="G211" i="9"/>
  <c r="G203" i="9"/>
  <c r="G195" i="9"/>
  <c r="G187" i="9"/>
  <c r="G179" i="9"/>
  <c r="G171" i="9"/>
  <c r="G163" i="9"/>
  <c r="G155" i="9"/>
  <c r="G147" i="9"/>
  <c r="G139" i="9"/>
  <c r="G131" i="9"/>
  <c r="G123" i="9"/>
  <c r="G115" i="9"/>
  <c r="G107" i="9"/>
  <c r="G99" i="9"/>
  <c r="G91" i="9"/>
  <c r="G83" i="9"/>
  <c r="G75" i="9"/>
  <c r="G67" i="9"/>
  <c r="G59" i="9"/>
  <c r="G51" i="9"/>
  <c r="G43" i="9"/>
  <c r="G35" i="9"/>
  <c r="G27" i="9"/>
  <c r="G19" i="9"/>
  <c r="G11" i="9"/>
  <c r="G341" i="9"/>
  <c r="G141" i="9"/>
  <c r="G37" i="9"/>
  <c r="G372" i="9"/>
  <c r="G316" i="9"/>
  <c r="G284" i="9"/>
  <c r="G252" i="9"/>
  <c r="G220" i="9"/>
  <c r="G204" i="9"/>
  <c r="G164" i="9"/>
  <c r="G132" i="9"/>
  <c r="G108" i="9"/>
  <c r="G76" i="9"/>
  <c r="G44" i="9"/>
  <c r="F383" i="9"/>
  <c r="G378" i="9"/>
  <c r="G370" i="9"/>
  <c r="G362" i="9"/>
  <c r="G354" i="9"/>
  <c r="G346" i="9"/>
  <c r="G338" i="9"/>
  <c r="G330" i="9"/>
  <c r="G322" i="9"/>
  <c r="G314" i="9"/>
  <c r="G306" i="9"/>
  <c r="G298" i="9"/>
  <c r="G290" i="9"/>
  <c r="G282" i="9"/>
  <c r="G274" i="9"/>
  <c r="G266" i="9"/>
  <c r="G258" i="9"/>
  <c r="G250" i="9"/>
  <c r="G242" i="9"/>
  <c r="G234" i="9"/>
  <c r="G226" i="9"/>
  <c r="G218" i="9"/>
  <c r="G210" i="9"/>
  <c r="G202" i="9"/>
  <c r="G194" i="9"/>
  <c r="G186" i="9"/>
  <c r="G178" i="9"/>
  <c r="G170" i="9"/>
  <c r="G162" i="9"/>
  <c r="G154" i="9"/>
  <c r="G146" i="9"/>
  <c r="G138" i="9"/>
  <c r="G130" i="9"/>
  <c r="G122" i="9"/>
  <c r="G114" i="9"/>
  <c r="G106" i="9"/>
  <c r="G98" i="9"/>
  <c r="G90" i="9"/>
  <c r="G82" i="9"/>
  <c r="G74" i="9"/>
  <c r="G66" i="9"/>
  <c r="G58" i="9"/>
  <c r="G50" i="9"/>
  <c r="G42" i="9"/>
  <c r="G34" i="9"/>
  <c r="G26" i="9"/>
  <c r="G18" i="9"/>
  <c r="G10" i="9"/>
  <c r="G357" i="9"/>
  <c r="G197" i="9"/>
  <c r="G149" i="9"/>
  <c r="G93" i="9"/>
  <c r="G53" i="9"/>
  <c r="G380" i="9"/>
  <c r="G324" i="9"/>
  <c r="G276" i="9"/>
  <c r="G236" i="9"/>
  <c r="G196" i="9"/>
  <c r="G148" i="9"/>
  <c r="G100" i="9"/>
  <c r="G60" i="9"/>
  <c r="G28" i="9"/>
  <c r="G377" i="9"/>
  <c r="G369" i="9"/>
  <c r="G361" i="9"/>
  <c r="G353" i="9"/>
  <c r="G345" i="9"/>
  <c r="G337" i="9"/>
  <c r="G329" i="9"/>
  <c r="G321" i="9"/>
  <c r="G313" i="9"/>
  <c r="G305" i="9"/>
  <c r="G297" i="9"/>
  <c r="G289" i="9"/>
  <c r="G281" i="9"/>
  <c r="G273" i="9"/>
  <c r="G265" i="9"/>
  <c r="G257" i="9"/>
  <c r="G249" i="9"/>
  <c r="G241" i="9"/>
  <c r="G233" i="9"/>
  <c r="G225" i="9"/>
  <c r="G217" i="9"/>
  <c r="G209" i="9"/>
  <c r="G201" i="9"/>
  <c r="G193" i="9"/>
  <c r="G185" i="9"/>
  <c r="G177" i="9"/>
  <c r="G169" i="9"/>
  <c r="G161" i="9"/>
  <c r="G153" i="9"/>
  <c r="G145" i="9"/>
  <c r="G137" i="9"/>
  <c r="G129" i="9"/>
  <c r="G121" i="9"/>
  <c r="G113" i="9"/>
  <c r="G105" i="9"/>
  <c r="G97" i="9"/>
  <c r="G89" i="9"/>
  <c r="G81" i="9"/>
  <c r="G73" i="9"/>
  <c r="G65" i="9"/>
  <c r="G57" i="9"/>
  <c r="G49" i="9"/>
  <c r="G41" i="9"/>
  <c r="G33" i="9"/>
  <c r="G25" i="9"/>
  <c r="G17" i="9"/>
  <c r="G9" i="9"/>
  <c r="G349" i="9"/>
  <c r="G133" i="9"/>
  <c r="G13" i="9"/>
  <c r="G356" i="9"/>
  <c r="G332" i="9"/>
  <c r="G300" i="9"/>
  <c r="G268" i="9"/>
  <c r="G244" i="9"/>
  <c r="G212" i="9"/>
  <c r="G180" i="9"/>
  <c r="G140" i="9"/>
  <c r="G116" i="9"/>
  <c r="G84" i="9"/>
  <c r="G52" i="9"/>
  <c r="G20" i="9"/>
  <c r="G376" i="9"/>
  <c r="G368" i="9"/>
  <c r="G360" i="9"/>
  <c r="G352" i="9"/>
  <c r="G344" i="9"/>
  <c r="G336" i="9"/>
  <c r="G328" i="9"/>
  <c r="G320" i="9"/>
  <c r="G312" i="9"/>
  <c r="G304" i="9"/>
  <c r="G296" i="9"/>
  <c r="G288" i="9"/>
  <c r="G280" i="9"/>
  <c r="G272" i="9"/>
  <c r="G264" i="9"/>
  <c r="G256" i="9"/>
  <c r="G248" i="9"/>
  <c r="G240" i="9"/>
  <c r="G232" i="9"/>
  <c r="G224" i="9"/>
  <c r="G216" i="9"/>
  <c r="G208" i="9"/>
  <c r="G200" i="9"/>
  <c r="G192" i="9"/>
  <c r="G184" i="9"/>
  <c r="G176" i="9"/>
  <c r="G168" i="9"/>
  <c r="G160" i="9"/>
  <c r="G152" i="9"/>
  <c r="G144" i="9"/>
  <c r="G136" i="9"/>
  <c r="G128" i="9"/>
  <c r="G120" i="9"/>
  <c r="G112" i="9"/>
  <c r="G104" i="9"/>
  <c r="G96" i="9"/>
  <c r="G88" i="9"/>
  <c r="G80" i="9"/>
  <c r="G72" i="9"/>
  <c r="G64" i="9"/>
  <c r="G56" i="9"/>
  <c r="G48" i="9"/>
  <c r="G40" i="9"/>
  <c r="G32" i="9"/>
  <c r="G24" i="9"/>
  <c r="G16" i="9"/>
  <c r="G8" i="9"/>
  <c r="G365" i="9"/>
  <c r="G325" i="9"/>
  <c r="G309" i="9"/>
  <c r="G285" i="9"/>
  <c r="G269" i="9"/>
  <c r="G253" i="9"/>
  <c r="G237" i="9"/>
  <c r="G213" i="9"/>
  <c r="G181" i="9"/>
  <c r="G165" i="9"/>
  <c r="G125" i="9"/>
  <c r="G101" i="9"/>
  <c r="G85" i="9"/>
  <c r="G61" i="9"/>
  <c r="G45" i="9"/>
  <c r="G292" i="9"/>
  <c r="G383" i="9"/>
  <c r="G375" i="9"/>
  <c r="G367" i="9"/>
  <c r="G359" i="9"/>
  <c r="G351" i="9"/>
  <c r="G343" i="9"/>
  <c r="G335" i="9"/>
  <c r="G327" i="9"/>
  <c r="G319" i="9"/>
  <c r="G311" i="9"/>
  <c r="G303" i="9"/>
  <c r="G295" i="9"/>
  <c r="G287" i="9"/>
  <c r="G279" i="9"/>
  <c r="G271" i="9"/>
  <c r="G263" i="9"/>
  <c r="G255" i="9"/>
  <c r="G247" i="9"/>
  <c r="G239" i="9"/>
  <c r="G231" i="9"/>
  <c r="G223" i="9"/>
  <c r="G215" i="9"/>
  <c r="G207" i="9"/>
  <c r="G199" i="9"/>
  <c r="G191" i="9"/>
  <c r="G183" i="9"/>
  <c r="G175" i="9"/>
  <c r="G167" i="9"/>
  <c r="G159" i="9"/>
  <c r="G151" i="9"/>
  <c r="G143" i="9"/>
  <c r="G135" i="9"/>
  <c r="G127" i="9"/>
  <c r="G119" i="9"/>
  <c r="G111" i="9"/>
  <c r="G103" i="9"/>
  <c r="G95" i="9"/>
  <c r="G87" i="9"/>
  <c r="G79" i="9"/>
  <c r="G71" i="9"/>
  <c r="G63" i="9"/>
  <c r="G55" i="9"/>
  <c r="G47" i="9"/>
  <c r="G39" i="9"/>
  <c r="G31" i="9"/>
  <c r="G23" i="9"/>
  <c r="G15" i="9"/>
  <c r="G7" i="9"/>
  <c r="G373" i="9"/>
  <c r="G293" i="9"/>
  <c r="G261" i="9"/>
  <c r="G229" i="9"/>
  <c r="G205" i="9"/>
  <c r="G173" i="9"/>
  <c r="G109" i="9"/>
  <c r="G69" i="9"/>
  <c r="G29" i="9"/>
  <c r="G348" i="9"/>
  <c r="G172" i="9"/>
  <c r="G92" i="9"/>
  <c r="G12" i="9"/>
  <c r="G382" i="9"/>
  <c r="G374" i="9"/>
  <c r="G366" i="9"/>
  <c r="G358" i="9"/>
  <c r="G350" i="9"/>
  <c r="G342" i="9"/>
  <c r="G334" i="9"/>
  <c r="G326" i="9"/>
  <c r="G318" i="9"/>
  <c r="G310" i="9"/>
  <c r="G302" i="9"/>
  <c r="G294" i="9"/>
  <c r="G286" i="9"/>
  <c r="G278" i="9"/>
  <c r="G270" i="9"/>
  <c r="G262" i="9"/>
  <c r="G254" i="9"/>
  <c r="G246" i="9"/>
  <c r="G238" i="9"/>
  <c r="G230" i="9"/>
  <c r="G222" i="9"/>
  <c r="G214" i="9"/>
  <c r="G206" i="9"/>
  <c r="G198" i="9"/>
  <c r="G190" i="9"/>
  <c r="G182" i="9"/>
  <c r="G174" i="9"/>
  <c r="G166" i="9"/>
  <c r="G158" i="9"/>
  <c r="G150" i="9"/>
  <c r="G142" i="9"/>
  <c r="G134" i="9"/>
  <c r="G126" i="9"/>
  <c r="G118" i="9"/>
  <c r="G110" i="9"/>
  <c r="G102" i="9"/>
  <c r="G94" i="9"/>
  <c r="G86" i="9"/>
  <c r="G78" i="9"/>
  <c r="G70" i="9"/>
  <c r="G62" i="9"/>
  <c r="G54" i="9"/>
  <c r="G46" i="9"/>
  <c r="G38" i="9"/>
  <c r="G30" i="9"/>
  <c r="G22" i="9"/>
  <c r="G14" i="9"/>
  <c r="G381" i="9"/>
  <c r="G333" i="9"/>
  <c r="G317" i="9"/>
  <c r="G301" i="9"/>
  <c r="G277" i="9"/>
  <c r="G245" i="9"/>
  <c r="G221" i="9"/>
  <c r="G189" i="9"/>
  <c r="G157" i="9"/>
  <c r="G117" i="9"/>
  <c r="G77" i="9"/>
  <c r="G21" i="9"/>
  <c r="G364" i="9"/>
  <c r="G340" i="9"/>
  <c r="G308" i="9"/>
  <c r="G260" i="9"/>
  <c r="G228" i="9"/>
  <c r="G188" i="9"/>
  <c r="G156" i="9"/>
  <c r="G124" i="9"/>
  <c r="G68" i="9"/>
  <c r="G36" i="9"/>
  <c r="F383" i="8"/>
  <c r="G383" i="8"/>
  <c r="G375" i="8"/>
  <c r="G367" i="8"/>
  <c r="G359" i="8"/>
  <c r="G351" i="8"/>
  <c r="G343" i="8"/>
  <c r="G335" i="8"/>
  <c r="G327" i="8"/>
  <c r="G319" i="8"/>
  <c r="G311" i="8"/>
  <c r="G303" i="8"/>
  <c r="G295" i="8"/>
  <c r="G287" i="8"/>
  <c r="G279" i="8"/>
  <c r="G271" i="8"/>
  <c r="G263" i="8"/>
  <c r="G255" i="8"/>
  <c r="G247" i="8"/>
  <c r="G239" i="8"/>
  <c r="G231" i="8"/>
  <c r="G223" i="8"/>
  <c r="G215" i="8"/>
  <c r="G207" i="8"/>
  <c r="G199" i="8"/>
  <c r="G191" i="8"/>
  <c r="G183" i="8"/>
  <c r="G175" i="8"/>
  <c r="G167" i="8"/>
  <c r="G159" i="8"/>
  <c r="G151" i="8"/>
  <c r="G143" i="8"/>
  <c r="G135" i="8"/>
  <c r="G127" i="8"/>
  <c r="G119" i="8"/>
  <c r="G111" i="8"/>
  <c r="G103" i="8"/>
  <c r="G95" i="8"/>
  <c r="G87" i="8"/>
  <c r="G79" i="8"/>
  <c r="G71" i="8"/>
  <c r="G63" i="8"/>
  <c r="G55" i="8"/>
  <c r="G47" i="8"/>
  <c r="G39" i="8"/>
  <c r="G31" i="8"/>
  <c r="G23" i="8"/>
  <c r="G15" i="8"/>
  <c r="G7" i="8"/>
  <c r="G382" i="8"/>
  <c r="G374" i="8"/>
  <c r="G366" i="8"/>
  <c r="G358" i="8"/>
  <c r="G350" i="8"/>
  <c r="G342" i="8"/>
  <c r="G334" i="8"/>
  <c r="G326" i="8"/>
  <c r="G318" i="8"/>
  <c r="G310" i="8"/>
  <c r="G302" i="8"/>
  <c r="G294" i="8"/>
  <c r="G286" i="8"/>
  <c r="G278" i="8"/>
  <c r="G270" i="8"/>
  <c r="G262" i="8"/>
  <c r="G254" i="8"/>
  <c r="G246" i="8"/>
  <c r="G238" i="8"/>
  <c r="G230" i="8"/>
  <c r="G222" i="8"/>
  <c r="G214" i="8"/>
  <c r="G206" i="8"/>
  <c r="G198" i="8"/>
  <c r="G190" i="8"/>
  <c r="G182" i="8"/>
  <c r="G174" i="8"/>
  <c r="G166" i="8"/>
  <c r="G158" i="8"/>
  <c r="G150" i="8"/>
  <c r="G142" i="8"/>
  <c r="G134" i="8"/>
  <c r="G126" i="8"/>
  <c r="G118" i="8"/>
  <c r="G110" i="8"/>
  <c r="G102" i="8"/>
  <c r="G94" i="8"/>
  <c r="G378" i="8"/>
  <c r="G370" i="8"/>
  <c r="G362" i="8"/>
  <c r="G354" i="8"/>
  <c r="G346" i="8"/>
  <c r="G377" i="8"/>
  <c r="G376" i="8"/>
  <c r="G381" i="8"/>
  <c r="G365" i="8"/>
  <c r="G353" i="8"/>
  <c r="G340" i="8"/>
  <c r="G330" i="8"/>
  <c r="G320" i="8"/>
  <c r="G308" i="8"/>
  <c r="G298" i="8"/>
  <c r="G288" i="8"/>
  <c r="G276" i="8"/>
  <c r="G266" i="8"/>
  <c r="G256" i="8"/>
  <c r="G244" i="8"/>
  <c r="G234" i="8"/>
  <c r="G224" i="8"/>
  <c r="G212" i="8"/>
  <c r="G202" i="8"/>
  <c r="G192" i="8"/>
  <c r="G180" i="8"/>
  <c r="G170" i="8"/>
  <c r="G160" i="8"/>
  <c r="G148" i="8"/>
  <c r="G138" i="8"/>
  <c r="G128" i="8"/>
  <c r="G116" i="8"/>
  <c r="G106" i="8"/>
  <c r="G96" i="8"/>
  <c r="G85" i="8"/>
  <c r="G76" i="8"/>
  <c r="G67" i="8"/>
  <c r="G58" i="8"/>
  <c r="G49" i="8"/>
  <c r="G40" i="8"/>
  <c r="G30" i="8"/>
  <c r="G21" i="8"/>
  <c r="G12" i="8"/>
  <c r="G233" i="8"/>
  <c r="G371" i="8"/>
  <c r="G291" i="8"/>
  <c r="G237" i="8"/>
  <c r="G185" i="8"/>
  <c r="G131" i="8"/>
  <c r="G89" i="8"/>
  <c r="G61" i="8"/>
  <c r="G34" i="8"/>
  <c r="G380" i="8"/>
  <c r="G364" i="8"/>
  <c r="G352" i="8"/>
  <c r="G339" i="8"/>
  <c r="G329" i="8"/>
  <c r="G317" i="8"/>
  <c r="G307" i="8"/>
  <c r="G297" i="8"/>
  <c r="G285" i="8"/>
  <c r="G275" i="8"/>
  <c r="G265" i="8"/>
  <c r="G253" i="8"/>
  <c r="G243" i="8"/>
  <c r="G221" i="8"/>
  <c r="G211" i="8"/>
  <c r="G201" i="8"/>
  <c r="G189" i="8"/>
  <c r="G179" i="8"/>
  <c r="G169" i="8"/>
  <c r="G157" i="8"/>
  <c r="G147" i="8"/>
  <c r="G137" i="8"/>
  <c r="G125" i="8"/>
  <c r="G105" i="8"/>
  <c r="G93" i="8"/>
  <c r="G84" i="8"/>
  <c r="G75" i="8"/>
  <c r="G66" i="8"/>
  <c r="G57" i="8"/>
  <c r="G48" i="8"/>
  <c r="G38" i="8"/>
  <c r="G29" i="8"/>
  <c r="G20" i="8"/>
  <c r="G357" i="8"/>
  <c r="G333" i="8"/>
  <c r="G313" i="8"/>
  <c r="G269" i="8"/>
  <c r="G249" i="8"/>
  <c r="G217" i="8"/>
  <c r="G195" i="8"/>
  <c r="G163" i="8"/>
  <c r="G141" i="8"/>
  <c r="G109" i="8"/>
  <c r="G80" i="8"/>
  <c r="G52" i="8"/>
  <c r="G25" i="8"/>
  <c r="G379" i="8"/>
  <c r="G363" i="8"/>
  <c r="G349" i="8"/>
  <c r="G338" i="8"/>
  <c r="G328" i="8"/>
  <c r="G316" i="8"/>
  <c r="G306" i="8"/>
  <c r="G296" i="8"/>
  <c r="G284" i="8"/>
  <c r="G274" i="8"/>
  <c r="G264" i="8"/>
  <c r="G252" i="8"/>
  <c r="G242" i="8"/>
  <c r="G232" i="8"/>
  <c r="G220" i="8"/>
  <c r="G210" i="8"/>
  <c r="G200" i="8"/>
  <c r="G188" i="8"/>
  <c r="G178" i="8"/>
  <c r="G168" i="8"/>
  <c r="G156" i="8"/>
  <c r="G146" i="8"/>
  <c r="G136" i="8"/>
  <c r="G124" i="8"/>
  <c r="G114" i="8"/>
  <c r="G104" i="8"/>
  <c r="G92" i="8"/>
  <c r="G83" i="8"/>
  <c r="G74" i="8"/>
  <c r="G65" i="8"/>
  <c r="G56" i="8"/>
  <c r="G46" i="8"/>
  <c r="G37" i="8"/>
  <c r="G28" i="8"/>
  <c r="G19" i="8"/>
  <c r="G10" i="8"/>
  <c r="G281" i="8"/>
  <c r="G373" i="8"/>
  <c r="G361" i="8"/>
  <c r="G348" i="8"/>
  <c r="G337" i="8"/>
  <c r="G325" i="8"/>
  <c r="G315" i="8"/>
  <c r="G305" i="8"/>
  <c r="G293" i="8"/>
  <c r="G283" i="8"/>
  <c r="G273" i="8"/>
  <c r="G261" i="8"/>
  <c r="G251" i="8"/>
  <c r="G241" i="8"/>
  <c r="G229" i="8"/>
  <c r="G219" i="8"/>
  <c r="G209" i="8"/>
  <c r="G197" i="8"/>
  <c r="G187" i="8"/>
  <c r="G177" i="8"/>
  <c r="G165" i="8"/>
  <c r="G155" i="8"/>
  <c r="G145" i="8"/>
  <c r="G133" i="8"/>
  <c r="G123" i="8"/>
  <c r="G113" i="8"/>
  <c r="G101" i="8"/>
  <c r="G91" i="8"/>
  <c r="G82" i="8"/>
  <c r="G73" i="8"/>
  <c r="G64" i="8"/>
  <c r="G54" i="8"/>
  <c r="G45" i="8"/>
  <c r="G36" i="8"/>
  <c r="G27" i="8"/>
  <c r="G18" i="8"/>
  <c r="G9" i="8"/>
  <c r="G372" i="8"/>
  <c r="G360" i="8"/>
  <c r="G347" i="8"/>
  <c r="G336" i="8"/>
  <c r="G324" i="8"/>
  <c r="G314" i="8"/>
  <c r="G304" i="8"/>
  <c r="G292" i="8"/>
  <c r="G282" i="8"/>
  <c r="G272" i="8"/>
  <c r="G260" i="8"/>
  <c r="G250" i="8"/>
  <c r="G240" i="8"/>
  <c r="G228" i="8"/>
  <c r="G218" i="8"/>
  <c r="G208" i="8"/>
  <c r="G196" i="8"/>
  <c r="G186" i="8"/>
  <c r="G176" i="8"/>
  <c r="G164" i="8"/>
  <c r="G154" i="8"/>
  <c r="G144" i="8"/>
  <c r="G132" i="8"/>
  <c r="G122" i="8"/>
  <c r="G112" i="8"/>
  <c r="G100" i="8"/>
  <c r="G90" i="8"/>
  <c r="G81" i="8"/>
  <c r="G72" i="8"/>
  <c r="G62" i="8"/>
  <c r="G53" i="8"/>
  <c r="G44" i="8"/>
  <c r="G35" i="8"/>
  <c r="G26" i="8"/>
  <c r="G17" i="8"/>
  <c r="G8" i="8"/>
  <c r="G345" i="8"/>
  <c r="G323" i="8"/>
  <c r="G301" i="8"/>
  <c r="G259" i="8"/>
  <c r="G227" i="8"/>
  <c r="G205" i="8"/>
  <c r="G173" i="8"/>
  <c r="G153" i="8"/>
  <c r="G121" i="8"/>
  <c r="G99" i="8"/>
  <c r="G70" i="8"/>
  <c r="G43" i="8"/>
  <c r="G16" i="8"/>
  <c r="G369" i="8"/>
  <c r="G356" i="8"/>
  <c r="G344" i="8"/>
  <c r="G332" i="8"/>
  <c r="G322" i="8"/>
  <c r="G312" i="8"/>
  <c r="G300" i="8"/>
  <c r="G290" i="8"/>
  <c r="G280" i="8"/>
  <c r="G268" i="8"/>
  <c r="G258" i="8"/>
  <c r="G248" i="8"/>
  <c r="G236" i="8"/>
  <c r="G226" i="8"/>
  <c r="G216" i="8"/>
  <c r="G204" i="8"/>
  <c r="G194" i="8"/>
  <c r="G184" i="8"/>
  <c r="G172" i="8"/>
  <c r="G162" i="8"/>
  <c r="G152" i="8"/>
  <c r="G140" i="8"/>
  <c r="G130" i="8"/>
  <c r="G120" i="8"/>
  <c r="G108" i="8"/>
  <c r="G98" i="8"/>
  <c r="G88" i="8"/>
  <c r="G78" i="8"/>
  <c r="G69" i="8"/>
  <c r="G60" i="8"/>
  <c r="G51" i="8"/>
  <c r="G42" i="8"/>
  <c r="G33" i="8"/>
  <c r="G24" i="8"/>
  <c r="G14" i="8"/>
  <c r="G368" i="8"/>
  <c r="G355" i="8"/>
  <c r="G341" i="8"/>
  <c r="G331" i="8"/>
  <c r="G321" i="8"/>
  <c r="G309" i="8"/>
  <c r="G299" i="8"/>
  <c r="G289" i="8"/>
  <c r="G277" i="8"/>
  <c r="G267" i="8"/>
  <c r="G257" i="8"/>
  <c r="G245" i="8"/>
  <c r="G235" i="8"/>
  <c r="G225" i="8"/>
  <c r="G213" i="8"/>
  <c r="G203" i="8"/>
  <c r="G193" i="8"/>
  <c r="G181" i="8"/>
  <c r="G171" i="8"/>
  <c r="G161" i="8"/>
  <c r="G149" i="8"/>
  <c r="G139" i="8"/>
  <c r="G129" i="8"/>
  <c r="G117" i="8"/>
  <c r="G107" i="8"/>
  <c r="G97" i="8"/>
  <c r="G86" i="8"/>
  <c r="G77" i="8"/>
  <c r="G68" i="8"/>
  <c r="G59" i="8"/>
  <c r="G50" i="8"/>
  <c r="G41" i="8"/>
  <c r="G32" i="8"/>
  <c r="G22" i="8"/>
  <c r="G13" i="8"/>
  <c r="E383" i="8"/>
  <c r="G115" i="8"/>
  <c r="G11" i="8"/>
  <c r="F320" i="19"/>
  <c r="C326" i="13"/>
  <c r="F325" i="13"/>
  <c r="E325" i="13"/>
  <c r="E326" i="5"/>
  <c r="C327" i="5"/>
  <c r="F326" i="5"/>
  <c r="C326" i="3"/>
  <c r="F325" i="3"/>
  <c r="E325" i="3"/>
  <c r="E316" i="2"/>
  <c r="C317" i="2"/>
  <c r="F316" i="2"/>
  <c r="C386" i="1"/>
  <c r="E385" i="1"/>
  <c r="F385" i="1"/>
  <c r="F321" i="19" l="1"/>
  <c r="C327" i="13"/>
  <c r="F326" i="13"/>
  <c r="E326" i="13"/>
  <c r="F327" i="5"/>
  <c r="E327" i="5"/>
  <c r="C328" i="5"/>
  <c r="E326" i="3"/>
  <c r="C327" i="3"/>
  <c r="F326" i="3"/>
  <c r="C318" i="2"/>
  <c r="F317" i="2"/>
  <c r="E317" i="2"/>
  <c r="C387" i="1"/>
  <c r="F386" i="1"/>
  <c r="E386" i="1"/>
  <c r="F322" i="19" l="1"/>
  <c r="F327" i="13"/>
  <c r="E327" i="13"/>
  <c r="C328" i="13"/>
  <c r="C329" i="5"/>
  <c r="E328" i="5"/>
  <c r="F328" i="5"/>
  <c r="F327" i="3"/>
  <c r="E327" i="3"/>
  <c r="C328" i="3"/>
  <c r="E318" i="2"/>
  <c r="F318" i="2"/>
  <c r="C319" i="2"/>
  <c r="C388" i="1"/>
  <c r="F387" i="1"/>
  <c r="E387" i="1"/>
  <c r="F323" i="19" l="1"/>
  <c r="C329" i="13"/>
  <c r="F328" i="13"/>
  <c r="E328" i="13"/>
  <c r="F329" i="5"/>
  <c r="E329" i="5"/>
  <c r="C330" i="5"/>
  <c r="C329" i="3"/>
  <c r="F328" i="3"/>
  <c r="E328" i="3"/>
  <c r="C320" i="2"/>
  <c r="F319" i="2"/>
  <c r="E319" i="2"/>
  <c r="E388" i="1"/>
  <c r="C389" i="1"/>
  <c r="C390" i="1" s="1"/>
  <c r="C391" i="1" s="1"/>
  <c r="F388" i="1"/>
  <c r="E391" i="1" l="1"/>
  <c r="F391" i="1"/>
  <c r="F390" i="1"/>
  <c r="E390" i="1"/>
  <c r="E389" i="1"/>
  <c r="F324" i="19"/>
  <c r="E329" i="13"/>
  <c r="C330" i="13"/>
  <c r="F329" i="13"/>
  <c r="C331" i="5"/>
  <c r="F330" i="5"/>
  <c r="E330" i="5"/>
  <c r="F329" i="3"/>
  <c r="E329" i="3"/>
  <c r="C330" i="3"/>
  <c r="E320" i="2"/>
  <c r="C321" i="2"/>
  <c r="F320" i="2"/>
  <c r="F389" i="1"/>
  <c r="F325" i="19" l="1"/>
  <c r="F330" i="13"/>
  <c r="E330" i="13"/>
  <c r="C331" i="13"/>
  <c r="C332" i="5"/>
  <c r="F331" i="5"/>
  <c r="E331" i="5"/>
  <c r="C331" i="3"/>
  <c r="F330" i="3"/>
  <c r="E330" i="3"/>
  <c r="C322" i="2"/>
  <c r="F321" i="2"/>
  <c r="E321" i="2"/>
  <c r="F326" i="19" l="1"/>
  <c r="C332" i="13"/>
  <c r="E331" i="13"/>
  <c r="F331" i="13"/>
  <c r="F332" i="5"/>
  <c r="E332" i="5"/>
  <c r="C333" i="5"/>
  <c r="C332" i="3"/>
  <c r="E331" i="3"/>
  <c r="F331" i="3"/>
  <c r="E322" i="2"/>
  <c r="F322" i="2"/>
  <c r="C323" i="2"/>
  <c r="F327" i="19" l="1"/>
  <c r="F332" i="13"/>
  <c r="E332" i="13"/>
  <c r="C333" i="13"/>
  <c r="C334" i="5"/>
  <c r="E333" i="5"/>
  <c r="F333" i="5"/>
  <c r="F332" i="3"/>
  <c r="E332" i="3"/>
  <c r="C333" i="3"/>
  <c r="C324" i="2"/>
  <c r="F323" i="2"/>
  <c r="E323" i="2"/>
  <c r="F328" i="19" l="1"/>
  <c r="C334" i="13"/>
  <c r="F333" i="13"/>
  <c r="E333" i="13"/>
  <c r="E334" i="5"/>
  <c r="C335" i="5"/>
  <c r="F334" i="5"/>
  <c r="C334" i="3"/>
  <c r="F333" i="3"/>
  <c r="E333" i="3"/>
  <c r="E324" i="2"/>
  <c r="F324" i="2"/>
  <c r="C325" i="2"/>
  <c r="F329" i="19" l="1"/>
  <c r="C335" i="13"/>
  <c r="F334" i="13"/>
  <c r="E334" i="13"/>
  <c r="F335" i="5"/>
  <c r="E335" i="5"/>
  <c r="C336" i="5"/>
  <c r="E334" i="3"/>
  <c r="C335" i="3"/>
  <c r="F334" i="3"/>
  <c r="C326" i="2"/>
  <c r="F325" i="2"/>
  <c r="E325" i="2"/>
  <c r="F330" i="19" l="1"/>
  <c r="F335" i="13"/>
  <c r="E335" i="13"/>
  <c r="C336" i="13"/>
  <c r="C337" i="5"/>
  <c r="E336" i="5"/>
  <c r="F336" i="5"/>
  <c r="F335" i="3"/>
  <c r="E335" i="3"/>
  <c r="C336" i="3"/>
  <c r="E326" i="2"/>
  <c r="C327" i="2"/>
  <c r="F326" i="2"/>
  <c r="F331" i="19" l="1"/>
  <c r="C337" i="13"/>
  <c r="F336" i="13"/>
  <c r="E336" i="13"/>
  <c r="F337" i="5"/>
  <c r="E337" i="5"/>
  <c r="C338" i="5"/>
  <c r="C337" i="3"/>
  <c r="E336" i="3"/>
  <c r="F336" i="3"/>
  <c r="C328" i="2"/>
  <c r="F327" i="2"/>
  <c r="E327" i="2"/>
  <c r="F332" i="19" l="1"/>
  <c r="E337" i="13"/>
  <c r="C338" i="13"/>
  <c r="F337" i="13"/>
  <c r="C339" i="5"/>
  <c r="F338" i="5"/>
  <c r="E338" i="5"/>
  <c r="F337" i="3"/>
  <c r="E337" i="3"/>
  <c r="C338" i="3"/>
  <c r="E328" i="2"/>
  <c r="F328" i="2"/>
  <c r="C329" i="2"/>
  <c r="F333" i="19" l="1"/>
  <c r="F338" i="13"/>
  <c r="E338" i="13"/>
  <c r="C339" i="13"/>
  <c r="C340" i="5"/>
  <c r="F339" i="5"/>
  <c r="E339" i="5"/>
  <c r="C339" i="3"/>
  <c r="F338" i="3"/>
  <c r="E338" i="3"/>
  <c r="C330" i="2"/>
  <c r="F329" i="2"/>
  <c r="E329" i="2"/>
  <c r="F334" i="19" l="1"/>
  <c r="C340" i="13"/>
  <c r="E339" i="13"/>
  <c r="F339" i="13"/>
  <c r="F340" i="5"/>
  <c r="E340" i="5"/>
  <c r="C341" i="5"/>
  <c r="C340" i="3"/>
  <c r="F339" i="3"/>
  <c r="E339" i="3"/>
  <c r="E330" i="2"/>
  <c r="C331" i="2"/>
  <c r="F330" i="2"/>
  <c r="F335" i="19" l="1"/>
  <c r="F340" i="13"/>
  <c r="E340" i="13"/>
  <c r="C341" i="13"/>
  <c r="C342" i="5"/>
  <c r="F341" i="5"/>
  <c r="E341" i="5"/>
  <c r="F340" i="3"/>
  <c r="E340" i="3"/>
  <c r="C341" i="3"/>
  <c r="C332" i="2"/>
  <c r="F331" i="2"/>
  <c r="E331" i="2"/>
  <c r="F336" i="19" l="1"/>
  <c r="C342" i="13"/>
  <c r="F341" i="13"/>
  <c r="E341" i="13"/>
  <c r="E342" i="5"/>
  <c r="C343" i="5"/>
  <c r="F342" i="5"/>
  <c r="C342" i="3"/>
  <c r="F341" i="3"/>
  <c r="E341" i="3"/>
  <c r="E332" i="2"/>
  <c r="C333" i="2"/>
  <c r="F332" i="2"/>
  <c r="F337" i="19" l="1"/>
  <c r="C343" i="13"/>
  <c r="F342" i="13"/>
  <c r="E342" i="13"/>
  <c r="F343" i="5"/>
  <c r="E343" i="5"/>
  <c r="C344" i="5"/>
  <c r="E342" i="3"/>
  <c r="C343" i="3"/>
  <c r="F342" i="3"/>
  <c r="C334" i="2"/>
  <c r="F333" i="2"/>
  <c r="E333" i="2"/>
  <c r="F338" i="19" l="1"/>
  <c r="F343" i="13"/>
  <c r="E343" i="13"/>
  <c r="C344" i="13"/>
  <c r="C345" i="5"/>
  <c r="E344" i="5"/>
  <c r="F344" i="5"/>
  <c r="F343" i="3"/>
  <c r="E343" i="3"/>
  <c r="C344" i="3"/>
  <c r="E334" i="2"/>
  <c r="C335" i="2"/>
  <c r="F334" i="2"/>
  <c r="F339" i="19" l="1"/>
  <c r="C345" i="13"/>
  <c r="F344" i="13"/>
  <c r="E344" i="13"/>
  <c r="F345" i="5"/>
  <c r="E345" i="5"/>
  <c r="C346" i="5"/>
  <c r="C345" i="3"/>
  <c r="F344" i="3"/>
  <c r="E344" i="3"/>
  <c r="C336" i="2"/>
  <c r="F335" i="2"/>
  <c r="E335" i="2"/>
  <c r="F340" i="19" l="1"/>
  <c r="E345" i="13"/>
  <c r="C346" i="13"/>
  <c r="F345" i="13"/>
  <c r="C347" i="5"/>
  <c r="F346" i="5"/>
  <c r="E346" i="5"/>
  <c r="F345" i="3"/>
  <c r="E345" i="3"/>
  <c r="C346" i="3"/>
  <c r="E336" i="2"/>
  <c r="C337" i="2"/>
  <c r="F336" i="2"/>
  <c r="F341" i="19" l="1"/>
  <c r="F346" i="13"/>
  <c r="E346" i="13"/>
  <c r="C347" i="13"/>
  <c r="C348" i="5"/>
  <c r="F347" i="5"/>
  <c r="E347" i="5"/>
  <c r="C347" i="3"/>
  <c r="F346" i="3"/>
  <c r="E346" i="3"/>
  <c r="C338" i="2"/>
  <c r="F337" i="2"/>
  <c r="E337" i="2"/>
  <c r="F342" i="19" l="1"/>
  <c r="C348" i="13"/>
  <c r="E347" i="13"/>
  <c r="F347" i="13"/>
  <c r="F348" i="5"/>
  <c r="E348" i="5"/>
  <c r="C349" i="5"/>
  <c r="C348" i="3"/>
  <c r="E347" i="3"/>
  <c r="F347" i="3"/>
  <c r="E338" i="2"/>
  <c r="F338" i="2"/>
  <c r="C339" i="2"/>
  <c r="F343" i="19" l="1"/>
  <c r="F348" i="13"/>
  <c r="E348" i="13"/>
  <c r="C349" i="13"/>
  <c r="C350" i="5"/>
  <c r="E349" i="5"/>
  <c r="F349" i="5"/>
  <c r="F348" i="3"/>
  <c r="E348" i="3"/>
  <c r="C349" i="3"/>
  <c r="C340" i="2"/>
  <c r="F339" i="2"/>
  <c r="E339" i="2"/>
  <c r="F344" i="19" l="1"/>
  <c r="C350" i="13"/>
  <c r="F349" i="13"/>
  <c r="E349" i="13"/>
  <c r="E350" i="5"/>
  <c r="C351" i="5"/>
  <c r="F350" i="5"/>
  <c r="C350" i="3"/>
  <c r="F349" i="3"/>
  <c r="E349" i="3"/>
  <c r="E340" i="2"/>
  <c r="F340" i="2"/>
  <c r="C341" i="2"/>
  <c r="F345" i="19" l="1"/>
  <c r="C351" i="13"/>
  <c r="F350" i="13"/>
  <c r="E350" i="13"/>
  <c r="F351" i="5"/>
  <c r="E351" i="5"/>
  <c r="C352" i="5"/>
  <c r="E350" i="3"/>
  <c r="C351" i="3"/>
  <c r="F350" i="3"/>
  <c r="C342" i="2"/>
  <c r="F341" i="2"/>
  <c r="E341" i="2"/>
  <c r="F346" i="19" l="1"/>
  <c r="F351" i="13"/>
  <c r="E351" i="13"/>
  <c r="C352" i="13"/>
  <c r="C353" i="5"/>
  <c r="E352" i="5"/>
  <c r="F352" i="5"/>
  <c r="F351" i="3"/>
  <c r="E351" i="3"/>
  <c r="C352" i="3"/>
  <c r="E342" i="2"/>
  <c r="C343" i="2"/>
  <c r="F342" i="2"/>
  <c r="F347" i="19" l="1"/>
  <c r="C353" i="13"/>
  <c r="F352" i="13"/>
  <c r="E352" i="13"/>
  <c r="F353" i="5"/>
  <c r="E353" i="5"/>
  <c r="C354" i="5"/>
  <c r="C353" i="3"/>
  <c r="E352" i="3"/>
  <c r="F352" i="3"/>
  <c r="C344" i="2"/>
  <c r="F343" i="2"/>
  <c r="E343" i="2"/>
  <c r="F348" i="19" l="1"/>
  <c r="E353" i="13"/>
  <c r="C354" i="13"/>
  <c r="F353" i="13"/>
  <c r="C355" i="5"/>
  <c r="F354" i="5"/>
  <c r="E354" i="5"/>
  <c r="F353" i="3"/>
  <c r="E353" i="3"/>
  <c r="C354" i="3"/>
  <c r="E344" i="2"/>
  <c r="F344" i="2"/>
  <c r="C345" i="2"/>
  <c r="F349" i="19" l="1"/>
  <c r="F354" i="13"/>
  <c r="E354" i="13"/>
  <c r="C355" i="13"/>
  <c r="C356" i="5"/>
  <c r="F355" i="5"/>
  <c r="E355" i="5"/>
  <c r="C355" i="3"/>
  <c r="F354" i="3"/>
  <c r="E354" i="3"/>
  <c r="C346" i="2"/>
  <c r="F345" i="2"/>
  <c r="E345" i="2"/>
  <c r="F350" i="19" l="1"/>
  <c r="C356" i="13"/>
  <c r="E355" i="13"/>
  <c r="F355" i="13"/>
  <c r="F356" i="5"/>
  <c r="E356" i="5"/>
  <c r="C357" i="5"/>
  <c r="C356" i="3"/>
  <c r="F355" i="3"/>
  <c r="E355" i="3"/>
  <c r="E346" i="2"/>
  <c r="F346" i="2"/>
  <c r="C347" i="2"/>
  <c r="F351" i="19" l="1"/>
  <c r="F356" i="13"/>
  <c r="E356" i="13"/>
  <c r="C357" i="13"/>
  <c r="C358" i="5"/>
  <c r="F357" i="5"/>
  <c r="E357" i="5"/>
  <c r="F356" i="3"/>
  <c r="E356" i="3"/>
  <c r="C357" i="3"/>
  <c r="C348" i="2"/>
  <c r="F347" i="2"/>
  <c r="E347" i="2"/>
  <c r="F352" i="19" l="1"/>
  <c r="C358" i="13"/>
  <c r="F357" i="13"/>
  <c r="E357" i="13"/>
  <c r="E358" i="5"/>
  <c r="C359" i="5"/>
  <c r="F358" i="5"/>
  <c r="C358" i="3"/>
  <c r="F357" i="3"/>
  <c r="E357" i="3"/>
  <c r="E348" i="2"/>
  <c r="C349" i="2"/>
  <c r="F348" i="2"/>
  <c r="F353" i="19" l="1"/>
  <c r="C359" i="13"/>
  <c r="F358" i="13"/>
  <c r="E358" i="13"/>
  <c r="F359" i="5"/>
  <c r="E359" i="5"/>
  <c r="C360" i="5"/>
  <c r="E358" i="3"/>
  <c r="C359" i="3"/>
  <c r="F358" i="3"/>
  <c r="C350" i="2"/>
  <c r="F349" i="2"/>
  <c r="E349" i="2"/>
  <c r="F354" i="19" l="1"/>
  <c r="F359" i="13"/>
  <c r="E359" i="13"/>
  <c r="C360" i="13"/>
  <c r="C361" i="5"/>
  <c r="E360" i="5"/>
  <c r="F360" i="5"/>
  <c r="F359" i="3"/>
  <c r="E359" i="3"/>
  <c r="C360" i="3"/>
  <c r="E350" i="2"/>
  <c r="C351" i="2"/>
  <c r="F350" i="2"/>
  <c r="F355" i="19" l="1"/>
  <c r="C361" i="13"/>
  <c r="F360" i="13"/>
  <c r="E360" i="13"/>
  <c r="F361" i="5"/>
  <c r="E361" i="5"/>
  <c r="C362" i="5"/>
  <c r="C361" i="3"/>
  <c r="F360" i="3"/>
  <c r="E360" i="3"/>
  <c r="F351" i="2"/>
  <c r="E351" i="2"/>
  <c r="C352" i="2"/>
  <c r="F356" i="19" l="1"/>
  <c r="E361" i="13"/>
  <c r="C362" i="13"/>
  <c r="F361" i="13"/>
  <c r="C363" i="5"/>
  <c r="F362" i="5"/>
  <c r="E362" i="5"/>
  <c r="F361" i="3"/>
  <c r="E361" i="3"/>
  <c r="C362" i="3"/>
  <c r="C353" i="2"/>
  <c r="F352" i="2"/>
  <c r="E352" i="2"/>
  <c r="F357" i="19" l="1"/>
  <c r="F362" i="13"/>
  <c r="E362" i="13"/>
  <c r="C363" i="13"/>
  <c r="C364" i="5"/>
  <c r="F363" i="5"/>
  <c r="E363" i="5"/>
  <c r="C363" i="3"/>
  <c r="F362" i="3"/>
  <c r="E362" i="3"/>
  <c r="F353" i="2"/>
  <c r="E353" i="2"/>
  <c r="C354" i="2"/>
  <c r="F358" i="19" l="1"/>
  <c r="C364" i="13"/>
  <c r="E363" i="13"/>
  <c r="F363" i="13"/>
  <c r="F364" i="5"/>
  <c r="E364" i="5"/>
  <c r="C365" i="5"/>
  <c r="C364" i="3"/>
  <c r="E363" i="3"/>
  <c r="F363" i="3"/>
  <c r="C355" i="2"/>
  <c r="F354" i="2"/>
  <c r="E354" i="2"/>
  <c r="F359" i="19" l="1"/>
  <c r="F364" i="13"/>
  <c r="E364" i="13"/>
  <c r="C365" i="13"/>
  <c r="C366" i="5"/>
  <c r="E365" i="5"/>
  <c r="F365" i="5"/>
  <c r="F364" i="3"/>
  <c r="E364" i="3"/>
  <c r="C365" i="3"/>
  <c r="C356" i="2"/>
  <c r="F355" i="2"/>
  <c r="E355" i="2"/>
  <c r="F360" i="19" l="1"/>
  <c r="C366" i="13"/>
  <c r="F365" i="13"/>
  <c r="E365" i="13"/>
  <c r="E366" i="5"/>
  <c r="C367" i="5"/>
  <c r="F366" i="5"/>
  <c r="C366" i="3"/>
  <c r="F365" i="3"/>
  <c r="E365" i="3"/>
  <c r="F356" i="2"/>
  <c r="E356" i="2"/>
  <c r="C357" i="2"/>
  <c r="F361" i="19" l="1"/>
  <c r="C367" i="13"/>
  <c r="F366" i="13"/>
  <c r="E366" i="13"/>
  <c r="F367" i="5"/>
  <c r="E367" i="5"/>
  <c r="C368" i="5"/>
  <c r="E366" i="3"/>
  <c r="C367" i="3"/>
  <c r="F366" i="3"/>
  <c r="C358" i="2"/>
  <c r="F357" i="2"/>
  <c r="E357" i="2"/>
  <c r="F362" i="19" l="1"/>
  <c r="F367" i="13"/>
  <c r="E367" i="13"/>
  <c r="C368" i="13"/>
  <c r="C369" i="5"/>
  <c r="E368" i="5"/>
  <c r="F368" i="5"/>
  <c r="F367" i="3"/>
  <c r="E367" i="3"/>
  <c r="C368" i="3"/>
  <c r="E358" i="2"/>
  <c r="C359" i="2"/>
  <c r="F358" i="2"/>
  <c r="F363" i="19" l="1"/>
  <c r="C369" i="13"/>
  <c r="F368" i="13"/>
  <c r="E368" i="13"/>
  <c r="F369" i="5"/>
  <c r="E369" i="5"/>
  <c r="C370" i="5"/>
  <c r="C369" i="3"/>
  <c r="E368" i="3"/>
  <c r="F368" i="3"/>
  <c r="F359" i="2"/>
  <c r="E359" i="2"/>
  <c r="C360" i="2"/>
  <c r="F364" i="19" l="1"/>
  <c r="E369" i="13"/>
  <c r="C370" i="13"/>
  <c r="F369" i="13"/>
  <c r="C371" i="5"/>
  <c r="F370" i="5"/>
  <c r="E370" i="5"/>
  <c r="F369" i="3"/>
  <c r="E369" i="3"/>
  <c r="C370" i="3"/>
  <c r="C361" i="2"/>
  <c r="E360" i="2"/>
  <c r="F360" i="2"/>
  <c r="F365" i="19" l="1"/>
  <c r="F370" i="13"/>
  <c r="E370" i="13"/>
  <c r="C371" i="13"/>
  <c r="C372" i="5"/>
  <c r="F371" i="5"/>
  <c r="E371" i="5"/>
  <c r="C371" i="3"/>
  <c r="F370" i="3"/>
  <c r="E370" i="3"/>
  <c r="F361" i="2"/>
  <c r="E361" i="2"/>
  <c r="C362" i="2"/>
  <c r="F366" i="19" l="1"/>
  <c r="C372" i="13"/>
  <c r="E371" i="13"/>
  <c r="F371" i="13"/>
  <c r="F372" i="5"/>
  <c r="E372" i="5"/>
  <c r="C373" i="5"/>
  <c r="C372" i="3"/>
  <c r="F371" i="3"/>
  <c r="E371" i="3"/>
  <c r="C363" i="2"/>
  <c r="F362" i="2"/>
  <c r="E362" i="2"/>
  <c r="F367" i="19" l="1"/>
  <c r="F372" i="13"/>
  <c r="E372" i="13"/>
  <c r="C373" i="13"/>
  <c r="C374" i="5"/>
  <c r="F373" i="5"/>
  <c r="E373" i="5"/>
  <c r="F372" i="3"/>
  <c r="E372" i="3"/>
  <c r="C373" i="3"/>
  <c r="C364" i="2"/>
  <c r="F363" i="2"/>
  <c r="E363" i="2"/>
  <c r="F368" i="19" l="1"/>
  <c r="C374" i="13"/>
  <c r="F373" i="13"/>
  <c r="E373" i="13"/>
  <c r="E374" i="5"/>
  <c r="C375" i="5"/>
  <c r="F374" i="5"/>
  <c r="C374" i="3"/>
  <c r="F373" i="3"/>
  <c r="E373" i="3"/>
  <c r="F364" i="2"/>
  <c r="E364" i="2"/>
  <c r="C365" i="2"/>
  <c r="C375" i="13" l="1"/>
  <c r="F374" i="13"/>
  <c r="E374" i="13"/>
  <c r="F375" i="5"/>
  <c r="E375" i="5"/>
  <c r="C376" i="5"/>
  <c r="E374" i="3"/>
  <c r="C375" i="3"/>
  <c r="F374" i="3"/>
  <c r="C366" i="2"/>
  <c r="F365" i="2"/>
  <c r="E365" i="2"/>
  <c r="F375" i="13" l="1"/>
  <c r="E375" i="13"/>
  <c r="C376" i="13"/>
  <c r="C377" i="5"/>
  <c r="E376" i="5"/>
  <c r="F376" i="5"/>
  <c r="F375" i="3"/>
  <c r="E375" i="3"/>
  <c r="C376" i="3"/>
  <c r="E366" i="2"/>
  <c r="C367" i="2"/>
  <c r="F366" i="2"/>
  <c r="C377" i="13" l="1"/>
  <c r="F376" i="13"/>
  <c r="E376" i="13"/>
  <c r="F377" i="5"/>
  <c r="E377" i="5"/>
  <c r="C378" i="5"/>
  <c r="C377" i="3"/>
  <c r="F376" i="3"/>
  <c r="E376" i="3"/>
  <c r="F367" i="2"/>
  <c r="E367" i="2"/>
  <c r="C368" i="2"/>
  <c r="E377" i="13" l="1"/>
  <c r="C378" i="13"/>
  <c r="F377" i="13"/>
  <c r="C379" i="5"/>
  <c r="F378" i="5"/>
  <c r="E378" i="5"/>
  <c r="F377" i="3"/>
  <c r="E377" i="3"/>
  <c r="C378" i="3"/>
  <c r="C369" i="2"/>
  <c r="F368" i="2"/>
  <c r="E368" i="2"/>
  <c r="F378" i="13" l="1"/>
  <c r="E378" i="13"/>
  <c r="C379" i="13"/>
  <c r="C380" i="5"/>
  <c r="F379" i="5"/>
  <c r="E379" i="5"/>
  <c r="C379" i="3"/>
  <c r="F378" i="3"/>
  <c r="E378" i="3"/>
  <c r="F369" i="2"/>
  <c r="E369" i="2"/>
  <c r="C370" i="2"/>
  <c r="C381" i="5" l="1"/>
  <c r="C382" i="5" s="1"/>
  <c r="C383" i="5" s="1"/>
  <c r="C380" i="13"/>
  <c r="E379" i="13"/>
  <c r="F379" i="13"/>
  <c r="F380" i="5"/>
  <c r="E380" i="5"/>
  <c r="C380" i="3"/>
  <c r="E379" i="3"/>
  <c r="F379" i="3"/>
  <c r="C371" i="2"/>
  <c r="F370" i="2"/>
  <c r="E370" i="2"/>
  <c r="E383" i="5" l="1"/>
  <c r="G382" i="5"/>
  <c r="G374" i="5"/>
  <c r="G366" i="5"/>
  <c r="G358" i="5"/>
  <c r="G350" i="5"/>
  <c r="G342" i="5"/>
  <c r="G334" i="5"/>
  <c r="G326" i="5"/>
  <c r="G318" i="5"/>
  <c r="G310" i="5"/>
  <c r="G302" i="5"/>
  <c r="G294" i="5"/>
  <c r="G286" i="5"/>
  <c r="G278" i="5"/>
  <c r="G270" i="5"/>
  <c r="G262" i="5"/>
  <c r="G254" i="5"/>
  <c r="G246" i="5"/>
  <c r="G238" i="5"/>
  <c r="G230" i="5"/>
  <c r="G222" i="5"/>
  <c r="G214" i="5"/>
  <c r="G206" i="5"/>
  <c r="G198" i="5"/>
  <c r="G190" i="5"/>
  <c r="G182" i="5"/>
  <c r="G174" i="5"/>
  <c r="G166" i="5"/>
  <c r="G158" i="5"/>
  <c r="G150" i="5"/>
  <c r="G142" i="5"/>
  <c r="G134" i="5"/>
  <c r="G126" i="5"/>
  <c r="G118" i="5"/>
  <c r="G110" i="5"/>
  <c r="G102" i="5"/>
  <c r="G94" i="5"/>
  <c r="G86" i="5"/>
  <c r="G78" i="5"/>
  <c r="G70" i="5"/>
  <c r="G62" i="5"/>
  <c r="G54" i="5"/>
  <c r="G46" i="5"/>
  <c r="G38" i="5"/>
  <c r="G30" i="5"/>
  <c r="G22" i="5"/>
  <c r="G14" i="5"/>
  <c r="G371" i="5"/>
  <c r="G363" i="5"/>
  <c r="G355" i="5"/>
  <c r="G339" i="5"/>
  <c r="G331" i="5"/>
  <c r="G315" i="5"/>
  <c r="G299" i="5"/>
  <c r="G275" i="5"/>
  <c r="G259" i="5"/>
  <c r="G227" i="5"/>
  <c r="G203" i="5"/>
  <c r="G171" i="5"/>
  <c r="G147" i="5"/>
  <c r="G123" i="5"/>
  <c r="G99" i="5"/>
  <c r="G75" i="5"/>
  <c r="G59" i="5"/>
  <c r="G43" i="5"/>
  <c r="G19" i="5"/>
  <c r="G56" i="5"/>
  <c r="G383" i="5"/>
  <c r="G335" i="5"/>
  <c r="G319" i="5"/>
  <c r="G303" i="5"/>
  <c r="G287" i="5"/>
  <c r="G271" i="5"/>
  <c r="G255" i="5"/>
  <c r="G231" i="5"/>
  <c r="G215" i="5"/>
  <c r="G183" i="5"/>
  <c r="G159" i="5"/>
  <c r="G381" i="5"/>
  <c r="G373" i="5"/>
  <c r="G365" i="5"/>
  <c r="G357" i="5"/>
  <c r="G349" i="5"/>
  <c r="G341" i="5"/>
  <c r="G333" i="5"/>
  <c r="G325" i="5"/>
  <c r="G317" i="5"/>
  <c r="G309" i="5"/>
  <c r="G301" i="5"/>
  <c r="G293" i="5"/>
  <c r="G285" i="5"/>
  <c r="G277" i="5"/>
  <c r="G269" i="5"/>
  <c r="G261" i="5"/>
  <c r="G253" i="5"/>
  <c r="G245" i="5"/>
  <c r="G237" i="5"/>
  <c r="G229" i="5"/>
  <c r="G221" i="5"/>
  <c r="G213" i="5"/>
  <c r="G205" i="5"/>
  <c r="G197" i="5"/>
  <c r="G189" i="5"/>
  <c r="G181" i="5"/>
  <c r="G173" i="5"/>
  <c r="G165" i="5"/>
  <c r="G157" i="5"/>
  <c r="G149" i="5"/>
  <c r="G141" i="5"/>
  <c r="G133" i="5"/>
  <c r="G125" i="5"/>
  <c r="G117" i="5"/>
  <c r="G109" i="5"/>
  <c r="G101" i="5"/>
  <c r="G93" i="5"/>
  <c r="G85" i="5"/>
  <c r="G77" i="5"/>
  <c r="G69" i="5"/>
  <c r="G61" i="5"/>
  <c r="G53" i="5"/>
  <c r="G45" i="5"/>
  <c r="G37" i="5"/>
  <c r="G29" i="5"/>
  <c r="G21" i="5"/>
  <c r="G13" i="5"/>
  <c r="G347" i="5"/>
  <c r="G307" i="5"/>
  <c r="G291" i="5"/>
  <c r="G267" i="5"/>
  <c r="G243" i="5"/>
  <c r="G235" i="5"/>
  <c r="G211" i="5"/>
  <c r="G187" i="5"/>
  <c r="G179" i="5"/>
  <c r="G155" i="5"/>
  <c r="G131" i="5"/>
  <c r="G107" i="5"/>
  <c r="G91" i="5"/>
  <c r="G67" i="5"/>
  <c r="G35" i="5"/>
  <c r="G24" i="5"/>
  <c r="G351" i="5"/>
  <c r="G380" i="5"/>
  <c r="G372" i="5"/>
  <c r="G364" i="5"/>
  <c r="G356" i="5"/>
  <c r="G348" i="5"/>
  <c r="G340" i="5"/>
  <c r="G332" i="5"/>
  <c r="G324" i="5"/>
  <c r="G316" i="5"/>
  <c r="G308" i="5"/>
  <c r="G300" i="5"/>
  <c r="G292" i="5"/>
  <c r="G284" i="5"/>
  <c r="G276" i="5"/>
  <c r="G268" i="5"/>
  <c r="G260" i="5"/>
  <c r="G252" i="5"/>
  <c r="G244" i="5"/>
  <c r="G236" i="5"/>
  <c r="G228" i="5"/>
  <c r="G220" i="5"/>
  <c r="G212" i="5"/>
  <c r="G204" i="5"/>
  <c r="G196" i="5"/>
  <c r="G188" i="5"/>
  <c r="G180" i="5"/>
  <c r="G172" i="5"/>
  <c r="G164" i="5"/>
  <c r="G156" i="5"/>
  <c r="G148" i="5"/>
  <c r="G140" i="5"/>
  <c r="G132" i="5"/>
  <c r="G124" i="5"/>
  <c r="G116" i="5"/>
  <c r="G108" i="5"/>
  <c r="G100" i="5"/>
  <c r="G92" i="5"/>
  <c r="G84" i="5"/>
  <c r="G76" i="5"/>
  <c r="G68" i="5"/>
  <c r="G60" i="5"/>
  <c r="G52" i="5"/>
  <c r="G44" i="5"/>
  <c r="G36" i="5"/>
  <c r="G28" i="5"/>
  <c r="G20" i="5"/>
  <c r="G12" i="5"/>
  <c r="F383" i="5"/>
  <c r="G379" i="5"/>
  <c r="G323" i="5"/>
  <c r="G283" i="5"/>
  <c r="G251" i="5"/>
  <c r="G219" i="5"/>
  <c r="G195" i="5"/>
  <c r="G163" i="5"/>
  <c r="G139" i="5"/>
  <c r="G115" i="5"/>
  <c r="G83" i="5"/>
  <c r="G51" i="5"/>
  <c r="G27" i="5"/>
  <c r="G11" i="5"/>
  <c r="G32" i="5"/>
  <c r="G367" i="5"/>
  <c r="G247" i="5"/>
  <c r="G191" i="5"/>
  <c r="G378" i="5"/>
  <c r="G370" i="5"/>
  <c r="G362" i="5"/>
  <c r="G354" i="5"/>
  <c r="G346" i="5"/>
  <c r="G338" i="5"/>
  <c r="G330" i="5"/>
  <c r="G322" i="5"/>
  <c r="G314" i="5"/>
  <c r="G306" i="5"/>
  <c r="G298" i="5"/>
  <c r="G290" i="5"/>
  <c r="G282" i="5"/>
  <c r="G274" i="5"/>
  <c r="G266" i="5"/>
  <c r="G258" i="5"/>
  <c r="G250" i="5"/>
  <c r="G242" i="5"/>
  <c r="G234" i="5"/>
  <c r="G226" i="5"/>
  <c r="G218" i="5"/>
  <c r="G210" i="5"/>
  <c r="G202" i="5"/>
  <c r="G194" i="5"/>
  <c r="G186" i="5"/>
  <c r="G178" i="5"/>
  <c r="G170" i="5"/>
  <c r="G162" i="5"/>
  <c r="G154" i="5"/>
  <c r="G146" i="5"/>
  <c r="G138" i="5"/>
  <c r="G130" i="5"/>
  <c r="G122" i="5"/>
  <c r="G114" i="5"/>
  <c r="G106" i="5"/>
  <c r="G98" i="5"/>
  <c r="G90" i="5"/>
  <c r="G82" i="5"/>
  <c r="G74" i="5"/>
  <c r="G66" i="5"/>
  <c r="G58" i="5"/>
  <c r="G50" i="5"/>
  <c r="G42" i="5"/>
  <c r="G34" i="5"/>
  <c r="G26" i="5"/>
  <c r="G18" i="5"/>
  <c r="G10" i="5"/>
  <c r="G376" i="5"/>
  <c r="G320" i="5"/>
  <c r="G296" i="5"/>
  <c r="G272" i="5"/>
  <c r="G248" i="5"/>
  <c r="G232" i="5"/>
  <c r="G216" i="5"/>
  <c r="G192" i="5"/>
  <c r="G176" i="5"/>
  <c r="G152" i="5"/>
  <c r="G136" i="5"/>
  <c r="G120" i="5"/>
  <c r="G96" i="5"/>
  <c r="G72" i="5"/>
  <c r="G40" i="5"/>
  <c r="G8" i="5"/>
  <c r="G359" i="5"/>
  <c r="G377" i="5"/>
  <c r="G369" i="5"/>
  <c r="G361" i="5"/>
  <c r="G353" i="5"/>
  <c r="G345" i="5"/>
  <c r="G337" i="5"/>
  <c r="G329" i="5"/>
  <c r="G321" i="5"/>
  <c r="G313" i="5"/>
  <c r="G305" i="5"/>
  <c r="G297" i="5"/>
  <c r="G289" i="5"/>
  <c r="G281" i="5"/>
  <c r="G273" i="5"/>
  <c r="G265" i="5"/>
  <c r="G257" i="5"/>
  <c r="G249" i="5"/>
  <c r="G241" i="5"/>
  <c r="G233" i="5"/>
  <c r="G225" i="5"/>
  <c r="G217" i="5"/>
  <c r="G209" i="5"/>
  <c r="G201" i="5"/>
  <c r="G193" i="5"/>
  <c r="G185" i="5"/>
  <c r="G177" i="5"/>
  <c r="G169" i="5"/>
  <c r="G161" i="5"/>
  <c r="G153" i="5"/>
  <c r="G145" i="5"/>
  <c r="G137" i="5"/>
  <c r="G129" i="5"/>
  <c r="G121" i="5"/>
  <c r="G113" i="5"/>
  <c r="G105" i="5"/>
  <c r="G97" i="5"/>
  <c r="G89" i="5"/>
  <c r="G81" i="5"/>
  <c r="G73" i="5"/>
  <c r="G65" i="5"/>
  <c r="G57" i="5"/>
  <c r="G49" i="5"/>
  <c r="G41" i="5"/>
  <c r="G33" i="5"/>
  <c r="G25" i="5"/>
  <c r="G17" i="5"/>
  <c r="G9" i="5"/>
  <c r="G368" i="5"/>
  <c r="G360" i="5"/>
  <c r="G352" i="5"/>
  <c r="G344" i="5"/>
  <c r="G336" i="5"/>
  <c r="G328" i="5"/>
  <c r="G312" i="5"/>
  <c r="G304" i="5"/>
  <c r="G288" i="5"/>
  <c r="G280" i="5"/>
  <c r="G264" i="5"/>
  <c r="G256" i="5"/>
  <c r="G240" i="5"/>
  <c r="G224" i="5"/>
  <c r="G208" i="5"/>
  <c r="G200" i="5"/>
  <c r="G184" i="5"/>
  <c r="G168" i="5"/>
  <c r="G160" i="5"/>
  <c r="G144" i="5"/>
  <c r="G128" i="5"/>
  <c r="G112" i="5"/>
  <c r="G104" i="5"/>
  <c r="G88" i="5"/>
  <c r="G80" i="5"/>
  <c r="G64" i="5"/>
  <c r="G48" i="5"/>
  <c r="G16" i="5"/>
  <c r="G375" i="5"/>
  <c r="G343" i="5"/>
  <c r="G327" i="5"/>
  <c r="G311" i="5"/>
  <c r="G295" i="5"/>
  <c r="G279" i="5"/>
  <c r="G263" i="5"/>
  <c r="G239" i="5"/>
  <c r="G223" i="5"/>
  <c r="G199" i="5"/>
  <c r="G175" i="5"/>
  <c r="G103" i="5"/>
  <c r="G39" i="5"/>
  <c r="G79" i="5"/>
  <c r="G119" i="5"/>
  <c r="G207" i="5"/>
  <c r="G167" i="5"/>
  <c r="G95" i="5"/>
  <c r="G31" i="5"/>
  <c r="G15" i="5"/>
  <c r="G55" i="5"/>
  <c r="G47" i="5"/>
  <c r="G151" i="5"/>
  <c r="G87" i="5"/>
  <c r="G23" i="5"/>
  <c r="G143" i="5"/>
  <c r="G135" i="5"/>
  <c r="G71" i="5"/>
  <c r="G7" i="5"/>
  <c r="G127" i="5"/>
  <c r="G63" i="5"/>
  <c r="G111" i="5"/>
  <c r="F382" i="5"/>
  <c r="E382" i="5"/>
  <c r="E381" i="5"/>
  <c r="F381" i="5"/>
  <c r="C381" i="3"/>
  <c r="C382" i="3" s="1"/>
  <c r="C383" i="3" s="1"/>
  <c r="F380" i="13"/>
  <c r="E380" i="13"/>
  <c r="C381" i="13"/>
  <c r="F380" i="3"/>
  <c r="E380" i="3"/>
  <c r="C372" i="2"/>
  <c r="C373" i="2" s="1"/>
  <c r="F371" i="2"/>
  <c r="E371" i="2"/>
  <c r="E383" i="3" l="1"/>
  <c r="G378" i="3"/>
  <c r="G370" i="3"/>
  <c r="G362" i="3"/>
  <c r="G354" i="3"/>
  <c r="G346" i="3"/>
  <c r="G338" i="3"/>
  <c r="G330" i="3"/>
  <c r="G322" i="3"/>
  <c r="G314" i="3"/>
  <c r="G306" i="3"/>
  <c r="G298" i="3"/>
  <c r="G290" i="3"/>
  <c r="G282" i="3"/>
  <c r="G274" i="3"/>
  <c r="G266" i="3"/>
  <c r="G258" i="3"/>
  <c r="G250" i="3"/>
  <c r="G242" i="3"/>
  <c r="G234" i="3"/>
  <c r="G226" i="3"/>
  <c r="G218" i="3"/>
  <c r="G210" i="3"/>
  <c r="G202" i="3"/>
  <c r="G194" i="3"/>
  <c r="G186" i="3"/>
  <c r="G178" i="3"/>
  <c r="G170" i="3"/>
  <c r="G162" i="3"/>
  <c r="G154" i="3"/>
  <c r="G146" i="3"/>
  <c r="G138" i="3"/>
  <c r="G130" i="3"/>
  <c r="G122" i="3"/>
  <c r="G114" i="3"/>
  <c r="G106" i="3"/>
  <c r="G98" i="3"/>
  <c r="G90" i="3"/>
  <c r="G82" i="3"/>
  <c r="G74" i="3"/>
  <c r="G66" i="3"/>
  <c r="G58" i="3"/>
  <c r="G50" i="3"/>
  <c r="G42" i="3"/>
  <c r="G34" i="3"/>
  <c r="G26" i="3"/>
  <c r="G18" i="3"/>
  <c r="G10" i="3"/>
  <c r="G349" i="3"/>
  <c r="G341" i="3"/>
  <c r="G325" i="3"/>
  <c r="G309" i="3"/>
  <c r="G285" i="3"/>
  <c r="G261" i="3"/>
  <c r="G245" i="3"/>
  <c r="G221" i="3"/>
  <c r="G197" i="3"/>
  <c r="G165" i="3"/>
  <c r="G133" i="3"/>
  <c r="G93" i="3"/>
  <c r="G53" i="3"/>
  <c r="G13" i="3"/>
  <c r="G377" i="3"/>
  <c r="G369" i="3"/>
  <c r="G361" i="3"/>
  <c r="G353" i="3"/>
  <c r="G345" i="3"/>
  <c r="G337" i="3"/>
  <c r="G329" i="3"/>
  <c r="G321" i="3"/>
  <c r="G313" i="3"/>
  <c r="G305" i="3"/>
  <c r="G297" i="3"/>
  <c r="G289" i="3"/>
  <c r="G281" i="3"/>
  <c r="G273" i="3"/>
  <c r="G265" i="3"/>
  <c r="G257" i="3"/>
  <c r="G249" i="3"/>
  <c r="G241" i="3"/>
  <c r="G233" i="3"/>
  <c r="G225" i="3"/>
  <c r="G217" i="3"/>
  <c r="G209" i="3"/>
  <c r="G201" i="3"/>
  <c r="G193" i="3"/>
  <c r="G185" i="3"/>
  <c r="G177" i="3"/>
  <c r="G169" i="3"/>
  <c r="G161" i="3"/>
  <c r="G153" i="3"/>
  <c r="G145" i="3"/>
  <c r="G137" i="3"/>
  <c r="G129" i="3"/>
  <c r="G121" i="3"/>
  <c r="G113" i="3"/>
  <c r="G105" i="3"/>
  <c r="G97" i="3"/>
  <c r="G89" i="3"/>
  <c r="G81" i="3"/>
  <c r="G73" i="3"/>
  <c r="G65" i="3"/>
  <c r="G57" i="3"/>
  <c r="G49" i="3"/>
  <c r="G41" i="3"/>
  <c r="G33" i="3"/>
  <c r="G25" i="3"/>
  <c r="G17" i="3"/>
  <c r="G9" i="3"/>
  <c r="G357" i="3"/>
  <c r="G333" i="3"/>
  <c r="G317" i="3"/>
  <c r="G301" i="3"/>
  <c r="G277" i="3"/>
  <c r="G253" i="3"/>
  <c r="G237" i="3"/>
  <c r="G213" i="3"/>
  <c r="G181" i="3"/>
  <c r="G149" i="3"/>
  <c r="G125" i="3"/>
  <c r="G101" i="3"/>
  <c r="G69" i="3"/>
  <c r="G21" i="3"/>
  <c r="G376" i="3"/>
  <c r="G368" i="3"/>
  <c r="G360" i="3"/>
  <c r="G352" i="3"/>
  <c r="G344" i="3"/>
  <c r="G336" i="3"/>
  <c r="G328" i="3"/>
  <c r="G320" i="3"/>
  <c r="G312" i="3"/>
  <c r="G304" i="3"/>
  <c r="G296" i="3"/>
  <c r="G288" i="3"/>
  <c r="G280" i="3"/>
  <c r="G272" i="3"/>
  <c r="G264" i="3"/>
  <c r="G256" i="3"/>
  <c r="G248" i="3"/>
  <c r="G240" i="3"/>
  <c r="G232" i="3"/>
  <c r="G224" i="3"/>
  <c r="G216" i="3"/>
  <c r="G208" i="3"/>
  <c r="G200" i="3"/>
  <c r="G192" i="3"/>
  <c r="G184" i="3"/>
  <c r="G176" i="3"/>
  <c r="G168" i="3"/>
  <c r="G160" i="3"/>
  <c r="G152" i="3"/>
  <c r="G144" i="3"/>
  <c r="G136" i="3"/>
  <c r="G128" i="3"/>
  <c r="G120" i="3"/>
  <c r="G112" i="3"/>
  <c r="G104" i="3"/>
  <c r="G96" i="3"/>
  <c r="G88" i="3"/>
  <c r="G80" i="3"/>
  <c r="G72" i="3"/>
  <c r="G64" i="3"/>
  <c r="G56" i="3"/>
  <c r="G48" i="3"/>
  <c r="G40" i="3"/>
  <c r="G32" i="3"/>
  <c r="G24" i="3"/>
  <c r="G16" i="3"/>
  <c r="G8" i="3"/>
  <c r="G365" i="3"/>
  <c r="G173" i="3"/>
  <c r="G85" i="3"/>
  <c r="G29" i="3"/>
  <c r="G383" i="3"/>
  <c r="G375" i="3"/>
  <c r="G367" i="3"/>
  <c r="G359" i="3"/>
  <c r="G351" i="3"/>
  <c r="G343" i="3"/>
  <c r="G335" i="3"/>
  <c r="G327" i="3"/>
  <c r="G319" i="3"/>
  <c r="G311" i="3"/>
  <c r="G303" i="3"/>
  <c r="G295" i="3"/>
  <c r="G287" i="3"/>
  <c r="G279" i="3"/>
  <c r="G271" i="3"/>
  <c r="G263" i="3"/>
  <c r="G255" i="3"/>
  <c r="G247" i="3"/>
  <c r="G239" i="3"/>
  <c r="G231" i="3"/>
  <c r="G223" i="3"/>
  <c r="G215" i="3"/>
  <c r="G207" i="3"/>
  <c r="G199" i="3"/>
  <c r="G191" i="3"/>
  <c r="G183" i="3"/>
  <c r="G175" i="3"/>
  <c r="G167" i="3"/>
  <c r="G159" i="3"/>
  <c r="G151" i="3"/>
  <c r="G143" i="3"/>
  <c r="G135" i="3"/>
  <c r="G127" i="3"/>
  <c r="G119" i="3"/>
  <c r="G111" i="3"/>
  <c r="G103" i="3"/>
  <c r="G95" i="3"/>
  <c r="G87" i="3"/>
  <c r="G79" i="3"/>
  <c r="G71" i="3"/>
  <c r="G63" i="3"/>
  <c r="G55" i="3"/>
  <c r="G47" i="3"/>
  <c r="G39" i="3"/>
  <c r="G31" i="3"/>
  <c r="G23" i="3"/>
  <c r="G15" i="3"/>
  <c r="G7" i="3"/>
  <c r="G381" i="3"/>
  <c r="G293" i="3"/>
  <c r="G229" i="3"/>
  <c r="G189" i="3"/>
  <c r="G141" i="3"/>
  <c r="G117" i="3"/>
  <c r="G77" i="3"/>
  <c r="G45" i="3"/>
  <c r="G37" i="3"/>
  <c r="G382" i="3"/>
  <c r="G374" i="3"/>
  <c r="G366" i="3"/>
  <c r="G358" i="3"/>
  <c r="G350" i="3"/>
  <c r="G342" i="3"/>
  <c r="G334" i="3"/>
  <c r="G326" i="3"/>
  <c r="G318" i="3"/>
  <c r="G310" i="3"/>
  <c r="G302" i="3"/>
  <c r="G294" i="3"/>
  <c r="G286" i="3"/>
  <c r="G278" i="3"/>
  <c r="G270" i="3"/>
  <c r="G262" i="3"/>
  <c r="G254" i="3"/>
  <c r="G246" i="3"/>
  <c r="G238" i="3"/>
  <c r="G230" i="3"/>
  <c r="G222" i="3"/>
  <c r="G214" i="3"/>
  <c r="G206" i="3"/>
  <c r="G198" i="3"/>
  <c r="G190" i="3"/>
  <c r="G182" i="3"/>
  <c r="G174" i="3"/>
  <c r="G166" i="3"/>
  <c r="G158" i="3"/>
  <c r="G150" i="3"/>
  <c r="G142" i="3"/>
  <c r="G134" i="3"/>
  <c r="G126" i="3"/>
  <c r="G118" i="3"/>
  <c r="G110" i="3"/>
  <c r="G102" i="3"/>
  <c r="G94" i="3"/>
  <c r="G86" i="3"/>
  <c r="G78" i="3"/>
  <c r="G70" i="3"/>
  <c r="G62" i="3"/>
  <c r="G54" i="3"/>
  <c r="G46" i="3"/>
  <c r="G38" i="3"/>
  <c r="G30" i="3"/>
  <c r="G22" i="3"/>
  <c r="G14" i="3"/>
  <c r="G373" i="3"/>
  <c r="G269" i="3"/>
  <c r="G205" i="3"/>
  <c r="G157" i="3"/>
  <c r="G109" i="3"/>
  <c r="G61" i="3"/>
  <c r="G380" i="3"/>
  <c r="G372" i="3"/>
  <c r="G364" i="3"/>
  <c r="G356" i="3"/>
  <c r="G348" i="3"/>
  <c r="G340" i="3"/>
  <c r="G332" i="3"/>
  <c r="G324" i="3"/>
  <c r="G316" i="3"/>
  <c r="G308" i="3"/>
  <c r="G300" i="3"/>
  <c r="G292" i="3"/>
  <c r="G284" i="3"/>
  <c r="G276" i="3"/>
  <c r="G268" i="3"/>
  <c r="G260" i="3"/>
  <c r="G252" i="3"/>
  <c r="G244" i="3"/>
  <c r="G236" i="3"/>
  <c r="G228" i="3"/>
  <c r="G220" i="3"/>
  <c r="G212" i="3"/>
  <c r="G204" i="3"/>
  <c r="G196" i="3"/>
  <c r="G188" i="3"/>
  <c r="G180" i="3"/>
  <c r="G172" i="3"/>
  <c r="G164" i="3"/>
  <c r="G156" i="3"/>
  <c r="G148" i="3"/>
  <c r="G140" i="3"/>
  <c r="G132" i="3"/>
  <c r="G124" i="3"/>
  <c r="G116" i="3"/>
  <c r="G108" i="3"/>
  <c r="G100" i="3"/>
  <c r="G92" i="3"/>
  <c r="G84" i="3"/>
  <c r="G76" i="3"/>
  <c r="G68" i="3"/>
  <c r="G60" i="3"/>
  <c r="G52" i="3"/>
  <c r="G44" i="3"/>
  <c r="G36" i="3"/>
  <c r="G28" i="3"/>
  <c r="G20" i="3"/>
  <c r="G12" i="3"/>
  <c r="F383" i="3"/>
  <c r="G379" i="3"/>
  <c r="G371" i="3"/>
  <c r="G363" i="3"/>
  <c r="G355" i="3"/>
  <c r="G347" i="3"/>
  <c r="G339" i="3"/>
  <c r="G331" i="3"/>
  <c r="G323" i="3"/>
  <c r="G315" i="3"/>
  <c r="G307" i="3"/>
  <c r="G299" i="3"/>
  <c r="G291" i="3"/>
  <c r="G283" i="3"/>
  <c r="G275" i="3"/>
  <c r="G267" i="3"/>
  <c r="G259" i="3"/>
  <c r="G251" i="3"/>
  <c r="G243" i="3"/>
  <c r="G235" i="3"/>
  <c r="G227" i="3"/>
  <c r="G219" i="3"/>
  <c r="G211" i="3"/>
  <c r="G203" i="3"/>
  <c r="G195" i="3"/>
  <c r="G187" i="3"/>
  <c r="G179" i="3"/>
  <c r="G171" i="3"/>
  <c r="G163" i="3"/>
  <c r="G155" i="3"/>
  <c r="G147" i="3"/>
  <c r="G139" i="3"/>
  <c r="G131" i="3"/>
  <c r="G123" i="3"/>
  <c r="G115" i="3"/>
  <c r="G107" i="3"/>
  <c r="G83" i="3"/>
  <c r="G67" i="3"/>
  <c r="G43" i="3"/>
  <c r="G35" i="3"/>
  <c r="G27" i="3"/>
  <c r="G11" i="3"/>
  <c r="G59" i="3"/>
  <c r="G51" i="3"/>
  <c r="G99" i="3"/>
  <c r="G19" i="3"/>
  <c r="G91" i="3"/>
  <c r="G75" i="3"/>
  <c r="E382" i="3"/>
  <c r="F382" i="3"/>
  <c r="C374" i="2"/>
  <c r="E381" i="3"/>
  <c r="F381" i="3"/>
  <c r="F373" i="2"/>
  <c r="E373" i="2"/>
  <c r="E372" i="2"/>
  <c r="C382" i="13"/>
  <c r="F381" i="13"/>
  <c r="E381" i="13"/>
  <c r="F372" i="2"/>
  <c r="F374" i="2" l="1"/>
  <c r="E374" i="2"/>
  <c r="C383" i="13"/>
  <c r="F382" i="13"/>
  <c r="E382" i="13"/>
  <c r="F383" i="13" l="1"/>
  <c r="E383" i="13"/>
  <c r="C384" i="13"/>
  <c r="C385" i="13" l="1"/>
  <c r="F384" i="13"/>
  <c r="E384" i="13"/>
  <c r="E385" i="13" l="1"/>
  <c r="C386" i="13"/>
  <c r="F385" i="13"/>
  <c r="F386" i="13" l="1"/>
  <c r="E386" i="13"/>
  <c r="C387" i="13"/>
  <c r="C388" i="13" l="1"/>
  <c r="E387" i="13"/>
  <c r="F387" i="13"/>
  <c r="F388" i="13" l="1"/>
  <c r="E388" i="13"/>
  <c r="C389" i="13"/>
  <c r="C390" i="13" l="1"/>
  <c r="F389" i="13"/>
  <c r="E389" i="13"/>
  <c r="C391" i="13" l="1"/>
  <c r="C392" i="13" s="1"/>
  <c r="C393" i="13" s="1"/>
  <c r="F390" i="13"/>
  <c r="E390" i="13"/>
  <c r="F393" i="13" l="1"/>
  <c r="E393" i="13"/>
  <c r="E392" i="13"/>
  <c r="F392" i="13"/>
  <c r="F391" i="13"/>
  <c r="E391" i="13"/>
</calcChain>
</file>

<file path=xl/sharedStrings.xml><?xml version="1.0" encoding="utf-8"?>
<sst xmlns="http://schemas.openxmlformats.org/spreadsheetml/2006/main" count="6026" uniqueCount="600">
  <si>
    <t>Índice Geral de Preços - Mercado | IGP-M</t>
  </si>
  <si>
    <t>IGPM - FGV</t>
  </si>
  <si>
    <t>Base: Agosto 94 = 100</t>
  </si>
  <si>
    <t>SÉRIE HISTÓRICA</t>
  </si>
  <si>
    <t>VARIAÇÃO (%)</t>
  </si>
  <si>
    <t>Fator de atualização*</t>
  </si>
  <si>
    <t>Ano</t>
  </si>
  <si>
    <t>Mês</t>
  </si>
  <si>
    <t>Índice</t>
  </si>
  <si>
    <t>Mês %</t>
  </si>
  <si>
    <t>Ano %</t>
  </si>
  <si>
    <t>12 m  %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</si>
  <si>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</si>
  <si>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</si>
  <si>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</si>
  <si>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</si>
  <si>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</si>
  <si>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</si>
  <si>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</si>
  <si>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</si>
  <si>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</si>
  <si>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</si>
  <si>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</si>
  <si>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</si>
  <si>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6.88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</si>
  <si>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</si>
  <si>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</si>
  <si>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</si>
  <si>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</si>
  <si>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</si>
  <si>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</si>
  <si>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</si>
  <si>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</si>
  <si>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</si>
  <si>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</si>
  <si>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out</t>
  </si>
  <si>
    <t>set</t>
  </si>
  <si>
    <t>Fonte: FGV|IBRE</t>
  </si>
  <si>
    <t>* Fator de atualização =  fator que atualiza valores correntes de meses passados até o último mês da tabela acima. Multiplique o valor a corrigir pelo fator de atualização.</t>
  </si>
  <si>
    <t>De 21 do mês anterior a 20 do mês corrente</t>
  </si>
  <si>
    <t>IPA</t>
  </si>
  <si>
    <t>IPC</t>
  </si>
  <si>
    <t>INCC</t>
  </si>
  <si>
    <t>IPC - FIPE</t>
  </si>
  <si>
    <t>* Fator de atualização =  fator que atualiza valores correntes de</t>
  </si>
  <si>
    <t xml:space="preserve"> meses passados até o último mês da tabela acima.</t>
  </si>
  <si>
    <t>Multiplique o valor a corrigir pelo fator de atualização.</t>
  </si>
  <si>
    <t>De 1 a 30 do mês corrente</t>
  </si>
  <si>
    <t>Índice Geral de Preços - Disponibilidade Interna 
 IGP-DI | FGV</t>
  </si>
  <si>
    <t>IPCA | IBGE</t>
  </si>
  <si>
    <t>Base: Dezembro 93 = 100</t>
  </si>
  <si>
    <t>Fator de atualização</t>
  </si>
  <si>
    <t>433 </t>
  </si>
  <si>
    <t>Índice oficial da inflação</t>
  </si>
  <si>
    <t>Famílias com renda de até 40 SM</t>
  </si>
  <si>
    <t>Do primeiro ao último dia do mês</t>
  </si>
  <si>
    <t>Índice Nacional de Preços ao Consumidor Amplo
IPCA -IBGE</t>
  </si>
  <si>
    <t>INPA-E | IBGE</t>
  </si>
  <si>
    <t>Base: Outubro 2000 = 100</t>
  </si>
  <si>
    <t>Fonte: IBGE</t>
  </si>
  <si>
    <t>meses passados até o último mês da tabela acima.</t>
  </si>
  <si>
    <t>IPCA-E = IPCA-15 (IPCA do dia 15 de cada mês)</t>
  </si>
  <si>
    <t>Índice Nacional de Preços ao Consumidor Amplo Especial
IPCA-E - IBGE</t>
  </si>
  <si>
    <t>INPC | IBGE</t>
  </si>
  <si>
    <t xml:space="preserve">Dez </t>
  </si>
  <si>
    <t>Entre o primeiro e o último dia do mês corrente</t>
  </si>
  <si>
    <t>Índice Nacional de Preços ao Consumidor
INPC | IBGE</t>
  </si>
  <si>
    <t>ICV | DIEESE</t>
  </si>
  <si>
    <t xml:space="preserve"> </t>
  </si>
  <si>
    <t>2004</t>
  </si>
  <si>
    <t>Fonte: DIEESE</t>
  </si>
  <si>
    <t>As pesquisas do Índice do Custo de Vida | ICV - DIEESE está suspensa.*</t>
  </si>
  <si>
    <t>Renda média de R$ 2.800,00 por mês</t>
  </si>
  <si>
    <t>Índice do Custo de Vida
ICV - DIEESE</t>
  </si>
  <si>
    <t>Base: Junho 94 = 100</t>
  </si>
  <si>
    <t xml:space="preserve">Jun </t>
  </si>
  <si>
    <t xml:space="preserve">Jul </t>
  </si>
  <si>
    <t xml:space="preserve">Ago </t>
  </si>
  <si>
    <t xml:space="preserve">Set </t>
  </si>
  <si>
    <t xml:space="preserve">Out </t>
  </si>
  <si>
    <t xml:space="preserve">Nov </t>
  </si>
  <si>
    <t xml:space="preserve">Jan </t>
  </si>
  <si>
    <t xml:space="preserve">Fev </t>
  </si>
  <si>
    <t xml:space="preserve">Mar </t>
  </si>
  <si>
    <t xml:space="preserve">Abr </t>
  </si>
  <si>
    <t xml:space="preserve">Mai </t>
  </si>
  <si>
    <t>Fonte: IPC-Fipe</t>
  </si>
  <si>
    <t>Índice de Preços ao Consumidor da Fundação Instituto de Pesquisas Econômicas, da USP, pesquisado no município de São Paulo. Reflete o custo de vida de famílias com renda de 1 a 20 salários mínimos. Divulga também taxas quadrissemanais.</t>
  </si>
  <si>
    <t>ÍNDICE DE PREÇOS AO CONSUMIDOR
IPC | FIPE</t>
  </si>
  <si>
    <t>IPA-DI | FGV</t>
  </si>
  <si>
    <t>Fonte: FGV/IBRE</t>
  </si>
  <si>
    <t>Componente (60%) do IGP-DI</t>
  </si>
  <si>
    <t>Índice de Preços ao Produtor Amplo  Disponibilidade Interna
IPA-DI</t>
  </si>
  <si>
    <t>IPC-DI | FGV</t>
  </si>
  <si>
    <t xml:space="preserve">Componente (30%) do IGP-DI. </t>
  </si>
  <si>
    <t>Índice de Preços ao Consumidor - Disponibilidade Interna
IPC-DI</t>
  </si>
  <si>
    <t>IPA-M | FGV</t>
  </si>
  <si>
    <t>IPAM</t>
  </si>
  <si>
    <t>Componente (60%) do IGPM.</t>
  </si>
  <si>
    <t>ÍNDICE DE PREÇOS POR ATACADO DO MERCADO
IPA-M</t>
  </si>
  <si>
    <t>CUB - Sinduscon | SP</t>
  </si>
  <si>
    <t>Base: Fevereiro 2007 = 100</t>
  </si>
  <si>
    <t xml:space="preserve">Mês </t>
  </si>
  <si>
    <t xml:space="preserve">Ano </t>
  </si>
  <si>
    <t xml:space="preserve">12 Meses  </t>
  </si>
  <si>
    <t xml:space="preserve">NOVA SÉRIE </t>
  </si>
  <si>
    <t>-</t>
  </si>
  <si>
    <t>Fonte: Depto. Economia - SINDUSCON/SP</t>
  </si>
  <si>
    <t>R8-N</t>
  </si>
  <si>
    <t>ÍNDICE NACIONAL DE CUSTOS DA CONSTRUÇÃO CIVIL
 INCC (GLOBAL)</t>
  </si>
  <si>
    <t>Índices de Rendimento das Contas de Poupança</t>
  </si>
  <si>
    <t>POUPANÇA</t>
  </si>
  <si>
    <t>Base: Janeio 1993 = 100</t>
  </si>
  <si>
    <t xml:space="preserve">jan </t>
  </si>
  <si>
    <t>FONTE: ABECIP | SBPE - SISTEMA BRASILEIRO DE POUPANÇA E EMPRÉSTIMO</t>
  </si>
  <si>
    <t>https://www3.bcb.gov.br/sgspub/localizarseries/localizarSeries.do?method=prepararTelaLocalizarSeries</t>
  </si>
  <si>
    <t>codigo</t>
  </si>
  <si>
    <t xml:space="preserve">           TAXA BÁSICA DE JUROS COPOM</t>
  </si>
  <si>
    <t>META DA SELIC % a.a</t>
  </si>
  <si>
    <t>REUNIÃO</t>
  </si>
  <si>
    <t>META SELIC % a.a.</t>
  </si>
  <si>
    <t>Nº</t>
  </si>
  <si>
    <t>DATA</t>
  </si>
  <si>
    <t>PERÍODO DE VIGÊNCIA</t>
  </si>
  <si>
    <t>80ª</t>
  </si>
  <si>
    <t>23/01/2003 - 19/02/2003</t>
  </si>
  <si>
    <t>81ª</t>
  </si>
  <si>
    <t>20/02/2003 - 19/03/2003</t>
  </si>
  <si>
    <t>82ª</t>
  </si>
  <si>
    <t>20/03/2003 - 23/04/2003</t>
  </si>
  <si>
    <t>83ª</t>
  </si>
  <si>
    <t>24/04/2003 - 21/05/2003</t>
  </si>
  <si>
    <t>84ª</t>
  </si>
  <si>
    <t>22/05/2003 - 18/06/2003</t>
  </si>
  <si>
    <t>85ª</t>
  </si>
  <si>
    <t>19/06/2003 - 23/07/2003</t>
  </si>
  <si>
    <t>86ª</t>
  </si>
  <si>
    <t>24/07/2003 - 20/08/2003</t>
  </si>
  <si>
    <t>87ª</t>
  </si>
  <si>
    <t>21/08/2003 - 17/09/2003</t>
  </si>
  <si>
    <t>88ª</t>
  </si>
  <si>
    <t>18/09/2003 - 22/10/2003</t>
  </si>
  <si>
    <t>89ª</t>
  </si>
  <si>
    <t>23/10/2003 - 19/11/2003</t>
  </si>
  <si>
    <t>90ª</t>
  </si>
  <si>
    <t>20/11/2003 - 17/12/2003</t>
  </si>
  <si>
    <t>91ª</t>
  </si>
  <si>
    <t>18/12/2003 - 21/01/2004</t>
  </si>
  <si>
    <t>92ª</t>
  </si>
  <si>
    <t>22/01/2004 - 18/02/2004</t>
  </si>
  <si>
    <t>93ª</t>
  </si>
  <si>
    <t>19/02/2004 - 17/03/2004</t>
  </si>
  <si>
    <t>94ª</t>
  </si>
  <si>
    <t>18/03/2004 - 14/04/2004</t>
  </si>
  <si>
    <t>95ª</t>
  </si>
  <si>
    <t>15/04/2004 - 19/05/2004</t>
  </si>
  <si>
    <t>96ª</t>
  </si>
  <si>
    <t>20/05/2004 - 16/06/2004</t>
  </si>
  <si>
    <t>97ª</t>
  </si>
  <si>
    <t>17/06/2004 - 21/07/2004</t>
  </si>
  <si>
    <t>98ª</t>
  </si>
  <si>
    <t>22/07/2004 - 18/08/2004</t>
  </si>
  <si>
    <t>99ª</t>
  </si>
  <si>
    <t>19/08/2004 - 15/09/2004</t>
  </si>
  <si>
    <t>100ª</t>
  </si>
  <si>
    <t>16/09/2004 - 20/10/2004</t>
  </si>
  <si>
    <t>101ª</t>
  </si>
  <si>
    <t>21/10/2004 - 17/11/2004</t>
  </si>
  <si>
    <t>102ª</t>
  </si>
  <si>
    <t>18/11/2004 - 15/12/2004</t>
  </si>
  <si>
    <t>103ª</t>
  </si>
  <si>
    <t>16/12/2004 - 19/01/2005</t>
  </si>
  <si>
    <t>104ª</t>
  </si>
  <si>
    <t>20/01/2005 - 16/02/2005</t>
  </si>
  <si>
    <t>105ª</t>
  </si>
  <si>
    <t>17/02/2005 - 16/03/2005</t>
  </si>
  <si>
    <t>106ª</t>
  </si>
  <si>
    <t>17/03/2005 - 21/04/2005</t>
  </si>
  <si>
    <t>107ª</t>
  </si>
  <si>
    <t>22/04/2005 - 18/05/2005</t>
  </si>
  <si>
    <t>108ª</t>
  </si>
  <si>
    <t>19/05/2005 - 15/06/2005</t>
  </si>
  <si>
    <t>109ª</t>
  </si>
  <si>
    <t>16/06/2005 - 20/07/2005</t>
  </si>
  <si>
    <t>110ª</t>
  </si>
  <si>
    <t>21/07/2005 - 17/08/2005</t>
  </si>
  <si>
    <t>111ª</t>
  </si>
  <si>
    <t>18/08/2005 - 14/09/2005</t>
  </si>
  <si>
    <t>112ª</t>
  </si>
  <si>
    <t>15/09/2005 - 19/10/2005</t>
  </si>
  <si>
    <t>113ª</t>
  </si>
  <si>
    <t>20/10/2005 - 23/11/2005</t>
  </si>
  <si>
    <t>114ª</t>
  </si>
  <si>
    <t>24/11/2005 - 14/12/2005</t>
  </si>
  <si>
    <t>115ª</t>
  </si>
  <si>
    <t>15/12/2005 - 18/01/2006</t>
  </si>
  <si>
    <t>116ª</t>
  </si>
  <si>
    <t>19/01/2006 - 08/03/2006</t>
  </si>
  <si>
    <t>117ª</t>
  </si>
  <si>
    <t>09/03/2006 - 19/04/2006</t>
  </si>
  <si>
    <t>118ª</t>
  </si>
  <si>
    <t>20/04/2006 - 31/05/2006</t>
  </si>
  <si>
    <t>119ª</t>
  </si>
  <si>
    <t>01/06/2006 - 19/07/2006</t>
  </si>
  <si>
    <t>120ª</t>
  </si>
  <si>
    <t>20/07/2006 - 30/08/2006</t>
  </si>
  <si>
    <t>121ª</t>
  </si>
  <si>
    <t>31/08/2006 - 18/10/2006</t>
  </si>
  <si>
    <t>122ª</t>
  </si>
  <si>
    <t>19/10/2006 - 29/11/2006</t>
  </si>
  <si>
    <t>123ª</t>
  </si>
  <si>
    <t>30/11/2006 - 24/01/2007</t>
  </si>
  <si>
    <t>124ª</t>
  </si>
  <si>
    <t>25/01/2007 - 07/03/2007</t>
  </si>
  <si>
    <t>125ª</t>
  </si>
  <si>
    <t>08/03/2007 - 18/04/2007</t>
  </si>
  <si>
    <t>126ª</t>
  </si>
  <si>
    <t>19/04/2007 - 06/06/2007</t>
  </si>
  <si>
    <t>127ª</t>
  </si>
  <si>
    <t>07/06/2007 - 18/07/2007</t>
  </si>
  <si>
    <t>128ª</t>
  </si>
  <si>
    <t>19/07/2007 - 05/09/2007</t>
  </si>
  <si>
    <t>129ª</t>
  </si>
  <si>
    <t>06/09/2007 - 17/10/2007</t>
  </si>
  <si>
    <t>130ª</t>
  </si>
  <si>
    <t>18/10/2007 - 05/12/2007</t>
  </si>
  <si>
    <t>131ª</t>
  </si>
  <si>
    <t>06/12/2007 - 23/01/2008</t>
  </si>
  <si>
    <t>132ª</t>
  </si>
  <si>
    <t>24/01/2008 - 05/03/2008</t>
  </si>
  <si>
    <t>133ª</t>
  </si>
  <si>
    <t>06/03/2008 - 16/04/2008</t>
  </si>
  <si>
    <t>134ª</t>
  </si>
  <si>
    <t>17/04/2008 - 04/06/2008</t>
  </si>
  <si>
    <t>135ª</t>
  </si>
  <si>
    <t>05/06/2008 - 23/07/2008</t>
  </si>
  <si>
    <t>136ª</t>
  </si>
  <si>
    <t>24/07/2008 - 10/09/2008</t>
  </si>
  <si>
    <t>137ª</t>
  </si>
  <si>
    <t>11/09/2008 - 29/10/2008</t>
  </si>
  <si>
    <t>138ª</t>
  </si>
  <si>
    <t>30/10/2008 - 10/12/2008</t>
  </si>
  <si>
    <t>139ª</t>
  </si>
  <si>
    <t>11/12/2008 - 21/01/2009</t>
  </si>
  <si>
    <t>140ª</t>
  </si>
  <si>
    <t>22/01/2009 - 11/03/2009</t>
  </si>
  <si>
    <t>141ª</t>
  </si>
  <si>
    <t>12/03/2009 - 29/04/2009</t>
  </si>
  <si>
    <t>142ª</t>
  </si>
  <si>
    <t>30/04/2009 - 10/06/2009</t>
  </si>
  <si>
    <t>143ª</t>
  </si>
  <si>
    <t>11/06/2009 - 22/07/2009</t>
  </si>
  <si>
    <t>144ª</t>
  </si>
  <si>
    <t>23/07/2009 - 02/09/2009</t>
  </si>
  <si>
    <t>145ª</t>
  </si>
  <si>
    <t>03/09/2009 - 21/10/2009</t>
  </si>
  <si>
    <t>146ª</t>
  </si>
  <si>
    <t>22/10/2009 - 09/12/2009</t>
  </si>
  <si>
    <t>147ª</t>
  </si>
  <si>
    <t>10/12/2009 - 27/01/2010</t>
  </si>
  <si>
    <t>148ª</t>
  </si>
  <si>
    <t>28/01/2010 - 17/03/2010</t>
  </si>
  <si>
    <t>149ª</t>
  </si>
  <si>
    <t>18/03/2010 - 28/04/2010</t>
  </si>
  <si>
    <t>150ª</t>
  </si>
  <si>
    <t>29/04/2010 - 09/06/2010</t>
  </si>
  <si>
    <t>151ª</t>
  </si>
  <si>
    <t>10/06/2010 - 21/07/2010</t>
  </si>
  <si>
    <t>152ª</t>
  </si>
  <si>
    <t>22/07/2010 - 01/09/2010</t>
  </si>
  <si>
    <t>153ª</t>
  </si>
  <si>
    <t>02/09/2010 - 20/10/2010</t>
  </si>
  <si>
    <t>154ª</t>
  </si>
  <si>
    <t>21/10/2010 - 08/12/2010</t>
  </si>
  <si>
    <t>155ª</t>
  </si>
  <si>
    <t>09/12/2010 - 19/01/2011</t>
  </si>
  <si>
    <t>156ª</t>
  </si>
  <si>
    <t>20/01/2011 - 02/03/2011</t>
  </si>
  <si>
    <t>157ª</t>
  </si>
  <si>
    <t>03/03/2011 - 20/04/2011</t>
  </si>
  <si>
    <t>158ª</t>
  </si>
  <si>
    <t>21/04/2011 - 08/06/2011</t>
  </si>
  <si>
    <t>159ª</t>
  </si>
  <si>
    <t>09/06/2011 - 20/07/2011</t>
  </si>
  <si>
    <t>160ª</t>
  </si>
  <si>
    <t>21/07/2011 - 31/08/2011</t>
  </si>
  <si>
    <t>161ª</t>
  </si>
  <si>
    <t>01/09/2011 - 19/10/2011</t>
  </si>
  <si>
    <t>162ª</t>
  </si>
  <si>
    <t>20/10/2011 - 30/11/2011</t>
  </si>
  <si>
    <t>163ª</t>
  </si>
  <si>
    <t>01/12/2011 - 18/01/2012</t>
  </si>
  <si>
    <t>164ª</t>
  </si>
  <si>
    <t>19/01/2012 - 07/03/2012</t>
  </si>
  <si>
    <t>165ª</t>
  </si>
  <si>
    <t>08/03/2012 - 18/04/2012</t>
  </si>
  <si>
    <t>166ª</t>
  </si>
  <si>
    <t>19/04/2012 - 30/05/2012</t>
  </si>
  <si>
    <t>167ª</t>
  </si>
  <si>
    <t>31/05/2012 - 11/07/2012</t>
  </si>
  <si>
    <t>168ª</t>
  </si>
  <si>
    <t>12/07/2012 - 29/08/2012</t>
  </si>
  <si>
    <t>169ª</t>
  </si>
  <si>
    <t>30/08/2012 - 10/10/2012</t>
  </si>
  <si>
    <t>170ª</t>
  </si>
  <si>
    <t>11/10/2012 - 28/11/2012</t>
  </si>
  <si>
    <t>171ª</t>
  </si>
  <si>
    <t>29/11/2012 - 16/01/2013</t>
  </si>
  <si>
    <t>172ª</t>
  </si>
  <si>
    <t>17/01/2013 - 06/03/2013</t>
  </si>
  <si>
    <t>173ª</t>
  </si>
  <si>
    <t>07/03/2013 - 17/04/2013</t>
  </si>
  <si>
    <t>174ª</t>
  </si>
  <si>
    <t>18/04/2013 - 29/05/2013</t>
  </si>
  <si>
    <t>175ª</t>
  </si>
  <si>
    <t>30/05/2013 - 10/07/2013</t>
  </si>
  <si>
    <t>176ª</t>
  </si>
  <si>
    <t>11/07/2013 - 28/08/2013</t>
  </si>
  <si>
    <t>177ª</t>
  </si>
  <si>
    <t>29/08/2013 - 09/10/2013</t>
  </si>
  <si>
    <t>178ª</t>
  </si>
  <si>
    <t>10/10/2013 - 27/11/2013</t>
  </si>
  <si>
    <t>179ª</t>
  </si>
  <si>
    <t>28/11/2013 - 15/01/2014</t>
  </si>
  <si>
    <t>180ª</t>
  </si>
  <si>
    <t>16/01/2014 - 26/02/2014</t>
  </si>
  <si>
    <t>181ª</t>
  </si>
  <si>
    <t>27/02/2014 - 02/04/2014</t>
  </si>
  <si>
    <t>182ª</t>
  </si>
  <si>
    <t>03/04/2014 - 28/05/2014</t>
  </si>
  <si>
    <t>183ª</t>
  </si>
  <si>
    <t>29/05/2014 - 16/07/2014</t>
  </si>
  <si>
    <t>184ª</t>
  </si>
  <si>
    <t>17/07/2014 - 03/09/2014</t>
  </si>
  <si>
    <t>185ª</t>
  </si>
  <si>
    <t>04/09/2014 - 29/10/2014</t>
  </si>
  <si>
    <t>186ª</t>
  </si>
  <si>
    <t xml:space="preserve">  30/10/2014 - 03/12/2014</t>
  </si>
  <si>
    <t>187ª</t>
  </si>
  <si>
    <t>04/12/2014 - 21/01/2015</t>
  </si>
  <si>
    <t>188ª</t>
  </si>
  <si>
    <t>22/01/2015 - 04/03/2015</t>
  </si>
  <si>
    <t>189ª</t>
  </si>
  <si>
    <t>05/03/2015 - 29/04/2015</t>
  </si>
  <si>
    <t>190ª</t>
  </si>
  <si>
    <t>30/04/2015 - 03/06/2015</t>
  </si>
  <si>
    <t>191ª</t>
  </si>
  <si>
    <t>04/06/2015 - 29/07/2015</t>
  </si>
  <si>
    <t>192ª</t>
  </si>
  <si>
    <t>30/07/2015 - 02/09/2015</t>
  </si>
  <si>
    <t>193ª</t>
  </si>
  <si>
    <t>03/09/2015 - 21/10/2015</t>
  </si>
  <si>
    <t>194ª</t>
  </si>
  <si>
    <t>22/10/2015 - 25/11/2015</t>
  </si>
  <si>
    <t>195ª</t>
  </si>
  <si>
    <t>26/11/2015 - 20/01/2016</t>
  </si>
  <si>
    <t>196ª</t>
  </si>
  <si>
    <t>21/01/2016 - 02/03/2016</t>
  </si>
  <si>
    <t>197ª</t>
  </si>
  <si>
    <t>03/03/2016 - 27/04/2016</t>
  </si>
  <si>
    <t>198ª</t>
  </si>
  <si>
    <t>28/04/2016 - 08/06/2016</t>
  </si>
  <si>
    <t>199ª</t>
  </si>
  <si>
    <t>09/06/2016 - 20/07/2016</t>
  </si>
  <si>
    <t>200ª</t>
  </si>
  <si>
    <t>21/07/2016 - 31/08/2016</t>
  </si>
  <si>
    <t>201ª</t>
  </si>
  <si>
    <t>01/09/2016 - 19/10/2016</t>
  </si>
  <si>
    <t>202ª</t>
  </si>
  <si>
    <t>20/10/2016 - 30/11/2016</t>
  </si>
  <si>
    <t>203ª</t>
  </si>
  <si>
    <t>01/12/2016 - 11/01/2017</t>
  </si>
  <si>
    <t>204ª</t>
  </si>
  <si>
    <t>12/01/2017 - 22/02/2017</t>
  </si>
  <si>
    <t>205ª</t>
  </si>
  <si>
    <t>23/02/2017 - 12/04/2017</t>
  </si>
  <si>
    <t>206ª</t>
  </si>
  <si>
    <t>13/04/2017 - 31/05/2017</t>
  </si>
  <si>
    <t>207ª</t>
  </si>
  <si>
    <t>01/06/2017 - 26/07/2017</t>
  </si>
  <si>
    <t>208ª</t>
  </si>
  <si>
    <t>27/07/2017 - 06/09/2017</t>
  </si>
  <si>
    <t>209ª</t>
  </si>
  <si>
    <t>08/09/2017 - 25/10/2017</t>
  </si>
  <si>
    <t>210ª</t>
  </si>
  <si>
    <t>26/10/2017 - 06/12/2017</t>
  </si>
  <si>
    <t>211ª</t>
  </si>
  <si>
    <t>07/12/2017 - 07/02/2018</t>
  </si>
  <si>
    <t>212ª</t>
  </si>
  <si>
    <t>08/02/2018 - 21/03/2018</t>
  </si>
  <si>
    <t>213ª</t>
  </si>
  <si>
    <t>22/03/2018 - 16/05/2018</t>
  </si>
  <si>
    <t>214ª</t>
  </si>
  <si>
    <t>17/05/2018 - 20/06/2018</t>
  </si>
  <si>
    <t>215ª</t>
  </si>
  <si>
    <t>21/06/2018 - 01/08/2018</t>
  </si>
  <si>
    <t>216ª</t>
  </si>
  <si>
    <t>02/08/2018 - 19/09/2018</t>
  </si>
  <si>
    <t>217ª</t>
  </si>
  <si>
    <t>20/09/2018 - 31/10/2018</t>
  </si>
  <si>
    <t>218ª</t>
  </si>
  <si>
    <t>01/11/2018 - 12/12/2018</t>
  </si>
  <si>
    <t>219ª</t>
  </si>
  <si>
    <t>13/12/2018 - 06/02/2019</t>
  </si>
  <si>
    <t>220ª</t>
  </si>
  <si>
    <t>07/02/2019 - 20/03/2019</t>
  </si>
  <si>
    <t>221ª</t>
  </si>
  <si>
    <t>21/03/2019 - 08/05/2019</t>
  </si>
  <si>
    <t>222ª</t>
  </si>
  <si>
    <t>09/05/2019 - 20/06/2019</t>
  </si>
  <si>
    <t>223ª</t>
  </si>
  <si>
    <t>21/06/2019 - 31/07/2019</t>
  </si>
  <si>
    <t>224ª</t>
  </si>
  <si>
    <t>01/08/2019 - 18/09/2019</t>
  </si>
  <si>
    <t>225ª</t>
  </si>
  <si>
    <t>19/09/2019 - 30/10/2019</t>
  </si>
  <si>
    <t>226ª</t>
  </si>
  <si>
    <t>31/10/2019 - 11/12/2019</t>
  </si>
  <si>
    <t>227ª</t>
  </si>
  <si>
    <t>12/12/2019 - 05/02/2020</t>
  </si>
  <si>
    <t>228ª</t>
  </si>
  <si>
    <t>06/02/2020 - 18/03/2020</t>
  </si>
  <si>
    <t>229ª</t>
  </si>
  <si>
    <t>19/03/2020 - 06/05/2020</t>
  </si>
  <si>
    <t>230ª</t>
  </si>
  <si>
    <t xml:space="preserve">06/05/2020	</t>
  </si>
  <si>
    <t>07/05/2020 - 17/06/2020</t>
  </si>
  <si>
    <t>231ª</t>
  </si>
  <si>
    <t xml:space="preserve">17/06/2020	</t>
  </si>
  <si>
    <t>18/06/2020 - 05/08/2020</t>
  </si>
  <si>
    <t>232ª</t>
  </si>
  <si>
    <t xml:space="preserve">05/08/2020	</t>
  </si>
  <si>
    <t>06/08/2020 - 16/09/2020</t>
  </si>
  <si>
    <t>233ª</t>
  </si>
  <si>
    <t>17/09/2020 - 28/10/2020</t>
  </si>
  <si>
    <t>234ª</t>
  </si>
  <si>
    <t>29/10/2020 - 09/12/2020</t>
  </si>
  <si>
    <t>235ª</t>
  </si>
  <si>
    <t>10/12/2020 - 20/01/2021</t>
  </si>
  <si>
    <t>236ª</t>
  </si>
  <si>
    <t>21/01/2021 - 17/03/2021</t>
  </si>
  <si>
    <t>237ª</t>
  </si>
  <si>
    <t>18/03/2021 - 05/05/2021</t>
  </si>
  <si>
    <t>238ª</t>
  </si>
  <si>
    <t>06/05/2021 - 16/06/2021</t>
  </si>
  <si>
    <t>239ª</t>
  </si>
  <si>
    <t>17/06/2021 - 04/08/2021</t>
  </si>
  <si>
    <t>240ª</t>
  </si>
  <si>
    <t>05/08/2021 - 22/09/2021</t>
  </si>
  <si>
    <t>241ª</t>
  </si>
  <si>
    <t>23/09/2021 - 27/10/2021</t>
  </si>
  <si>
    <t>242ª</t>
  </si>
  <si>
    <t>28/10/2021 - 08/12/2021</t>
  </si>
  <si>
    <t>243ª</t>
  </si>
  <si>
    <t>09/12/2021 - 02/02/2022</t>
  </si>
  <si>
    <t>244ª</t>
  </si>
  <si>
    <t>03/02/2022 - 16/03/2022</t>
  </si>
  <si>
    <t>245ª</t>
  </si>
  <si>
    <t>17/03/2022 - 04/05/2022</t>
  </si>
  <si>
    <t>246ª</t>
  </si>
  <si>
    <t>05/05/2022 - 16/06/2022</t>
  </si>
  <si>
    <t>247ª</t>
  </si>
  <si>
    <t>17/06/2022 - 03/08/2022</t>
  </si>
  <si>
    <t>248ª</t>
  </si>
  <si>
    <t>04/08/2022 - 21/09/2022</t>
  </si>
  <si>
    <t>249ª</t>
  </si>
  <si>
    <t>22/09/2022 - 26/10/2022</t>
  </si>
  <si>
    <t>250ª</t>
  </si>
  <si>
    <t>27/10/2022 - 07/12/2022</t>
  </si>
  <si>
    <t>251ª</t>
  </si>
  <si>
    <t>08/12/2022 - 01/02/2023</t>
  </si>
  <si>
    <t>252ª</t>
  </si>
  <si>
    <t>02/02/2023 - 22/03/2023</t>
  </si>
  <si>
    <t>253ª</t>
  </si>
  <si>
    <t>23/03/2023 - 03/05/2023</t>
  </si>
  <si>
    <t>254ª</t>
  </si>
  <si>
    <t>04/05/2023 - 21/06/2023</t>
  </si>
  <si>
    <t>255ª</t>
  </si>
  <si>
    <t xml:space="preserve">21/06/2023	</t>
  </si>
  <si>
    <t>22/06/2023 - 02/08/2023</t>
  </si>
  <si>
    <t>256ª</t>
  </si>
  <si>
    <t>03/08/2023 - 20/09/2023</t>
  </si>
  <si>
    <t>257ª</t>
  </si>
  <si>
    <t>21/09/2023 - 02/11/2023</t>
  </si>
  <si>
    <t>258ª</t>
  </si>
  <si>
    <t xml:space="preserve">03/11/2023 - 13/12/2023	</t>
  </si>
  <si>
    <t>259ª</t>
  </si>
  <si>
    <t>14/12/2023 - 31/01/2024</t>
  </si>
  <si>
    <t>260ª</t>
  </si>
  <si>
    <t>01/02/2024 - 20/03/2024</t>
  </si>
  <si>
    <t>261ª</t>
  </si>
  <si>
    <t>21/03/2024 - 08/05/2024</t>
  </si>
  <si>
    <t>262ª</t>
  </si>
  <si>
    <t xml:space="preserve">08/05/2024	</t>
  </si>
  <si>
    <t>09/05/2024 - 19/06/2024</t>
  </si>
  <si>
    <t>263ª</t>
  </si>
  <si>
    <t xml:space="preserve">20/06/2024 - 31/07/2024	</t>
  </si>
  <si>
    <t>264ª</t>
  </si>
  <si>
    <t>01/08/2024 - 18/09/2024</t>
  </si>
  <si>
    <t>265ª</t>
  </si>
  <si>
    <t>19/09/2024 - 06/11/2024</t>
  </si>
  <si>
    <t>266ª</t>
  </si>
  <si>
    <t>07/11/2024 - 11/12/2024</t>
  </si>
  <si>
    <t>267ª</t>
  </si>
  <si>
    <t>12/12/2024 - 29/01/2025</t>
  </si>
  <si>
    <t>268ª</t>
  </si>
  <si>
    <t>Fonte: BACEN</t>
  </si>
  <si>
    <t>Taxa de Juros Selic</t>
  </si>
  <si>
    <t xml:space="preserve">TÍTULOS PÚBLICOS - SELIC | TAXA OVERNIGHT COMPOSTA </t>
  </si>
  <si>
    <t>CORREÇÃO DE TRIBUTOS FEDERAIS</t>
  </si>
  <si>
    <t>Taxa (% a/m)</t>
  </si>
  <si>
    <t>Taxa(% a/a)</t>
  </si>
  <si>
    <t>Fonte: Receita Federal</t>
  </si>
  <si>
    <t>Incide sobre o valor nominal dos débitos com a Receita Federal.</t>
  </si>
  <si>
    <t>Multa de 0,33% ao dia, limitada a 20% sobre o valor nominal.</t>
  </si>
  <si>
    <t>https://www.bcb.gov.br/estabilidadefinanceira/selicfatoresacumulados</t>
  </si>
  <si>
    <t>TAXA DE JUROS SELIC | ACUMULADA</t>
  </si>
  <si>
    <t>Ano/Mês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</si>
  <si>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</si>
  <si>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</si>
  <si>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</si>
  <si>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</si>
  <si>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</si>
  <si>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</si>
  <si>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</si>
  <si>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</si>
  <si>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</si>
  <si>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</si>
  <si>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</si>
  <si>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</si>
  <si>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https://www.gov.br/receitafederal/pt-br/assuntos/orientacao-tributaria/pagamentos-e-parcelamentos/taxa-de-juros-selic#Selicmensalmente</t>
  </si>
  <si>
    <t>TAXA DE JUROS DE LONGO PRAZO</t>
  </si>
  <si>
    <t>TJLP</t>
  </si>
  <si>
    <t>Taxa (% a/a)</t>
  </si>
  <si>
    <t>OBS: Dia 29/06/09, o Governo reduziu a TJLP de 6,25% para 6,0%</t>
  </si>
  <si>
    <t>Fonte: http://www.bndes.gov.br/</t>
  </si>
  <si>
    <t>* Fator de atualização =  fator que atualiza valores de meses passados, cotados</t>
  </si>
  <si>
    <t>em moeda corrente, até o último mês da tabela acima.</t>
  </si>
  <si>
    <t>http://www.bndes.gov.br/SiteBNDES/bndes/bndes_pt/Ferramentas_e_Normas/Custos_Financeiros/Taxa_de_Juros_de_Longo_Prazo_TJLP/index.html</t>
  </si>
  <si>
    <t xml:space="preserve">     Taxa de Juros de Longo Prazo 
TJLP</t>
  </si>
  <si>
    <t>COTAÇÕES EM REAL</t>
  </si>
  <si>
    <t>Base: Dezembro 1993 = 100</t>
  </si>
  <si>
    <t>DÓLAR DO ÚLTIMO DIA DO MÊS 
CÂMBIO LIVRE | VENDA</t>
  </si>
  <si>
    <t>EVOLUÇÃO DO SALÁRIO MÍNIMO</t>
  </si>
  <si>
    <t>Base: Janeiro 1995 = 100</t>
  </si>
  <si>
    <t>R$</t>
  </si>
  <si>
    <t>índice nominal</t>
  </si>
  <si>
    <t>IGPDI</t>
  </si>
  <si>
    <t>índice real</t>
  </si>
  <si>
    <t xml:space="preserve">     * R$ 1,00 = Cr$ 2.750,00 em 01/07/94</t>
  </si>
  <si>
    <t xml:space="preserve">   (**) Salário deflacionado pelo IGP-DI</t>
  </si>
  <si>
    <t xml:space="preserve">          INDICADORES SETORIAIS E MACROECONÔMICOS      |</t>
  </si>
  <si>
    <t xml:space="preserve"> INCTF | INCTL | IGPM | IPCA | INPC | ICV | OUTROS          </t>
  </si>
  <si>
    <t>ÍNDICE</t>
  </si>
  <si>
    <t>VARIAÇÃO MÊS (%)</t>
  </si>
  <si>
    <t xml:space="preserve">VARIAÇÃO ANO (%) </t>
  </si>
  <si>
    <t xml:space="preserve">VARIAÇÃO 12 MESES (%) </t>
  </si>
  <si>
    <t>Índice do Custo de Vida | ICV - DIEESE*</t>
  </si>
  <si>
    <t>Taxa Referencial - TR*</t>
  </si>
  <si>
    <t>Taxa de Juros de Longo Prazo - TJLP</t>
  </si>
  <si>
    <t>REUNIÃO Nº</t>
  </si>
  <si>
    <t>Evolução do Salário Mínimo</t>
  </si>
  <si>
    <t>Fonte: Depto. Custos Operacionais e Pesquisas Econômicas/NTC&amp;Logística</t>
  </si>
  <si>
    <t>DE JULHO/94 A FEVEREIR0/00 - MBB 1218</t>
  </si>
  <si>
    <t>INSUMOS</t>
  </si>
  <si>
    <t>Valor (R$)</t>
  </si>
  <si>
    <t>Variação (%)</t>
  </si>
  <si>
    <t>24 messes (%)</t>
  </si>
  <si>
    <t>12 meses (%)</t>
  </si>
  <si>
    <t>Caminhões MBB 1218</t>
  </si>
  <si>
    <t>Pneu 900 R 20</t>
  </si>
  <si>
    <t>Câmara para pneu 900 R 20</t>
  </si>
  <si>
    <t>Protetor para pneu 900 R 20</t>
  </si>
  <si>
    <t>Recauchutagem pneu 900 R 20</t>
  </si>
  <si>
    <r>
      <rPr>
        <sz val="12"/>
        <rFont val="Calibri"/>
        <family val="2"/>
      </rPr>
      <t>Índice Nacional do Custos do Transporte de Carga Fracionada</t>
    </r>
    <r>
      <rPr>
        <b/>
        <sz val="12"/>
        <rFont val="Calibri"/>
        <family val="2"/>
      </rPr>
      <t xml:space="preserve"> | INCTF</t>
    </r>
  </si>
  <si>
    <r>
      <rPr>
        <sz val="12"/>
        <rFont val="Calibri"/>
        <family val="2"/>
      </rPr>
      <t xml:space="preserve">Índice Nacional do Custos do Transporte de Carga Lotação </t>
    </r>
    <r>
      <rPr>
        <b/>
        <sz val="12"/>
        <rFont val="Calibri"/>
        <family val="2"/>
      </rPr>
      <t>| INCTL</t>
    </r>
  </si>
  <si>
    <r>
      <rPr>
        <sz val="12"/>
        <rFont val="Calibri"/>
        <family val="2"/>
      </rPr>
      <t xml:space="preserve">Índice Nacional do Custos do Transporte de Carga Fracionada Rodoviária </t>
    </r>
    <r>
      <rPr>
        <b/>
        <sz val="12"/>
        <rFont val="Calibri"/>
        <family val="2"/>
      </rPr>
      <t>| INCTF-R (operação Transferência)</t>
    </r>
  </si>
  <si>
    <r>
      <rPr>
        <sz val="12"/>
        <rFont val="Calibri"/>
        <family val="2"/>
      </rPr>
      <t>Índice Nacional do Custos do Transporte de Carga Fracionada Urbana</t>
    </r>
    <r>
      <rPr>
        <b/>
        <sz val="12"/>
        <rFont val="Calibri"/>
        <family val="2"/>
      </rPr>
      <t xml:space="preserve"> | INCTF-OU (operação Urbana)</t>
    </r>
  </si>
  <si>
    <r>
      <t xml:space="preserve">Índice Geral de Preços - Mercado | </t>
    </r>
    <r>
      <rPr>
        <b/>
        <sz val="12"/>
        <rFont val="Calibri"/>
        <family val="2"/>
      </rPr>
      <t>IGP-M</t>
    </r>
  </si>
  <si>
    <r>
      <t xml:space="preserve">Índice Geral de Preços - Disponibilidade Interna  </t>
    </r>
    <r>
      <rPr>
        <b/>
        <sz val="12"/>
        <rFont val="Calibri"/>
        <family val="2"/>
      </rPr>
      <t>IGP-DI | FGV</t>
    </r>
  </si>
  <si>
    <r>
      <t xml:space="preserve">Índice Nacional de Preços ao Consumidor Amplo | </t>
    </r>
    <r>
      <rPr>
        <b/>
        <sz val="12"/>
        <rFont val="Calibri"/>
        <family val="2"/>
      </rPr>
      <t>IPCA -IBGE</t>
    </r>
  </si>
  <si>
    <r>
      <t xml:space="preserve">Índice Nacional de Preços ao Consumidor Amplo Especial | </t>
    </r>
    <r>
      <rPr>
        <b/>
        <sz val="12"/>
        <rFont val="Calibri"/>
        <family val="2"/>
      </rPr>
      <t>IPCA-E - IBGE</t>
    </r>
  </si>
  <si>
    <r>
      <t xml:space="preserve">Índice Nacional de Preços ao Consumidor  </t>
    </r>
    <r>
      <rPr>
        <b/>
        <sz val="12"/>
        <rFont val="Calibri"/>
        <family val="2"/>
      </rPr>
      <t>INPC | IBGE</t>
    </r>
  </si>
  <si>
    <r>
      <t xml:space="preserve">Índice de Preços ao Consumidor  </t>
    </r>
    <r>
      <rPr>
        <b/>
        <sz val="12"/>
        <rFont val="Calibri"/>
        <family val="2"/>
      </rPr>
      <t>IPC | FIPE</t>
    </r>
  </si>
  <si>
    <r>
      <t xml:space="preserve">Índice de Preços ao Produtor Amplo - Disponibilidade Interna | </t>
    </r>
    <r>
      <rPr>
        <b/>
        <sz val="12"/>
        <rFont val="Calibri"/>
        <family val="2"/>
      </rPr>
      <t>IPA-DI</t>
    </r>
  </si>
  <si>
    <r>
      <t xml:space="preserve">Índice de Preços ao Consumidor - Disponibilidade Interna | </t>
    </r>
    <r>
      <rPr>
        <b/>
        <sz val="12"/>
        <rFont val="Calibri"/>
        <family val="2"/>
      </rPr>
      <t>IPC-DI</t>
    </r>
  </si>
  <si>
    <r>
      <t xml:space="preserve">Índice de Preços por Atacado do Mercado | </t>
    </r>
    <r>
      <rPr>
        <b/>
        <sz val="12"/>
        <rFont val="Calibri"/>
        <family val="2"/>
      </rPr>
      <t xml:space="preserve">IPA-M </t>
    </r>
  </si>
  <si>
    <r>
      <t xml:space="preserve">Índice Nacional de Custos da Construção Civil | </t>
    </r>
    <r>
      <rPr>
        <b/>
        <sz val="12"/>
        <rFont val="Calibri"/>
        <family val="2"/>
      </rPr>
      <t>INCC (GLOBAL)</t>
    </r>
  </si>
  <si>
    <r>
      <t xml:space="preserve">Dólar cotado no último dia do mês | </t>
    </r>
    <r>
      <rPr>
        <b/>
        <sz val="12"/>
        <rFont val="Calibri"/>
        <family val="2"/>
      </rPr>
      <t>Câmbio Livre - Venda</t>
    </r>
  </si>
  <si>
    <r>
      <t xml:space="preserve">Taxa de Juros </t>
    </r>
    <r>
      <rPr>
        <b/>
        <sz val="12"/>
        <rFont val="Calibri"/>
        <family val="2"/>
      </rPr>
      <t>Selic</t>
    </r>
  </si>
  <si>
    <r>
      <t xml:space="preserve">Índices de Rendimento das Contas de </t>
    </r>
    <r>
      <rPr>
        <b/>
        <sz val="12"/>
        <rFont val="Calibri"/>
        <family val="2"/>
      </rPr>
      <t>Poupança</t>
    </r>
  </si>
  <si>
    <r>
      <t xml:space="preserve">Taxa Básica de Juros | </t>
    </r>
    <r>
      <rPr>
        <b/>
        <sz val="12"/>
        <rFont val="Aptos Narrow"/>
        <family val="2"/>
        <scheme val="minor"/>
      </rPr>
      <t>COPOM</t>
    </r>
  </si>
  <si>
    <t>269ª</t>
  </si>
  <si>
    <t xml:space="preserve">20/03/2025 -	</t>
  </si>
  <si>
    <t>https://sindusconpr.com.br/igp-di-fgv-308-p</t>
  </si>
  <si>
    <t>Assim, os juros de mora, incidentes sobre tributos federais, cujos fatos geradores tenham ocorrido a partir de 1º de janeiro de 1995, devem ser calculados, no mês de MAIO de 2025, nos percentuais abaixo indicados, conforme o mês em que se venceu o prazo legal para pagamento:</t>
  </si>
  <si>
    <t xml:space="preserve">30/01/2025 - 19/03/2025	</t>
  </si>
  <si>
    <t>270ª</t>
  </si>
  <si>
    <t xml:space="preserve">20/03/2025 - 07/05/2025	</t>
  </si>
  <si>
    <t>ABRIL|2025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</si>
</sst>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\-yy"/>
    <numFmt numFmtId="165" formatCode="0.00_ ;[Red]\-0.00\ "/>
    <numFmt numFmtId="166" formatCode="0.00000"/>
    <numFmt numFmtId="167" formatCode="#,##0.00_);[Red]\(#,##0.00\)"/>
    <numFmt numFmtId="168" formatCode="0.0000E+00"/>
    <numFmt numFmtId="169" formatCode="mmmm\-yy"/>
    <numFmt numFmtId="170" formatCode="0.0000"/>
    <numFmt numFmtId="171" formatCode="#,##0.0000"/>
    <numFmt numFmtId="172" formatCode="#,##0.000"/>
    <numFmt numFmtId="173" formatCode="0.00000_ ;[Red]\-0.00000\ "/>
    <numFmt numFmtId="174" formatCode="0.000"/>
    <numFmt numFmtId="175" formatCode="#,##0.00_ ;[Red]\-#,##0.00\ "/>
    <numFmt numFmtId="176" formatCode="_(* #,##0.0000_);_(* \(#,##0.0000\);_(* &quot;-&quot;??_);_(@_)"/>
    <numFmt numFmtId="177" formatCode="#,##0.00;[Red]#,##0.00"/>
    <numFmt numFmtId="178" formatCode="#,##0.000_);[Red]\(#,##0.000\)"/>
    <numFmt numFmtId="179" formatCode="#,##0.0000_);[Red]\(#,##0.0000\)"/>
    <numFmt numFmtId="180" formatCode="0.0000000000"/>
    <numFmt numFmtId="183" formatCode="0.00000000"/>
  </numFmts>
  <fonts count="8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u/>
      <sz val="10.45"/>
      <color indexed="12"/>
      <name val="Arial"/>
      <family val="2"/>
    </font>
    <font>
      <b/>
      <sz val="10"/>
      <color rgb="FF184782"/>
      <name val="Aptos Narrow"/>
      <family val="2"/>
      <scheme val="minor"/>
    </font>
    <font>
      <sz val="10"/>
      <name val="Arial"/>
      <family val="2"/>
    </font>
    <font>
      <b/>
      <sz val="18"/>
      <color rgb="FF18478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Times New Roman"/>
      <family val="1"/>
    </font>
    <font>
      <b/>
      <sz val="12"/>
      <name val="Aptos Narrow"/>
      <family val="2"/>
      <scheme val="minor"/>
    </font>
    <font>
      <sz val="12"/>
      <color rgb="FF18478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5"/>
      <color rgb="FF184782"/>
      <name val="Aptos Narrow"/>
      <family val="2"/>
      <scheme val="minor"/>
    </font>
    <font>
      <sz val="12"/>
      <name val="Calibri"/>
      <family val="2"/>
    </font>
    <font>
      <b/>
      <i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rgb="FF184782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1.5"/>
      <name val="Calibri"/>
      <family val="2"/>
    </font>
    <font>
      <b/>
      <sz val="11.5"/>
      <color rgb="FF184782"/>
      <name val="Calibri"/>
      <family val="2"/>
    </font>
    <font>
      <b/>
      <sz val="9"/>
      <color rgb="FF184782"/>
      <name val="Calibri"/>
      <family val="2"/>
    </font>
    <font>
      <sz val="11"/>
      <name val="Calibri"/>
      <family val="2"/>
    </font>
    <font>
      <b/>
      <sz val="16"/>
      <color rgb="FF184782"/>
      <name val="Calibri"/>
      <family val="2"/>
    </font>
    <font>
      <b/>
      <sz val="13"/>
      <color indexed="9"/>
      <name val="Calibri"/>
      <family val="2"/>
    </font>
    <font>
      <b/>
      <i/>
      <sz val="13"/>
      <color indexed="9"/>
      <name val="Calibri"/>
      <family val="2"/>
    </font>
    <font>
      <b/>
      <sz val="12"/>
      <color theme="0"/>
      <name val="Calibri"/>
      <family val="2"/>
    </font>
    <font>
      <b/>
      <sz val="13"/>
      <color theme="0"/>
      <name val="Calibri"/>
      <family val="2"/>
    </font>
    <font>
      <b/>
      <sz val="11"/>
      <name val="Calibri"/>
      <family val="2"/>
    </font>
    <font>
      <sz val="11.6"/>
      <name val="Calibri"/>
      <family val="2"/>
    </font>
    <font>
      <b/>
      <sz val="10"/>
      <color rgb="FF184782"/>
      <name val="Calibri"/>
      <family val="2"/>
    </font>
    <font>
      <b/>
      <sz val="14"/>
      <color rgb="FF184782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11"/>
      <color rgb="FF184782"/>
      <name val="Calibri"/>
      <family val="2"/>
    </font>
    <font>
      <sz val="10"/>
      <name val="Calibri"/>
      <family val="2"/>
    </font>
    <font>
      <b/>
      <sz val="18"/>
      <color rgb="FF184782"/>
      <name val="Calibri"/>
      <family val="2"/>
    </font>
    <font>
      <sz val="12"/>
      <color theme="0"/>
      <name val="Calibri"/>
      <family val="2"/>
    </font>
    <font>
      <sz val="12"/>
      <color rgb="FFFF0000"/>
      <name val="Calibri"/>
      <family val="2"/>
    </font>
    <font>
      <sz val="9"/>
      <color rgb="FF003399"/>
      <name val="Calibri"/>
      <family val="2"/>
    </font>
    <font>
      <sz val="10"/>
      <color rgb="FFFF0000"/>
      <name val="Calibri"/>
      <family val="2"/>
    </font>
    <font>
      <b/>
      <i/>
      <sz val="10"/>
      <color rgb="FF184782"/>
      <name val="Calibri"/>
      <family val="2"/>
    </font>
    <font>
      <sz val="10"/>
      <color theme="0"/>
      <name val="Calibri"/>
      <family val="2"/>
    </font>
    <font>
      <b/>
      <sz val="11.5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3"/>
      <name val="Calibri"/>
      <family val="2"/>
    </font>
    <font>
      <sz val="13"/>
      <color indexed="8"/>
      <name val="Calibri"/>
      <family val="2"/>
    </font>
    <font>
      <u/>
      <sz val="10.45"/>
      <color indexed="12"/>
      <name val="Calibri"/>
      <family val="2"/>
    </font>
    <font>
      <sz val="10"/>
      <color indexed="8"/>
      <name val="Calibri"/>
      <family val="2"/>
    </font>
    <font>
      <b/>
      <i/>
      <sz val="16"/>
      <color theme="0"/>
      <name val="Calibri"/>
      <family val="2"/>
    </font>
    <font>
      <b/>
      <i/>
      <sz val="14"/>
      <color theme="0"/>
      <name val="Calibri"/>
      <family val="2"/>
    </font>
    <font>
      <b/>
      <i/>
      <sz val="20"/>
      <color rgb="FF184782"/>
      <name val="Calibri"/>
      <family val="2"/>
    </font>
    <font>
      <b/>
      <sz val="14"/>
      <color theme="0"/>
      <name val="Calibri"/>
      <family val="2"/>
    </font>
    <font>
      <sz val="8"/>
      <color rgb="FFFF0000"/>
      <name val="Calibri"/>
      <family val="2"/>
    </font>
    <font>
      <sz val="9"/>
      <color rgb="FF575756"/>
      <name val="Calibri"/>
      <family val="2"/>
    </font>
    <font>
      <sz val="11.5"/>
      <color theme="0"/>
      <name val="Calibri"/>
      <family val="2"/>
    </font>
    <font>
      <b/>
      <sz val="26"/>
      <color rgb="FF184782"/>
      <name val="Calibri"/>
      <family val="2"/>
    </font>
    <font>
      <b/>
      <i/>
      <sz val="10.5"/>
      <color theme="0"/>
      <name val="Calibri"/>
      <family val="2"/>
    </font>
    <font>
      <b/>
      <sz val="11.5"/>
      <color theme="0"/>
      <name val="Calibri"/>
      <family val="2"/>
    </font>
    <font>
      <sz val="12"/>
      <color rgb="FF555555"/>
      <name val="Calibri"/>
      <family val="2"/>
    </font>
    <font>
      <b/>
      <sz val="13"/>
      <name val="Calibri"/>
      <family val="2"/>
    </font>
    <font>
      <sz val="13"/>
      <color theme="0"/>
      <name val="Calibri"/>
      <family val="2"/>
    </font>
    <font>
      <sz val="9"/>
      <color rgb="FF000000"/>
      <name val="Calibri"/>
      <family val="2"/>
    </font>
    <font>
      <sz val="11"/>
      <color rgb="FF184782"/>
      <name val="Calibri"/>
      <family val="2"/>
    </font>
    <font>
      <sz val="12"/>
      <color rgb="FF184782"/>
      <name val="Calibri"/>
      <family val="2"/>
    </font>
    <font>
      <b/>
      <sz val="12"/>
      <color indexed="9"/>
      <name val="Calibri"/>
      <family val="2"/>
    </font>
    <font>
      <b/>
      <i/>
      <sz val="8"/>
      <color indexed="10"/>
      <name val="Calibri"/>
      <family val="2"/>
    </font>
    <font>
      <b/>
      <sz val="10"/>
      <name val="Calibri"/>
      <family val="2"/>
    </font>
    <font>
      <b/>
      <sz val="8.5"/>
      <color rgb="FF184782"/>
      <name val="Calibri"/>
      <family val="2"/>
    </font>
    <font>
      <u/>
      <sz val="10.45"/>
      <color theme="0"/>
      <name val="Calibri"/>
      <family val="2"/>
    </font>
    <font>
      <i/>
      <sz val="12"/>
      <color rgb="FF184782"/>
      <name val="Calibri"/>
      <family val="2"/>
    </font>
    <font>
      <b/>
      <sz val="15"/>
      <color rgb="FF184782"/>
      <name val="Calibri"/>
      <family val="2"/>
    </font>
    <font>
      <b/>
      <sz val="14"/>
      <name val="Calibri"/>
      <family val="2"/>
    </font>
    <font>
      <b/>
      <i/>
      <sz val="13"/>
      <name val="Calibri"/>
      <family val="2"/>
    </font>
    <font>
      <sz val="8"/>
      <name val="Aptos Narrow"/>
      <family val="2"/>
      <scheme val="minor"/>
    </font>
    <font>
      <sz val="10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184782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184682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rgb="FF184782"/>
      </top>
      <bottom/>
      <diagonal/>
    </border>
    <border>
      <left style="medium">
        <color theme="0" tint="-0.14996795556505021"/>
      </left>
      <right/>
      <top style="medium">
        <color theme="0" tint="-0.14993743705557422"/>
      </top>
      <bottom/>
      <diagonal/>
    </border>
    <border>
      <left style="medium">
        <color theme="0" tint="-0.14996795556505021"/>
      </left>
      <right/>
      <top/>
      <bottom style="medium">
        <color theme="0" tint="-0.14993743705557422"/>
      </bottom>
      <diagonal/>
    </border>
    <border>
      <left style="medium">
        <color rgb="FF184782"/>
      </left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/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/>
      <diagonal/>
    </border>
    <border>
      <left/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/>
      <right style="medium">
        <color rgb="FF184782"/>
      </right>
      <top style="medium">
        <color rgb="FF184782"/>
      </top>
      <bottom/>
      <diagonal/>
    </border>
    <border>
      <left/>
      <right style="medium">
        <color rgb="FF184782"/>
      </right>
      <top/>
      <bottom/>
      <diagonal/>
    </border>
    <border>
      <left style="medium">
        <color rgb="FFCF9E4D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/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/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3743705557422"/>
      </top>
      <bottom/>
      <diagonal/>
    </border>
    <border>
      <left style="medium">
        <color theme="0" tint="-0.1498764000366222"/>
      </left>
      <right style="medium">
        <color theme="0" tint="-0.1498458815271462"/>
      </right>
      <top style="medium">
        <color theme="0" tint="-0.14993743705557422"/>
      </top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78484450819421"/>
      </right>
      <top style="medium">
        <color theme="0" tint="-0.14993743705557422"/>
      </top>
      <bottom/>
      <diagonal/>
    </border>
    <border>
      <left style="medium">
        <color theme="0" tint="-0.14978484450819421"/>
      </left>
      <right style="medium">
        <color theme="0" tint="-0.1497543259987182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458815271462"/>
      </left>
      <right style="medium">
        <color theme="0" tint="-0.14981536301767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784844508194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78484450819421"/>
      </left>
      <right style="medium">
        <color theme="0" tint="-0.149754325998718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0691854609822"/>
      </left>
      <right style="medium">
        <color theme="0" tint="-0.14987640003662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764000366222"/>
      </left>
      <right style="medium">
        <color theme="0" tint="-0.149845881527146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458815271462"/>
      </left>
      <right style="medium">
        <color theme="0" tint="-0.14981536301767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1536301767021"/>
      </left>
      <right style="medium">
        <color theme="0" tint="-0.149784844508194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78484450819421"/>
      </left>
      <right style="medium">
        <color theme="0" tint="-0.14975432599871821"/>
      </right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3743705557422"/>
      </right>
      <top/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84682"/>
      </left>
      <right/>
      <top style="medium">
        <color theme="0" tint="-0.14996795556505021"/>
      </top>
      <bottom/>
      <diagonal/>
    </border>
    <border>
      <left style="medium">
        <color rgb="FF184682"/>
      </left>
      <right/>
      <top/>
      <bottom/>
      <diagonal/>
    </border>
    <border>
      <left style="medium">
        <color rgb="FF1846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 style="medium">
        <color theme="0" tint="-0.14993743705557422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rgb="FF18468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rgb="FF1846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6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68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9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80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169" fontId="3" fillId="2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9" fillId="5" borderId="0" xfId="0" applyFont="1" applyFill="1" applyAlignment="1">
      <alignment vertical="center"/>
    </xf>
    <xf numFmtId="0" fontId="13" fillId="0" borderId="126" xfId="0" applyFont="1" applyBorder="1" applyAlignment="1">
      <alignment vertical="center"/>
    </xf>
    <xf numFmtId="0" fontId="13" fillId="0" borderId="126" xfId="0" applyFont="1" applyBorder="1" applyAlignment="1">
      <alignment horizontal="center" vertical="center"/>
    </xf>
    <xf numFmtId="0" fontId="9" fillId="0" borderId="126" xfId="0" applyFont="1" applyBorder="1" applyAlignment="1">
      <alignment vertical="center"/>
    </xf>
    <xf numFmtId="4" fontId="9" fillId="0" borderId="126" xfId="0" applyNumberFormat="1" applyFont="1" applyBorder="1" applyAlignment="1">
      <alignment horizontal="center" vertical="center"/>
    </xf>
    <xf numFmtId="2" fontId="9" fillId="0" borderId="126" xfId="0" applyNumberFormat="1" applyFont="1" applyBorder="1" applyAlignment="1">
      <alignment horizontal="center" vertical="center"/>
    </xf>
    <xf numFmtId="17" fontId="16" fillId="0" borderId="0" xfId="0" applyNumberFormat="1" applyFont="1"/>
    <xf numFmtId="0" fontId="17" fillId="0" borderId="0" xfId="0" applyFont="1"/>
    <xf numFmtId="0" fontId="16" fillId="0" borderId="0" xfId="0" applyFont="1"/>
    <xf numFmtId="0" fontId="15" fillId="8" borderId="26" xfId="0" applyFont="1" applyFill="1" applyBorder="1" applyAlignment="1">
      <alignment vertical="center"/>
    </xf>
    <xf numFmtId="49" fontId="15" fillId="8" borderId="26" xfId="0" applyNumberFormat="1" applyFont="1" applyFill="1" applyBorder="1" applyAlignment="1">
      <alignment vertical="center"/>
    </xf>
    <xf numFmtId="0" fontId="15" fillId="8" borderId="26" xfId="0" applyFont="1" applyFill="1" applyBorder="1" applyAlignment="1">
      <alignment horizontal="left" vertical="center" wrapText="1"/>
    </xf>
    <xf numFmtId="0" fontId="15" fillId="8" borderId="34" xfId="0" applyFont="1" applyFill="1" applyBorder="1" applyAlignment="1">
      <alignment vertical="center"/>
    </xf>
    <xf numFmtId="0" fontId="19" fillId="8" borderId="22" xfId="0" applyFont="1" applyFill="1" applyBorder="1" applyAlignment="1">
      <alignment horizontal="left" vertical="top" wrapText="1"/>
    </xf>
    <xf numFmtId="0" fontId="19" fillId="8" borderId="26" xfId="0" applyFont="1" applyFill="1" applyBorder="1" applyAlignment="1">
      <alignment horizontal="left" vertical="top" wrapText="1"/>
    </xf>
    <xf numFmtId="0" fontId="19" fillId="8" borderId="26" xfId="0" applyFont="1" applyFill="1" applyBorder="1" applyAlignment="1">
      <alignment horizontal="left" vertical="top" shrinkToFit="1"/>
    </xf>
    <xf numFmtId="17" fontId="20" fillId="3" borderId="2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167" fontId="21" fillId="0" borderId="125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center" vertical="center"/>
    </xf>
    <xf numFmtId="167" fontId="21" fillId="0" borderId="39" xfId="0" applyNumberFormat="1" applyFont="1" applyBorder="1" applyAlignment="1">
      <alignment horizontal="center" vertical="center"/>
    </xf>
    <xf numFmtId="167" fontId="21" fillId="0" borderId="75" xfId="0" applyNumberFormat="1" applyFont="1" applyBorder="1" applyAlignment="1">
      <alignment horizontal="center" vertical="center"/>
    </xf>
    <xf numFmtId="167" fontId="21" fillId="0" borderId="40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center" vertical="center"/>
    </xf>
    <xf numFmtId="177" fontId="21" fillId="0" borderId="40" xfId="0" applyNumberFormat="1" applyFont="1" applyBorder="1" applyAlignment="1">
      <alignment horizontal="center" vertical="center"/>
    </xf>
    <xf numFmtId="178" fontId="21" fillId="0" borderId="75" xfId="0" applyNumberFormat="1" applyFont="1" applyBorder="1" applyAlignment="1">
      <alignment horizontal="center" vertical="center"/>
    </xf>
    <xf numFmtId="43" fontId="21" fillId="0" borderId="75" xfId="1" applyFont="1" applyBorder="1" applyAlignment="1">
      <alignment horizontal="center" vertical="center"/>
    </xf>
    <xf numFmtId="43" fontId="21" fillId="0" borderId="106" xfId="1" applyFont="1" applyBorder="1" applyAlignment="1">
      <alignment horizontal="center" vertical="center"/>
    </xf>
    <xf numFmtId="167" fontId="21" fillId="0" borderId="32" xfId="0" applyNumberFormat="1" applyFont="1" applyBorder="1" applyAlignment="1">
      <alignment horizontal="center" vertical="center"/>
    </xf>
    <xf numFmtId="179" fontId="21" fillId="0" borderId="32" xfId="0" applyNumberFormat="1" applyFont="1" applyBorder="1" applyAlignment="1">
      <alignment horizontal="center" vertical="center"/>
    </xf>
    <xf numFmtId="167" fontId="22" fillId="8" borderId="2" xfId="0" applyNumberFormat="1" applyFont="1" applyFill="1" applyBorder="1" applyAlignment="1">
      <alignment horizontal="center" vertical="center"/>
    </xf>
    <xf numFmtId="167" fontId="22" fillId="8" borderId="14" xfId="0" applyNumberFormat="1" applyFont="1" applyFill="1" applyBorder="1" applyAlignment="1">
      <alignment horizontal="center" vertical="center"/>
    </xf>
    <xf numFmtId="167" fontId="23" fillId="8" borderId="14" xfId="0" applyNumberFormat="1" applyFont="1" applyFill="1" applyBorder="1" applyAlignment="1">
      <alignment horizontal="center" vertical="center" wrapText="1"/>
    </xf>
    <xf numFmtId="167" fontId="22" fillId="8" borderId="35" xfId="0" applyNumberFormat="1" applyFont="1" applyFill="1" applyBorder="1" applyAlignment="1">
      <alignment horizontal="center" vertical="center"/>
    </xf>
    <xf numFmtId="167" fontId="21" fillId="6" borderId="37" xfId="0" applyNumberFormat="1" applyFont="1" applyFill="1" applyBorder="1" applyAlignment="1">
      <alignment horizontal="center" vertical="center"/>
    </xf>
    <xf numFmtId="14" fontId="24" fillId="6" borderId="47" xfId="0" applyNumberFormat="1" applyFont="1" applyFill="1" applyBorder="1" applyAlignment="1">
      <alignment horizontal="center" vertical="center"/>
    </xf>
    <xf numFmtId="167" fontId="21" fillId="6" borderId="47" xfId="0" applyNumberFormat="1" applyFont="1" applyFill="1" applyBorder="1" applyAlignment="1">
      <alignment horizontal="left" vertical="center"/>
    </xf>
    <xf numFmtId="167" fontId="23" fillId="8" borderId="14" xfId="0" applyNumberFormat="1" applyFont="1" applyFill="1" applyBorder="1" applyAlignment="1">
      <alignment horizontal="center" vertical="center"/>
    </xf>
    <xf numFmtId="167" fontId="21" fillId="0" borderId="64" xfId="0" applyNumberFormat="1" applyFont="1" applyBorder="1" applyAlignment="1">
      <alignment horizontal="center" vertical="center"/>
    </xf>
    <xf numFmtId="167" fontId="21" fillId="0" borderId="47" xfId="0" applyNumberFormat="1" applyFont="1" applyBorder="1" applyAlignment="1">
      <alignment horizontal="center" vertical="center"/>
    </xf>
    <xf numFmtId="167" fontId="21" fillId="0" borderId="38" xfId="0" applyNumberFormat="1" applyFont="1" applyBorder="1" applyAlignment="1">
      <alignment horizontal="center" vertical="center"/>
    </xf>
    <xf numFmtId="0" fontId="15" fillId="0" borderId="0" xfId="0" applyFont="1"/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17" fontId="30" fillId="0" borderId="11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4" fontId="31" fillId="0" borderId="14" xfId="0" applyNumberFormat="1" applyFont="1" applyBorder="1" applyAlignment="1">
      <alignment horizontal="center"/>
    </xf>
    <xf numFmtId="165" fontId="31" fillId="0" borderId="14" xfId="0" applyNumberFormat="1" applyFont="1" applyBorder="1" applyAlignment="1">
      <alignment horizontal="center"/>
    </xf>
    <xf numFmtId="165" fontId="31" fillId="0" borderId="5" xfId="0" applyNumberFormat="1" applyFont="1" applyBorder="1" applyAlignment="1">
      <alignment horizontal="center"/>
    </xf>
    <xf numFmtId="166" fontId="31" fillId="0" borderId="15" xfId="0" applyNumberFormat="1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4" fontId="31" fillId="0" borderId="17" xfId="0" applyNumberFormat="1" applyFont="1" applyBorder="1" applyAlignment="1">
      <alignment horizontal="center"/>
    </xf>
    <xf numFmtId="4" fontId="31" fillId="0" borderId="17" xfId="0" applyNumberFormat="1" applyFont="1" applyBorder="1" applyAlignment="1">
      <alignment horizontal="center"/>
    </xf>
    <xf numFmtId="165" fontId="31" fillId="0" borderId="17" xfId="0" applyNumberFormat="1" applyFont="1" applyBorder="1" applyAlignment="1">
      <alignment horizontal="center"/>
    </xf>
    <xf numFmtId="165" fontId="31" fillId="0" borderId="9" xfId="0" applyNumberFormat="1" applyFont="1" applyBorder="1" applyAlignment="1">
      <alignment horizontal="center"/>
    </xf>
    <xf numFmtId="166" fontId="31" fillId="0" borderId="18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49" fontId="31" fillId="0" borderId="17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center"/>
    </xf>
    <xf numFmtId="167" fontId="31" fillId="0" borderId="9" xfId="0" applyNumberFormat="1" applyFont="1" applyBorder="1" applyAlignment="1">
      <alignment horizontal="center"/>
    </xf>
    <xf numFmtId="0" fontId="31" fillId="0" borderId="16" xfId="3" applyFont="1" applyBorder="1" applyAlignment="1" applyProtection="1">
      <alignment horizontal="left" indent="1"/>
    </xf>
    <xf numFmtId="0" fontId="31" fillId="0" borderId="16" xfId="0" applyFont="1" applyBorder="1" applyAlignment="1">
      <alignment horizontal="left" indent="1"/>
    </xf>
    <xf numFmtId="0" fontId="31" fillId="0" borderId="19" xfId="0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" fontId="31" fillId="0" borderId="20" xfId="0" applyNumberFormat="1" applyFont="1" applyBorder="1" applyAlignment="1">
      <alignment horizontal="center"/>
    </xf>
    <xf numFmtId="167" fontId="31" fillId="0" borderId="2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center"/>
    </xf>
    <xf numFmtId="166" fontId="31" fillId="0" borderId="22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49" fontId="31" fillId="0" borderId="24" xfId="0" applyNumberFormat="1" applyFont="1" applyBorder="1" applyAlignment="1">
      <alignment horizontal="center"/>
    </xf>
    <xf numFmtId="4" fontId="31" fillId="0" borderId="24" xfId="0" applyNumberFormat="1" applyFont="1" applyBorder="1" applyAlignment="1">
      <alignment horizontal="center"/>
    </xf>
    <xf numFmtId="167" fontId="31" fillId="0" borderId="24" xfId="0" applyNumberFormat="1" applyFont="1" applyBorder="1" applyAlignment="1">
      <alignment horizontal="center"/>
    </xf>
    <xf numFmtId="167" fontId="31" fillId="0" borderId="25" xfId="0" applyNumberFormat="1" applyFont="1" applyBorder="1" applyAlignment="1">
      <alignment horizontal="center"/>
    </xf>
    <xf numFmtId="166" fontId="31" fillId="0" borderId="26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49" fontId="31" fillId="0" borderId="28" xfId="0" applyNumberFormat="1" applyFont="1" applyBorder="1" applyAlignment="1">
      <alignment horizontal="center"/>
    </xf>
    <xf numFmtId="4" fontId="31" fillId="0" borderId="28" xfId="0" applyNumberFormat="1" applyFont="1" applyBorder="1" applyAlignment="1">
      <alignment horizontal="center"/>
    </xf>
    <xf numFmtId="167" fontId="31" fillId="0" borderId="28" xfId="0" applyNumberFormat="1" applyFont="1" applyBorder="1" applyAlignment="1">
      <alignment horizontal="center"/>
    </xf>
    <xf numFmtId="167" fontId="31" fillId="0" borderId="29" xfId="0" applyNumberFormat="1" applyFont="1" applyBorder="1" applyAlignment="1">
      <alignment horizontal="center"/>
    </xf>
    <xf numFmtId="166" fontId="31" fillId="0" borderId="30" xfId="0" applyNumberFormat="1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" fontId="31" fillId="0" borderId="32" xfId="0" applyNumberFormat="1" applyFont="1" applyBorder="1" applyAlignment="1">
      <alignment horizontal="center"/>
    </xf>
    <xf numFmtId="167" fontId="31" fillId="0" borderId="32" xfId="0" applyNumberFormat="1" applyFont="1" applyBorder="1" applyAlignment="1">
      <alignment horizontal="center"/>
    </xf>
    <xf numFmtId="167" fontId="31" fillId="0" borderId="33" xfId="0" applyNumberFormat="1" applyFont="1" applyBorder="1" applyAlignment="1">
      <alignment horizontal="center"/>
    </xf>
    <xf numFmtId="166" fontId="31" fillId="0" borderId="34" xfId="0" applyNumberFormat="1" applyFont="1" applyBorder="1" applyAlignment="1">
      <alignment horizontal="center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top" wrapText="1"/>
    </xf>
    <xf numFmtId="0" fontId="32" fillId="0" borderId="0" xfId="0" applyFont="1"/>
    <xf numFmtId="0" fontId="32" fillId="0" borderId="2" xfId="0" applyFont="1" applyBorder="1"/>
    <xf numFmtId="9" fontId="32" fillId="0" borderId="35" xfId="2" applyFont="1" applyBorder="1"/>
    <xf numFmtId="4" fontId="15" fillId="0" borderId="0" xfId="0" applyNumberFormat="1" applyFont="1"/>
    <xf numFmtId="0" fontId="32" fillId="0" borderId="16" xfId="0" applyFont="1" applyBorder="1"/>
    <xf numFmtId="9" fontId="32" fillId="0" borderId="36" xfId="2" applyFont="1" applyBorder="1"/>
    <xf numFmtId="0" fontId="32" fillId="0" borderId="37" xfId="0" applyFont="1" applyBorder="1"/>
    <xf numFmtId="9" fontId="32" fillId="0" borderId="38" xfId="2" applyFont="1" applyBorder="1"/>
    <xf numFmtId="0" fontId="15" fillId="0" borderId="0" xfId="4" applyFont="1"/>
    <xf numFmtId="17" fontId="30" fillId="0" borderId="11" xfId="4" applyNumberFormat="1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/>
    </xf>
    <xf numFmtId="0" fontId="34" fillId="0" borderId="20" xfId="4" applyFont="1" applyBorder="1" applyAlignment="1">
      <alignment horizontal="center"/>
    </xf>
    <xf numFmtId="4" fontId="34" fillId="0" borderId="20" xfId="4" applyNumberFormat="1" applyFont="1" applyBorder="1" applyAlignment="1">
      <alignment horizontal="center" vertical="center"/>
    </xf>
    <xf numFmtId="0" fontId="34" fillId="0" borderId="20" xfId="4" applyFont="1" applyBorder="1"/>
    <xf numFmtId="0" fontId="34" fillId="0" borderId="0" xfId="4" applyFont="1"/>
    <xf numFmtId="0" fontId="34" fillId="0" borderId="23" xfId="4" applyFont="1" applyBorder="1" applyAlignment="1">
      <alignment horizontal="center"/>
    </xf>
    <xf numFmtId="0" fontId="34" fillId="0" borderId="24" xfId="4" applyFont="1" applyBorder="1" applyAlignment="1">
      <alignment horizontal="center"/>
    </xf>
    <xf numFmtId="4" fontId="34" fillId="0" borderId="24" xfId="4" applyNumberFormat="1" applyFont="1" applyBorder="1" applyAlignment="1">
      <alignment horizontal="center" vertical="center"/>
    </xf>
    <xf numFmtId="167" fontId="31" fillId="0" borderId="24" xfId="4" applyNumberFormat="1" applyFont="1" applyBorder="1" applyAlignment="1">
      <alignment horizontal="center" vertical="center"/>
    </xf>
    <xf numFmtId="167" fontId="34" fillId="0" borderId="24" xfId="4" applyNumberFormat="1" applyFont="1" applyBorder="1" applyAlignment="1">
      <alignment horizontal="center"/>
    </xf>
    <xf numFmtId="167" fontId="34" fillId="0" borderId="25" xfId="4" applyNumberFormat="1" applyFont="1" applyBorder="1" applyAlignment="1">
      <alignment horizontal="center" vertical="center"/>
    </xf>
    <xf numFmtId="0" fontId="34" fillId="0" borderId="27" xfId="4" applyFont="1" applyBorder="1" applyAlignment="1">
      <alignment horizontal="center"/>
    </xf>
    <xf numFmtId="0" fontId="34" fillId="0" borderId="28" xfId="4" applyFont="1" applyBorder="1" applyAlignment="1">
      <alignment horizontal="center"/>
    </xf>
    <xf numFmtId="167" fontId="34" fillId="0" borderId="28" xfId="4" applyNumberFormat="1" applyFont="1" applyBorder="1" applyAlignment="1">
      <alignment horizontal="center"/>
    </xf>
    <xf numFmtId="4" fontId="34" fillId="0" borderId="28" xfId="4" applyNumberFormat="1" applyFont="1" applyBorder="1" applyAlignment="1">
      <alignment horizontal="center" vertical="center"/>
    </xf>
    <xf numFmtId="0" fontId="34" fillId="0" borderId="31" xfId="4" applyFont="1" applyBorder="1" applyAlignment="1">
      <alignment horizontal="center"/>
    </xf>
    <xf numFmtId="0" fontId="34" fillId="0" borderId="32" xfId="4" applyFont="1" applyBorder="1" applyAlignment="1">
      <alignment horizontal="center"/>
    </xf>
    <xf numFmtId="4" fontId="34" fillId="0" borderId="32" xfId="4" applyNumberFormat="1" applyFont="1" applyBorder="1" applyAlignment="1">
      <alignment horizontal="center" vertical="center"/>
    </xf>
    <xf numFmtId="167" fontId="34" fillId="0" borderId="32" xfId="4" applyNumberFormat="1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center"/>
    </xf>
    <xf numFmtId="0" fontId="32" fillId="0" borderId="2" xfId="0" applyFont="1" applyBorder="1" applyAlignment="1">
      <alignment vertical="top" wrapText="1"/>
    </xf>
    <xf numFmtId="0" fontId="32" fillId="0" borderId="35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top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vertical="top" wrapText="1"/>
    </xf>
    <xf numFmtId="0" fontId="32" fillId="0" borderId="38" xfId="0" applyFont="1" applyBorder="1" applyAlignment="1">
      <alignment vertical="top" wrapText="1"/>
    </xf>
    <xf numFmtId="0" fontId="31" fillId="0" borderId="1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" fontId="31" fillId="0" borderId="9" xfId="0" applyNumberFormat="1" applyFont="1" applyBorder="1" applyAlignment="1">
      <alignment horizontal="center"/>
    </xf>
    <xf numFmtId="2" fontId="31" fillId="0" borderId="17" xfId="0" applyNumberFormat="1" applyFont="1" applyBorder="1" applyAlignment="1">
      <alignment horizontal="center"/>
    </xf>
    <xf numFmtId="2" fontId="31" fillId="0" borderId="20" xfId="0" applyNumberFormat="1" applyFont="1" applyBorder="1" applyAlignment="1">
      <alignment horizontal="center"/>
    </xf>
    <xf numFmtId="4" fontId="31" fillId="0" borderId="21" xfId="0" applyNumberFormat="1" applyFont="1" applyBorder="1" applyAlignment="1">
      <alignment horizontal="center"/>
    </xf>
    <xf numFmtId="2" fontId="31" fillId="0" borderId="24" xfId="0" applyNumberFormat="1" applyFont="1" applyBorder="1" applyAlignment="1">
      <alignment horizontal="center"/>
    </xf>
    <xf numFmtId="4" fontId="31" fillId="0" borderId="25" xfId="0" applyNumberFormat="1" applyFont="1" applyBorder="1" applyAlignment="1">
      <alignment horizontal="center"/>
    </xf>
    <xf numFmtId="4" fontId="31" fillId="0" borderId="29" xfId="0" applyNumberFormat="1" applyFont="1" applyBorder="1" applyAlignment="1">
      <alignment horizontal="center"/>
    </xf>
    <xf numFmtId="4" fontId="31" fillId="0" borderId="33" xfId="0" applyNumberFormat="1" applyFont="1" applyBorder="1" applyAlignment="1">
      <alignment horizontal="center"/>
    </xf>
    <xf numFmtId="43" fontId="32" fillId="0" borderId="0" xfId="1" applyFont="1"/>
    <xf numFmtId="43" fontId="15" fillId="0" borderId="0" xfId="1" applyFont="1"/>
    <xf numFmtId="43" fontId="15" fillId="0" borderId="0" xfId="1" applyFont="1" applyBorder="1"/>
    <xf numFmtId="43" fontId="35" fillId="0" borderId="0" xfId="1" applyFont="1" applyBorder="1" applyAlignment="1">
      <alignment horizontal="right"/>
    </xf>
    <xf numFmtId="2" fontId="15" fillId="0" borderId="0" xfId="0" applyNumberFormat="1" applyFont="1"/>
    <xf numFmtId="2" fontId="35" fillId="0" borderId="0" xfId="5" applyNumberFormat="1" applyFont="1" applyAlignment="1">
      <alignment horizontal="right"/>
    </xf>
    <xf numFmtId="166" fontId="15" fillId="0" borderId="0" xfId="0" applyNumberFormat="1" applyFont="1"/>
    <xf numFmtId="0" fontId="36" fillId="0" borderId="0" xfId="0" applyFont="1"/>
    <xf numFmtId="167" fontId="30" fillId="0" borderId="12" xfId="0" applyNumberFormat="1" applyFont="1" applyBorder="1" applyAlignment="1">
      <alignment horizontal="center" vertical="center"/>
    </xf>
    <xf numFmtId="167" fontId="31" fillId="0" borderId="14" xfId="0" applyNumberFormat="1" applyFont="1" applyBorder="1" applyAlignment="1">
      <alignment horizontal="center"/>
    </xf>
    <xf numFmtId="167" fontId="31" fillId="0" borderId="5" xfId="0" applyNumberFormat="1" applyFont="1" applyBorder="1" applyAlignment="1">
      <alignment horizontal="center"/>
    </xf>
    <xf numFmtId="0" fontId="31" fillId="0" borderId="23" xfId="3" applyFont="1" applyBorder="1" applyAlignment="1" applyProtection="1">
      <alignment horizontal="center"/>
    </xf>
    <xf numFmtId="43" fontId="37" fillId="0" borderId="0" xfId="1" applyFont="1"/>
    <xf numFmtId="43" fontId="31" fillId="0" borderId="0" xfId="1" applyFont="1" applyAlignment="1">
      <alignment horizontal="center"/>
    </xf>
    <xf numFmtId="4" fontId="31" fillId="0" borderId="0" xfId="0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166" fontId="38" fillId="0" borderId="0" xfId="0" applyNumberFormat="1" applyFont="1" applyAlignment="1">
      <alignment horizontal="center"/>
    </xf>
    <xf numFmtId="166" fontId="31" fillId="0" borderId="44" xfId="0" applyNumberFormat="1" applyFont="1" applyBorder="1" applyAlignment="1">
      <alignment horizontal="center"/>
    </xf>
    <xf numFmtId="167" fontId="31" fillId="0" borderId="12" xfId="0" applyNumberFormat="1" applyFont="1" applyBorder="1" applyAlignment="1">
      <alignment horizontal="center"/>
    </xf>
    <xf numFmtId="43" fontId="38" fillId="0" borderId="0" xfId="1" applyFont="1" applyAlignment="1">
      <alignment horizontal="center"/>
    </xf>
    <xf numFmtId="49" fontId="34" fillId="0" borderId="0" xfId="0" applyNumberFormat="1" applyFont="1"/>
    <xf numFmtId="0" fontId="15" fillId="0" borderId="0" xfId="0" applyFont="1" applyAlignment="1">
      <alignment horizontal="left"/>
    </xf>
    <xf numFmtId="0" fontId="33" fillId="0" borderId="0" xfId="0" applyFont="1" applyAlignment="1">
      <alignment vertical="center" wrapText="1"/>
    </xf>
    <xf numFmtId="0" fontId="27" fillId="0" borderId="0" xfId="0" quotePrefix="1" applyFont="1" applyAlignment="1">
      <alignment vertical="center"/>
    </xf>
    <xf numFmtId="0" fontId="40" fillId="0" borderId="0" xfId="0" applyFont="1"/>
    <xf numFmtId="0" fontId="34" fillId="0" borderId="0" xfId="0" applyFont="1"/>
    <xf numFmtId="0" fontId="41" fillId="0" borderId="0" xfId="0" applyFont="1"/>
    <xf numFmtId="168" fontId="40" fillId="0" borderId="0" xfId="0" applyNumberFormat="1" applyFont="1"/>
    <xf numFmtId="4" fontId="38" fillId="4" borderId="0" xfId="0" applyNumberFormat="1" applyFont="1" applyFill="1" applyAlignment="1">
      <alignment horizontal="center" vertical="center" wrapText="1"/>
    </xf>
    <xf numFmtId="2" fontId="34" fillId="0" borderId="0" xfId="0" applyNumberFormat="1" applyFont="1"/>
    <xf numFmtId="4" fontId="38" fillId="0" borderId="0" xfId="0" applyNumberFormat="1" applyFont="1" applyAlignment="1">
      <alignment horizontal="center" vertical="center" wrapText="1"/>
    </xf>
    <xf numFmtId="17" fontId="42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right" vertical="center" wrapText="1"/>
    </xf>
    <xf numFmtId="0" fontId="37" fillId="0" borderId="0" xfId="0" applyFont="1"/>
    <xf numFmtId="0" fontId="43" fillId="0" borderId="0" xfId="0" applyFont="1" applyAlignment="1">
      <alignment horizontal="right" vertical="center"/>
    </xf>
    <xf numFmtId="0" fontId="32" fillId="0" borderId="0" xfId="0" applyFont="1" applyAlignment="1">
      <alignment horizontal="left"/>
    </xf>
    <xf numFmtId="17" fontId="30" fillId="0" borderId="37" xfId="0" applyNumberFormat="1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167" fontId="30" fillId="0" borderId="47" xfId="0" applyNumberFormat="1" applyFont="1" applyBorder="1" applyAlignment="1">
      <alignment horizontal="center" vertical="center"/>
    </xf>
    <xf numFmtId="40" fontId="31" fillId="0" borderId="14" xfId="0" applyNumberFormat="1" applyFont="1" applyBorder="1" applyAlignment="1">
      <alignment horizontal="center"/>
    </xf>
    <xf numFmtId="40" fontId="31" fillId="0" borderId="5" xfId="0" applyNumberFormat="1" applyFont="1" applyBorder="1" applyAlignment="1">
      <alignment horizontal="center"/>
    </xf>
    <xf numFmtId="40" fontId="31" fillId="0" borderId="17" xfId="0" applyNumberFormat="1" applyFont="1" applyBorder="1" applyAlignment="1">
      <alignment horizontal="center"/>
    </xf>
    <xf numFmtId="40" fontId="31" fillId="0" borderId="9" xfId="0" applyNumberFormat="1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49" fontId="31" fillId="0" borderId="12" xfId="0" applyNumberFormat="1" applyFont="1" applyBorder="1" applyAlignment="1">
      <alignment horizontal="center"/>
    </xf>
    <xf numFmtId="4" fontId="31" fillId="0" borderId="12" xfId="0" applyNumberFormat="1" applyFont="1" applyBorder="1" applyAlignment="1">
      <alignment horizontal="center"/>
    </xf>
    <xf numFmtId="40" fontId="31" fillId="0" borderId="12" xfId="0" applyNumberFormat="1" applyFont="1" applyBorder="1" applyAlignment="1">
      <alignment horizontal="center"/>
    </xf>
    <xf numFmtId="40" fontId="31" fillId="0" borderId="10" xfId="0" applyNumberFormat="1" applyFont="1" applyBorder="1" applyAlignment="1">
      <alignment horizontal="center"/>
    </xf>
    <xf numFmtId="166" fontId="31" fillId="0" borderId="49" xfId="0" applyNumberFormat="1" applyFont="1" applyBorder="1" applyAlignment="1">
      <alignment horizontal="center"/>
    </xf>
    <xf numFmtId="40" fontId="31" fillId="0" borderId="24" xfId="0" applyNumberFormat="1" applyFont="1" applyBorder="1" applyAlignment="1">
      <alignment horizontal="center"/>
    </xf>
    <xf numFmtId="40" fontId="31" fillId="0" borderId="25" xfId="0" applyNumberFormat="1" applyFont="1" applyBorder="1" applyAlignment="1">
      <alignment horizontal="center"/>
    </xf>
    <xf numFmtId="166" fontId="31" fillId="0" borderId="0" xfId="0" quotePrefix="1" applyNumberFormat="1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167" fontId="21" fillId="0" borderId="14" xfId="0" applyNumberFormat="1" applyFont="1" applyBorder="1" applyAlignment="1">
      <alignment horizontal="center" vertical="center"/>
    </xf>
    <xf numFmtId="167" fontId="21" fillId="0" borderId="5" xfId="0" applyNumberFormat="1" applyFont="1" applyBorder="1" applyAlignment="1">
      <alignment horizontal="center" vertical="center"/>
    </xf>
    <xf numFmtId="166" fontId="21" fillId="0" borderId="15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1" fillId="0" borderId="16" xfId="0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center" vertical="center"/>
    </xf>
    <xf numFmtId="167" fontId="21" fillId="0" borderId="9" xfId="0" applyNumberFormat="1" applyFont="1" applyBorder="1" applyAlignment="1">
      <alignment horizontal="center" vertical="center"/>
    </xf>
    <xf numFmtId="166" fontId="21" fillId="0" borderId="18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4" fontId="21" fillId="0" borderId="12" xfId="0" applyNumberFormat="1" applyFont="1" applyBorder="1" applyAlignment="1">
      <alignment horizontal="center" vertical="center"/>
    </xf>
    <xf numFmtId="167" fontId="21" fillId="0" borderId="12" xfId="0" applyNumberFormat="1" applyFont="1" applyBorder="1" applyAlignment="1">
      <alignment horizontal="center" vertical="center"/>
    </xf>
    <xf numFmtId="167" fontId="21" fillId="0" borderId="10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164" fontId="21" fillId="0" borderId="51" xfId="0" applyNumberFormat="1" applyFont="1" applyBorder="1" applyAlignment="1">
      <alignment horizontal="center" vertical="center"/>
    </xf>
    <xf numFmtId="4" fontId="21" fillId="0" borderId="51" xfId="0" applyNumberFormat="1" applyFont="1" applyBorder="1" applyAlignment="1">
      <alignment horizontal="center" vertical="center"/>
    </xf>
    <xf numFmtId="167" fontId="21" fillId="0" borderId="51" xfId="0" applyNumberFormat="1" applyFont="1" applyBorder="1" applyAlignment="1">
      <alignment horizontal="center" vertical="center"/>
    </xf>
    <xf numFmtId="167" fontId="21" fillId="0" borderId="52" xfId="0" applyNumberFormat="1" applyFont="1" applyBorder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4" fontId="21" fillId="0" borderId="24" xfId="0" applyNumberFormat="1" applyFont="1" applyBorder="1" applyAlignment="1">
      <alignment horizontal="center" vertical="center"/>
    </xf>
    <xf numFmtId="167" fontId="21" fillId="0" borderId="25" xfId="0" applyNumberFormat="1" applyFont="1" applyBorder="1" applyAlignment="1">
      <alignment horizontal="center" vertical="center"/>
    </xf>
    <xf numFmtId="166" fontId="21" fillId="0" borderId="26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64" fontId="21" fillId="0" borderId="28" xfId="0" applyNumberFormat="1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center" vertical="center"/>
    </xf>
    <xf numFmtId="167" fontId="21" fillId="0" borderId="29" xfId="0" applyNumberFormat="1" applyFont="1" applyBorder="1" applyAlignment="1">
      <alignment horizontal="center" vertical="center"/>
    </xf>
    <xf numFmtId="166" fontId="21" fillId="0" borderId="30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64" fontId="21" fillId="0" borderId="32" xfId="0" applyNumberFormat="1" applyFont="1" applyBorder="1" applyAlignment="1">
      <alignment horizontal="center" vertical="center"/>
    </xf>
    <xf numFmtId="4" fontId="21" fillId="0" borderId="32" xfId="0" applyNumberFormat="1" applyFont="1" applyBorder="1" applyAlignment="1">
      <alignment horizontal="center" vertical="center"/>
    </xf>
    <xf numFmtId="167" fontId="21" fillId="0" borderId="33" xfId="0" applyNumberFormat="1" applyFont="1" applyBorder="1" applyAlignment="1">
      <alignment horizontal="center" vertical="center"/>
    </xf>
    <xf numFmtId="166" fontId="21" fillId="0" borderId="34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0" borderId="0" xfId="0" quotePrefix="1" applyNumberFormat="1" applyFont="1" applyAlignment="1">
      <alignment horizontal="center" vertical="center"/>
    </xf>
    <xf numFmtId="49" fontId="32" fillId="0" borderId="0" xfId="0" applyNumberFormat="1" applyFont="1"/>
    <xf numFmtId="0" fontId="32" fillId="0" borderId="0" xfId="0" applyFont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169" fontId="21" fillId="0" borderId="14" xfId="0" applyNumberFormat="1" applyFont="1" applyBorder="1" applyAlignment="1">
      <alignment horizontal="center" vertical="center"/>
    </xf>
    <xf numFmtId="169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center" vertical="center"/>
    </xf>
    <xf numFmtId="167" fontId="21" fillId="0" borderId="2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8" fillId="0" borderId="0" xfId="0" quotePrefix="1" applyFont="1" applyAlignment="1">
      <alignment vertical="center"/>
    </xf>
    <xf numFmtId="0" fontId="30" fillId="0" borderId="46" xfId="0" applyFont="1" applyBorder="1" applyAlignment="1">
      <alignment horizontal="center" vertical="center"/>
    </xf>
    <xf numFmtId="17" fontId="21" fillId="0" borderId="2" xfId="0" applyNumberFormat="1" applyFont="1" applyBorder="1" applyAlignment="1">
      <alignment horizontal="center" vertical="center"/>
    </xf>
    <xf numFmtId="167" fontId="21" fillId="0" borderId="14" xfId="1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4" fontId="21" fillId="0" borderId="14" xfId="1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8" fillId="5" borderId="0" xfId="0" applyFont="1" applyFill="1" applyAlignment="1">
      <alignment vertical="center"/>
    </xf>
    <xf numFmtId="17" fontId="21" fillId="0" borderId="16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right" vertical="center"/>
    </xf>
    <xf numFmtId="2" fontId="21" fillId="0" borderId="17" xfId="0" applyNumberFormat="1" applyFont="1" applyBorder="1" applyAlignment="1">
      <alignment horizontal="center" vertical="center"/>
    </xf>
    <xf numFmtId="4" fontId="21" fillId="0" borderId="17" xfId="1" applyNumberFormat="1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center" vertical="center"/>
    </xf>
    <xf numFmtId="40" fontId="46" fillId="0" borderId="17" xfId="0" applyNumberFormat="1" applyFont="1" applyBorder="1" applyAlignment="1">
      <alignment horizontal="right" vertical="center"/>
    </xf>
    <xf numFmtId="0" fontId="46" fillId="0" borderId="36" xfId="0" applyFont="1" applyBorder="1" applyAlignment="1">
      <alignment vertical="center"/>
    </xf>
    <xf numFmtId="10" fontId="21" fillId="0" borderId="17" xfId="2" applyNumberFormat="1" applyFont="1" applyBorder="1" applyAlignment="1">
      <alignment horizontal="center" vertical="center"/>
    </xf>
    <xf numFmtId="17" fontId="21" fillId="0" borderId="19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right" vertical="center"/>
    </xf>
    <xf numFmtId="10" fontId="21" fillId="0" borderId="20" xfId="2" applyNumberFormat="1" applyFont="1" applyBorder="1" applyAlignment="1">
      <alignment horizontal="center" vertical="center"/>
    </xf>
    <xf numFmtId="167" fontId="21" fillId="0" borderId="20" xfId="1" applyNumberFormat="1" applyFont="1" applyBorder="1" applyAlignment="1">
      <alignment horizontal="center" vertical="center"/>
    </xf>
    <xf numFmtId="17" fontId="21" fillId="0" borderId="23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right" vertical="center"/>
    </xf>
    <xf numFmtId="10" fontId="21" fillId="0" borderId="24" xfId="2" applyNumberFormat="1" applyFont="1" applyBorder="1" applyAlignment="1">
      <alignment horizontal="center" vertical="center"/>
    </xf>
    <xf numFmtId="167" fontId="21" fillId="0" borderId="24" xfId="1" applyNumberFormat="1" applyFont="1" applyBorder="1" applyAlignment="1">
      <alignment horizontal="center" vertical="center"/>
    </xf>
    <xf numFmtId="17" fontId="21" fillId="0" borderId="27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right" vertical="center"/>
    </xf>
    <xf numFmtId="10" fontId="21" fillId="0" borderId="28" xfId="2" applyNumberFormat="1" applyFont="1" applyBorder="1" applyAlignment="1">
      <alignment horizontal="center" vertical="center"/>
    </xf>
    <xf numFmtId="167" fontId="21" fillId="0" borderId="28" xfId="1" applyNumberFormat="1" applyFont="1" applyBorder="1" applyAlignment="1">
      <alignment horizontal="center" vertical="center"/>
    </xf>
    <xf numFmtId="167" fontId="21" fillId="0" borderId="55" xfId="0" applyNumberFormat="1" applyFont="1" applyBorder="1" applyAlignment="1">
      <alignment horizontal="center" vertical="center"/>
    </xf>
    <xf numFmtId="10" fontId="47" fillId="0" borderId="56" xfId="6" applyNumberFormat="1" applyFont="1" applyBorder="1" applyAlignment="1" applyProtection="1">
      <alignment horizontal="center"/>
      <protection hidden="1"/>
    </xf>
    <xf numFmtId="17" fontId="21" fillId="0" borderId="31" xfId="0" applyNumberFormat="1" applyFont="1" applyBorder="1" applyAlignment="1">
      <alignment horizontal="center" vertical="center"/>
    </xf>
    <xf numFmtId="167" fontId="21" fillId="0" borderId="32" xfId="0" applyNumberFormat="1" applyFont="1" applyBorder="1" applyAlignment="1">
      <alignment horizontal="right" vertical="center"/>
    </xf>
    <xf numFmtId="10" fontId="21" fillId="0" borderId="32" xfId="2" applyNumberFormat="1" applyFont="1" applyBorder="1" applyAlignment="1">
      <alignment horizontal="center" vertical="center"/>
    </xf>
    <xf numFmtId="167" fontId="21" fillId="0" borderId="32" xfId="1" applyNumberFormat="1" applyFont="1" applyBorder="1" applyAlignment="1">
      <alignment horizontal="center" vertical="center"/>
    </xf>
    <xf numFmtId="167" fontId="21" fillId="0" borderId="57" xfId="0" applyNumberFormat="1" applyFont="1" applyBorder="1" applyAlignment="1">
      <alignment horizontal="center" vertical="center"/>
    </xf>
    <xf numFmtId="0" fontId="44" fillId="5" borderId="0" xfId="0" quotePrefix="1" applyFont="1" applyFill="1" applyAlignment="1">
      <alignment horizontal="left" vertical="center"/>
    </xf>
    <xf numFmtId="4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" fontId="24" fillId="0" borderId="14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171" fontId="24" fillId="0" borderId="15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7" fontId="24" fillId="0" borderId="17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170" fontId="24" fillId="0" borderId="17" xfId="0" applyNumberFormat="1" applyFont="1" applyBorder="1" applyAlignment="1">
      <alignment horizontal="center" vertical="center"/>
    </xf>
    <xf numFmtId="2" fontId="24" fillId="0" borderId="17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171" fontId="24" fillId="0" borderId="18" xfId="0" applyNumberFormat="1" applyFont="1" applyBorder="1" applyAlignment="1">
      <alignment horizontal="center" vertical="center"/>
    </xf>
    <xf numFmtId="171" fontId="48" fillId="0" borderId="17" xfId="0" applyNumberFormat="1" applyFont="1" applyBorder="1" applyAlignment="1">
      <alignment horizontal="center" vertical="center"/>
    </xf>
    <xf numFmtId="164" fontId="48" fillId="0" borderId="17" xfId="0" applyNumberFormat="1" applyFont="1" applyBorder="1" applyAlignment="1">
      <alignment horizontal="center" vertical="center"/>
    </xf>
    <xf numFmtId="4" fontId="48" fillId="0" borderId="17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" fontId="24" fillId="0" borderId="20" xfId="0" applyNumberFormat="1" applyFont="1" applyBorder="1" applyAlignment="1">
      <alignment horizontal="center" vertical="center"/>
    </xf>
    <xf numFmtId="170" fontId="24" fillId="0" borderId="20" xfId="0" applyNumberFormat="1" applyFont="1" applyBorder="1" applyAlignment="1">
      <alignment horizontal="center" vertical="center"/>
    </xf>
    <xf numFmtId="4" fontId="48" fillId="0" borderId="20" xfId="0" applyNumberFormat="1" applyFont="1" applyBorder="1" applyAlignment="1">
      <alignment horizontal="center" vertical="center"/>
    </xf>
    <xf numFmtId="2" fontId="24" fillId="0" borderId="21" xfId="0" applyNumberFormat="1" applyFont="1" applyBorder="1" applyAlignment="1">
      <alignment horizontal="center" vertical="center"/>
    </xf>
    <xf numFmtId="171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/>
    </xf>
    <xf numFmtId="170" fontId="24" fillId="0" borderId="24" xfId="0" applyNumberFormat="1" applyFont="1" applyBorder="1" applyAlignment="1">
      <alignment horizontal="center" vertical="center"/>
    </xf>
    <xf numFmtId="4" fontId="48" fillId="0" borderId="24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171" fontId="24" fillId="0" borderId="26" xfId="0" applyNumberFormat="1" applyFont="1" applyBorder="1" applyAlignment="1">
      <alignment horizontal="center" vertical="center"/>
    </xf>
    <xf numFmtId="171" fontId="38" fillId="0" borderId="24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 vertical="center"/>
    </xf>
    <xf numFmtId="49" fontId="24" fillId="0" borderId="28" xfId="0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70" fontId="24" fillId="0" borderId="28" xfId="0" applyNumberFormat="1" applyFont="1" applyBorder="1" applyAlignment="1">
      <alignment horizontal="center" vertical="center"/>
    </xf>
    <xf numFmtId="4" fontId="48" fillId="0" borderId="28" xfId="0" applyNumberFormat="1" applyFont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/>
    </xf>
    <xf numFmtId="171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4" fontId="24" fillId="0" borderId="32" xfId="0" applyNumberFormat="1" applyFont="1" applyBorder="1" applyAlignment="1">
      <alignment horizontal="center" vertical="center"/>
    </xf>
    <xf numFmtId="170" fontId="24" fillId="0" borderId="32" xfId="0" applyNumberFormat="1" applyFont="1" applyBorder="1" applyAlignment="1">
      <alignment horizontal="center" vertical="center"/>
    </xf>
    <xf numFmtId="4" fontId="48" fillId="0" borderId="32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171" fontId="24" fillId="0" borderId="34" xfId="0" applyNumberFormat="1" applyFont="1" applyBorder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170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71" fontId="49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170" fontId="38" fillId="5" borderId="0" xfId="0" applyNumberFormat="1" applyFont="1" applyFill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171" fontId="38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0" fontId="37" fillId="0" borderId="47" xfId="0" applyFont="1" applyBorder="1" applyAlignment="1">
      <alignment horizontal="center" vertical="center" wrapText="1"/>
    </xf>
    <xf numFmtId="0" fontId="37" fillId="0" borderId="65" xfId="0" applyFont="1" applyBorder="1" applyAlignment="1">
      <alignment vertical="center"/>
    </xf>
    <xf numFmtId="0" fontId="51" fillId="0" borderId="67" xfId="3" applyFont="1" applyBorder="1" applyAlignment="1" applyProtection="1">
      <alignment horizontal="center" vertical="center" wrapText="1"/>
    </xf>
    <xf numFmtId="14" fontId="24" fillId="0" borderId="67" xfId="0" applyNumberFormat="1" applyFont="1" applyBorder="1" applyAlignment="1">
      <alignment horizontal="right" vertical="center"/>
    </xf>
    <xf numFmtId="14" fontId="24" fillId="0" borderId="67" xfId="0" applyNumberFormat="1" applyFont="1" applyBorder="1" applyAlignment="1">
      <alignment horizontal="center" vertical="center"/>
    </xf>
    <xf numFmtId="2" fontId="24" fillId="0" borderId="68" xfId="0" applyNumberFormat="1" applyFont="1" applyBorder="1" applyAlignment="1">
      <alignment horizontal="right" vertical="center"/>
    </xf>
    <xf numFmtId="0" fontId="51" fillId="0" borderId="17" xfId="3" applyFont="1" applyBorder="1" applyAlignment="1" applyProtection="1">
      <alignment horizontal="center" vertical="center" wrapText="1"/>
    </xf>
    <xf numFmtId="14" fontId="24" fillId="0" borderId="17" xfId="0" applyNumberFormat="1" applyFont="1" applyBorder="1" applyAlignment="1">
      <alignment horizontal="right" vertical="center"/>
    </xf>
    <xf numFmtId="14" fontId="24" fillId="0" borderId="17" xfId="0" applyNumberFormat="1" applyFont="1" applyBorder="1" applyAlignment="1">
      <alignment horizontal="center" vertical="center"/>
    </xf>
    <xf numFmtId="2" fontId="24" fillId="0" borderId="36" xfId="0" applyNumberFormat="1" applyFont="1" applyBorder="1" applyAlignment="1">
      <alignment horizontal="right" vertical="center"/>
    </xf>
    <xf numFmtId="0" fontId="51" fillId="0" borderId="47" xfId="3" applyFont="1" applyBorder="1" applyAlignment="1" applyProtection="1">
      <alignment horizontal="center" vertical="center" wrapText="1"/>
    </xf>
    <xf numFmtId="14" fontId="24" fillId="0" borderId="47" xfId="0" applyNumberFormat="1" applyFont="1" applyBorder="1" applyAlignment="1">
      <alignment horizontal="right" vertical="center"/>
    </xf>
    <xf numFmtId="14" fontId="24" fillId="0" borderId="47" xfId="0" applyNumberFormat="1" applyFont="1" applyBorder="1" applyAlignment="1">
      <alignment horizontal="center" vertical="center"/>
    </xf>
    <xf numFmtId="2" fontId="24" fillId="0" borderId="38" xfId="0" applyNumberFormat="1" applyFont="1" applyBorder="1" applyAlignment="1">
      <alignment horizontal="right" vertical="center"/>
    </xf>
    <xf numFmtId="0" fontId="51" fillId="0" borderId="14" xfId="3" applyFont="1" applyBorder="1" applyAlignment="1" applyProtection="1">
      <alignment horizontal="center" vertical="center" wrapText="1"/>
    </xf>
    <xf numFmtId="14" fontId="24" fillId="0" borderId="14" xfId="0" applyNumberFormat="1" applyFont="1" applyBorder="1" applyAlignment="1">
      <alignment horizontal="right" vertical="center"/>
    </xf>
    <xf numFmtId="14" fontId="24" fillId="0" borderId="14" xfId="0" applyNumberFormat="1" applyFont="1" applyBorder="1" applyAlignment="1">
      <alignment horizontal="center" vertical="center"/>
    </xf>
    <xf numFmtId="2" fontId="24" fillId="0" borderId="35" xfId="0" applyNumberFormat="1" applyFont="1" applyBorder="1" applyAlignment="1">
      <alignment horizontal="right" vertical="center"/>
    </xf>
    <xf numFmtId="0" fontId="51" fillId="0" borderId="51" xfId="3" applyFont="1" applyBorder="1" applyAlignment="1" applyProtection="1">
      <alignment horizontal="center" vertical="center" wrapText="1"/>
    </xf>
    <xf numFmtId="14" fontId="24" fillId="0" borderId="51" xfId="0" applyNumberFormat="1" applyFont="1" applyBorder="1" applyAlignment="1">
      <alignment horizontal="right" vertical="center"/>
    </xf>
    <xf numFmtId="14" fontId="24" fillId="0" borderId="51" xfId="0" applyNumberFormat="1" applyFont="1" applyBorder="1" applyAlignment="1">
      <alignment horizontal="center" vertical="center"/>
    </xf>
    <xf numFmtId="2" fontId="24" fillId="0" borderId="69" xfId="0" applyNumberFormat="1" applyFont="1" applyBorder="1" applyAlignment="1">
      <alignment horizontal="right" vertical="center"/>
    </xf>
    <xf numFmtId="0" fontId="51" fillId="0" borderId="24" xfId="3" applyFont="1" applyBorder="1" applyAlignment="1" applyProtection="1">
      <alignment horizontal="center" vertical="center" wrapText="1"/>
    </xf>
    <xf numFmtId="14" fontId="24" fillId="0" borderId="24" xfId="0" applyNumberFormat="1" applyFont="1" applyBorder="1" applyAlignment="1">
      <alignment horizontal="right" vertical="center"/>
    </xf>
    <xf numFmtId="14" fontId="24" fillId="0" borderId="24" xfId="0" applyNumberFormat="1" applyFont="1" applyBorder="1" applyAlignment="1">
      <alignment horizontal="center" vertical="center"/>
    </xf>
    <xf numFmtId="2" fontId="24" fillId="0" borderId="40" xfId="0" applyNumberFormat="1" applyFont="1" applyBorder="1" applyAlignment="1">
      <alignment horizontal="right" vertical="center"/>
    </xf>
    <xf numFmtId="0" fontId="51" fillId="0" borderId="32" xfId="3" applyFont="1" applyBorder="1" applyAlignment="1" applyProtection="1">
      <alignment horizontal="center" vertical="center" wrapText="1"/>
    </xf>
    <xf numFmtId="14" fontId="24" fillId="0" borderId="32" xfId="0" applyNumberFormat="1" applyFont="1" applyBorder="1" applyAlignment="1">
      <alignment horizontal="right" vertical="center"/>
    </xf>
    <xf numFmtId="14" fontId="24" fillId="0" borderId="32" xfId="0" applyNumberFormat="1" applyFont="1" applyBorder="1" applyAlignment="1">
      <alignment horizontal="center" vertical="center"/>
    </xf>
    <xf numFmtId="2" fontId="24" fillId="0" borderId="57" xfId="0" applyNumberFormat="1" applyFont="1" applyBorder="1" applyAlignment="1">
      <alignment horizontal="right" vertical="center"/>
    </xf>
    <xf numFmtId="0" fontId="51" fillId="0" borderId="70" xfId="3" applyFont="1" applyBorder="1" applyAlignment="1" applyProtection="1">
      <alignment horizontal="center" vertical="center" wrapText="1"/>
    </xf>
    <xf numFmtId="14" fontId="24" fillId="0" borderId="70" xfId="0" applyNumberFormat="1" applyFont="1" applyBorder="1" applyAlignment="1">
      <alignment horizontal="center" vertical="center"/>
    </xf>
    <xf numFmtId="2" fontId="24" fillId="0" borderId="71" xfId="0" applyNumberFormat="1" applyFont="1" applyBorder="1" applyAlignment="1">
      <alignment horizontal="right" vertical="center"/>
    </xf>
    <xf numFmtId="0" fontId="51" fillId="0" borderId="73" xfId="3" applyFont="1" applyBorder="1" applyAlignment="1" applyProtection="1">
      <alignment horizontal="center" vertical="center" wrapText="1"/>
    </xf>
    <xf numFmtId="0" fontId="51" fillId="0" borderId="75" xfId="3" applyFont="1" applyBorder="1" applyAlignment="1" applyProtection="1">
      <alignment horizontal="center" vertical="center" wrapText="1"/>
    </xf>
    <xf numFmtId="0" fontId="51" fillId="0" borderId="23" xfId="3" applyFont="1" applyBorder="1" applyAlignment="1" applyProtection="1">
      <alignment horizontal="center" vertical="center" wrapText="1"/>
    </xf>
    <xf numFmtId="14" fontId="24" fillId="0" borderId="24" xfId="0" applyNumberFormat="1" applyFont="1" applyBorder="1" applyAlignment="1">
      <alignment horizontal="left" vertical="center"/>
    </xf>
    <xf numFmtId="0" fontId="51" fillId="0" borderId="31" xfId="3" applyFont="1" applyBorder="1" applyAlignment="1" applyProtection="1">
      <alignment horizontal="center" vertical="center" wrapText="1"/>
    </xf>
    <xf numFmtId="14" fontId="24" fillId="0" borderId="32" xfId="0" applyNumberFormat="1" applyFont="1" applyBorder="1" applyAlignment="1">
      <alignment horizontal="left" vertical="center"/>
    </xf>
    <xf numFmtId="0" fontId="51" fillId="0" borderId="77" xfId="3" applyFont="1" applyBorder="1" applyAlignment="1" applyProtection="1">
      <alignment horizontal="center" vertical="center" wrapText="1"/>
    </xf>
    <xf numFmtId="14" fontId="24" fillId="0" borderId="70" xfId="0" applyNumberFormat="1" applyFont="1" applyBorder="1" applyAlignment="1">
      <alignment horizontal="left" vertical="center"/>
    </xf>
    <xf numFmtId="0" fontId="51" fillId="6" borderId="23" xfId="3" applyFont="1" applyFill="1" applyBorder="1" applyAlignment="1" applyProtection="1">
      <alignment horizontal="center" vertical="center" wrapText="1"/>
    </xf>
    <xf numFmtId="14" fontId="24" fillId="6" borderId="24" xfId="0" applyNumberFormat="1" applyFont="1" applyFill="1" applyBorder="1" applyAlignment="1">
      <alignment horizontal="center" vertical="center"/>
    </xf>
    <xf numFmtId="14" fontId="24" fillId="6" borderId="24" xfId="0" applyNumberFormat="1" applyFont="1" applyFill="1" applyBorder="1" applyAlignment="1">
      <alignment horizontal="left" vertical="center"/>
    </xf>
    <xf numFmtId="2" fontId="24" fillId="6" borderId="40" xfId="0" applyNumberFormat="1" applyFont="1" applyFill="1" applyBorder="1" applyAlignment="1">
      <alignment horizontal="right" vertical="center"/>
    </xf>
    <xf numFmtId="0" fontId="51" fillId="7" borderId="23" xfId="3" applyFont="1" applyFill="1" applyBorder="1" applyAlignment="1" applyProtection="1">
      <alignment horizontal="center" vertical="center" wrapText="1"/>
    </xf>
    <xf numFmtId="0" fontId="51" fillId="0" borderId="77" xfId="3" applyFont="1" applyFill="1" applyBorder="1" applyAlignment="1" applyProtection="1">
      <alignment horizontal="center" vertical="center" wrapText="1"/>
    </xf>
    <xf numFmtId="0" fontId="51" fillId="0" borderId="23" xfId="3" applyFont="1" applyFill="1" applyBorder="1" applyAlignment="1" applyProtection="1">
      <alignment horizontal="center" vertical="center" wrapText="1"/>
    </xf>
    <xf numFmtId="0" fontId="51" fillId="0" borderId="31" xfId="3" applyFont="1" applyFill="1" applyBorder="1" applyAlignment="1" applyProtection="1">
      <alignment horizontal="center" vertical="center" wrapText="1"/>
    </xf>
    <xf numFmtId="0" fontId="51" fillId="0" borderId="78" xfId="3" applyFont="1" applyFill="1" applyBorder="1" applyAlignment="1" applyProtection="1">
      <alignment horizontal="center" vertical="center" wrapText="1"/>
    </xf>
    <xf numFmtId="14" fontId="24" fillId="0" borderId="79" xfId="0" applyNumberFormat="1" applyFont="1" applyBorder="1" applyAlignment="1">
      <alignment horizontal="center" vertical="center"/>
    </xf>
    <xf numFmtId="14" fontId="24" fillId="0" borderId="79" xfId="0" applyNumberFormat="1" applyFont="1" applyBorder="1" applyAlignment="1">
      <alignment horizontal="left" vertical="center"/>
    </xf>
    <xf numFmtId="2" fontId="24" fillId="0" borderId="80" xfId="0" applyNumberFormat="1" applyFont="1" applyBorder="1" applyAlignment="1">
      <alignment horizontal="right" vertical="center"/>
    </xf>
    <xf numFmtId="0" fontId="51" fillId="0" borderId="27" xfId="3" applyFont="1" applyFill="1" applyBorder="1" applyAlignment="1" applyProtection="1">
      <alignment horizontal="center" vertical="center" wrapText="1"/>
    </xf>
    <xf numFmtId="14" fontId="24" fillId="0" borderId="28" xfId="0" applyNumberFormat="1" applyFont="1" applyBorder="1" applyAlignment="1">
      <alignment horizontal="center" vertical="center"/>
    </xf>
    <xf numFmtId="14" fontId="24" fillId="0" borderId="28" xfId="0" applyNumberFormat="1" applyFont="1" applyBorder="1" applyAlignment="1">
      <alignment horizontal="left" vertical="center"/>
    </xf>
    <xf numFmtId="2" fontId="24" fillId="0" borderId="55" xfId="0" applyNumberFormat="1" applyFont="1" applyBorder="1" applyAlignment="1">
      <alignment horizontal="right" vertical="center"/>
    </xf>
    <xf numFmtId="0" fontId="51" fillId="0" borderId="50" xfId="3" applyFont="1" applyFill="1" applyBorder="1" applyAlignment="1" applyProtection="1">
      <alignment horizontal="center" vertical="center" wrapText="1"/>
    </xf>
    <xf numFmtId="14" fontId="24" fillId="0" borderId="51" xfId="0" applyNumberFormat="1" applyFont="1" applyBorder="1" applyAlignment="1">
      <alignment horizontal="left" vertical="center"/>
    </xf>
    <xf numFmtId="0" fontId="53" fillId="2" borderId="0" xfId="0" applyFont="1" applyFill="1" applyAlignment="1">
      <alignment horizontal="center" vertical="center" textRotation="90" wrapText="1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2" fontId="21" fillId="0" borderId="14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2" fontId="21" fillId="0" borderId="36" xfId="0" applyNumberFormat="1" applyFont="1" applyBorder="1" applyAlignment="1">
      <alignment horizontal="center" vertical="center"/>
    </xf>
    <xf numFmtId="17" fontId="21" fillId="0" borderId="1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2" fontId="21" fillId="0" borderId="39" xfId="0" applyNumberFormat="1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/>
    </xf>
    <xf numFmtId="2" fontId="21" fillId="0" borderId="4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7" fontId="35" fillId="0" borderId="0" xfId="0" applyNumberFormat="1" applyFont="1" applyAlignment="1">
      <alignment horizontal="center" vertical="center" wrapText="1"/>
    </xf>
    <xf numFmtId="2" fontId="21" fillId="0" borderId="28" xfId="0" applyNumberFormat="1" applyFont="1" applyBorder="1" applyAlignment="1">
      <alignment horizontal="center" vertical="center"/>
    </xf>
    <xf numFmtId="2" fontId="21" fillId="0" borderId="55" xfId="0" applyNumberFormat="1" applyFont="1" applyBorder="1" applyAlignment="1">
      <alignment horizontal="center" vertical="center"/>
    </xf>
    <xf numFmtId="17" fontId="57" fillId="0" borderId="0" xfId="0" applyNumberFormat="1" applyFont="1" applyAlignment="1">
      <alignment horizontal="center" vertical="center" wrapText="1"/>
    </xf>
    <xf numFmtId="0" fontId="58" fillId="0" borderId="0" xfId="0" applyFont="1"/>
    <xf numFmtId="2" fontId="21" fillId="0" borderId="32" xfId="0" applyNumberFormat="1" applyFont="1" applyBorder="1" applyAlignment="1">
      <alignment horizontal="center" vertical="center"/>
    </xf>
    <xf numFmtId="2" fontId="21" fillId="0" borderId="57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2" fontId="59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51" fillId="0" borderId="0" xfId="3" applyFont="1" applyAlignment="1" applyProtection="1">
      <alignment vertical="center"/>
    </xf>
    <xf numFmtId="4" fontId="24" fillId="0" borderId="0" xfId="0" applyNumberFormat="1" applyFont="1" applyAlignment="1">
      <alignment vertical="center"/>
    </xf>
    <xf numFmtId="0" fontId="28" fillId="2" borderId="66" xfId="0" applyFont="1" applyFill="1" applyBorder="1" applyAlignment="1">
      <alignment vertical="center" wrapText="1"/>
    </xf>
    <xf numFmtId="0" fontId="62" fillId="2" borderId="84" xfId="0" applyFont="1" applyFill="1" applyBorder="1" applyAlignment="1">
      <alignment horizontal="center" vertical="center" wrapText="1"/>
    </xf>
    <xf numFmtId="0" fontId="62" fillId="2" borderId="43" xfId="0" applyFont="1" applyFill="1" applyBorder="1" applyAlignment="1">
      <alignment horizontal="center" vertical="center" wrapText="1"/>
    </xf>
    <xf numFmtId="0" fontId="62" fillId="2" borderId="85" xfId="0" applyFont="1" applyFill="1" applyBorder="1" applyAlignment="1">
      <alignment horizontal="center" vertical="center" wrapText="1"/>
    </xf>
    <xf numFmtId="0" fontId="62" fillId="2" borderId="86" xfId="0" applyFont="1" applyFill="1" applyBorder="1" applyAlignment="1">
      <alignment horizontal="center" vertical="center" wrapText="1"/>
    </xf>
    <xf numFmtId="0" fontId="62" fillId="2" borderId="87" xfId="0" applyFont="1" applyFill="1" applyBorder="1" applyAlignment="1">
      <alignment horizontal="center" vertical="center" wrapText="1"/>
    </xf>
    <xf numFmtId="0" fontId="62" fillId="2" borderId="88" xfId="0" applyFont="1" applyFill="1" applyBorder="1" applyAlignment="1">
      <alignment horizontal="center" vertical="center" wrapText="1"/>
    </xf>
    <xf numFmtId="0" fontId="29" fillId="2" borderId="78" xfId="0" applyFont="1" applyFill="1" applyBorder="1" applyAlignment="1">
      <alignment horizontal="left" vertical="center" wrapText="1"/>
    </xf>
    <xf numFmtId="2" fontId="24" fillId="0" borderId="89" xfId="0" applyNumberFormat="1" applyFont="1" applyBorder="1" applyAlignment="1">
      <alignment horizontal="center" vertical="center" wrapText="1"/>
    </xf>
    <xf numFmtId="2" fontId="24" fillId="0" borderId="79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24" fillId="0" borderId="90" xfId="0" applyNumberFormat="1" applyFont="1" applyBorder="1" applyAlignment="1">
      <alignment horizontal="center" vertical="center" wrapText="1"/>
    </xf>
    <xf numFmtId="2" fontId="24" fillId="0" borderId="91" xfId="0" applyNumberFormat="1" applyFont="1" applyBorder="1" applyAlignment="1">
      <alignment horizontal="center" vertical="center" wrapText="1"/>
    </xf>
    <xf numFmtId="2" fontId="24" fillId="0" borderId="92" xfId="0" applyNumberFormat="1" applyFont="1" applyBorder="1" applyAlignment="1">
      <alignment horizontal="center" vertical="center" wrapText="1"/>
    </xf>
    <xf numFmtId="2" fontId="24" fillId="0" borderId="93" xfId="0" applyNumberFormat="1" applyFont="1" applyBorder="1" applyAlignment="1">
      <alignment horizontal="center" vertical="center" wrapText="1"/>
    </xf>
    <xf numFmtId="2" fontId="24" fillId="0" borderId="94" xfId="0" applyNumberFormat="1" applyFont="1" applyBorder="1" applyAlignment="1">
      <alignment horizontal="center" vertical="center" wrapText="1"/>
    </xf>
    <xf numFmtId="2" fontId="24" fillId="0" borderId="95" xfId="0" applyNumberFormat="1" applyFont="1" applyBorder="1" applyAlignment="1">
      <alignment horizontal="center" vertical="center" wrapText="1"/>
    </xf>
    <xf numFmtId="2" fontId="24" fillId="0" borderId="96" xfId="0" applyNumberFormat="1" applyFont="1" applyBorder="1" applyAlignment="1">
      <alignment horizontal="center" vertical="center" wrapText="1"/>
    </xf>
    <xf numFmtId="2" fontId="24" fillId="0" borderId="97" xfId="0" applyNumberFormat="1" applyFont="1" applyBorder="1" applyAlignment="1">
      <alignment horizontal="center" vertical="center" wrapText="1"/>
    </xf>
    <xf numFmtId="2" fontId="24" fillId="0" borderId="98" xfId="0" applyNumberFormat="1" applyFont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left" vertical="center" wrapText="1"/>
    </xf>
    <xf numFmtId="2" fontId="24" fillId="0" borderId="75" xfId="0" applyNumberFormat="1" applyFont="1" applyBorder="1" applyAlignment="1">
      <alignment horizontal="center" vertical="center" wrapText="1"/>
    </xf>
    <xf numFmtId="2" fontId="24" fillId="0" borderId="24" xfId="0" applyNumberFormat="1" applyFont="1" applyBorder="1" applyAlignment="1">
      <alignment horizontal="center" vertical="center" wrapText="1"/>
    </xf>
    <xf numFmtId="2" fontId="24" fillId="0" borderId="25" xfId="0" applyNumberFormat="1" applyFont="1" applyBorder="1" applyAlignment="1">
      <alignment horizontal="center" vertical="center" wrapText="1"/>
    </xf>
    <xf numFmtId="2" fontId="24" fillId="0" borderId="99" xfId="0" applyNumberFormat="1" applyFont="1" applyBorder="1" applyAlignment="1">
      <alignment horizontal="center" vertical="center" wrapText="1"/>
    </xf>
    <xf numFmtId="2" fontId="24" fillId="0" borderId="100" xfId="0" applyNumberFormat="1" applyFont="1" applyBorder="1" applyAlignment="1">
      <alignment horizontal="center" vertical="center" wrapText="1"/>
    </xf>
    <xf numFmtId="2" fontId="24" fillId="0" borderId="101" xfId="0" applyNumberFormat="1" applyFont="1" applyBorder="1" applyAlignment="1">
      <alignment horizontal="center" vertical="center" wrapText="1"/>
    </xf>
    <xf numFmtId="2" fontId="24" fillId="0" borderId="102" xfId="0" applyNumberFormat="1" applyFont="1" applyBorder="1" applyAlignment="1">
      <alignment horizontal="center" vertical="center" wrapText="1"/>
    </xf>
    <xf numFmtId="2" fontId="24" fillId="0" borderId="103" xfId="0" applyNumberFormat="1" applyFont="1" applyBorder="1" applyAlignment="1">
      <alignment horizontal="center" vertical="center" wrapText="1"/>
    </xf>
    <xf numFmtId="2" fontId="24" fillId="0" borderId="104" xfId="0" applyNumberFormat="1" applyFont="1" applyBorder="1" applyAlignment="1">
      <alignment horizontal="center" vertical="center" wrapText="1"/>
    </xf>
    <xf numFmtId="2" fontId="24" fillId="0" borderId="105" xfId="0" applyNumberFormat="1" applyFont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left" vertical="center" wrapText="1"/>
    </xf>
    <xf numFmtId="2" fontId="24" fillId="0" borderId="106" xfId="0" applyNumberFormat="1" applyFont="1" applyBorder="1" applyAlignment="1">
      <alignment horizontal="center" vertical="center" wrapText="1"/>
    </xf>
    <xf numFmtId="2" fontId="24" fillId="0" borderId="32" xfId="0" applyNumberFormat="1" applyFont="1" applyBorder="1" applyAlignment="1">
      <alignment horizontal="center" vertical="center" wrapText="1"/>
    </xf>
    <xf numFmtId="2" fontId="24" fillId="0" borderId="107" xfId="0" applyNumberFormat="1" applyFont="1" applyBorder="1" applyAlignment="1">
      <alignment horizontal="center" vertical="center" wrapText="1"/>
    </xf>
    <xf numFmtId="2" fontId="24" fillId="0" borderId="108" xfId="0" applyNumberFormat="1" applyFont="1" applyBorder="1" applyAlignment="1">
      <alignment horizontal="center" vertical="center" wrapText="1"/>
    </xf>
    <xf numFmtId="2" fontId="24" fillId="0" borderId="109" xfId="0" applyNumberFormat="1" applyFont="1" applyBorder="1" applyAlignment="1">
      <alignment horizontal="center" vertical="center" wrapText="1"/>
    </xf>
    <xf numFmtId="2" fontId="24" fillId="0" borderId="110" xfId="0" applyNumberFormat="1" applyFont="1" applyBorder="1" applyAlignment="1">
      <alignment horizontal="center" vertical="center" wrapText="1"/>
    </xf>
    <xf numFmtId="2" fontId="24" fillId="0" borderId="111" xfId="0" applyNumberFormat="1" applyFont="1" applyBorder="1" applyAlignment="1">
      <alignment horizontal="center" vertical="center" wrapText="1"/>
    </xf>
    <xf numFmtId="2" fontId="24" fillId="0" borderId="112" xfId="0" applyNumberFormat="1" applyFont="1" applyBorder="1" applyAlignment="1">
      <alignment horizontal="center" vertical="center" wrapText="1"/>
    </xf>
    <xf numFmtId="2" fontId="24" fillId="0" borderId="113" xfId="0" applyNumberFormat="1" applyFont="1" applyBorder="1" applyAlignment="1">
      <alignment horizontal="center" vertical="center" wrapText="1"/>
    </xf>
    <xf numFmtId="4" fontId="30" fillId="0" borderId="0" xfId="0" quotePrefix="1" applyNumberFormat="1" applyFont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4" fontId="24" fillId="0" borderId="41" xfId="0" applyNumberFormat="1" applyFont="1" applyBorder="1" applyAlignment="1">
      <alignment vertical="center"/>
    </xf>
    <xf numFmtId="0" fontId="63" fillId="0" borderId="0" xfId="0" applyFont="1" applyAlignment="1">
      <alignment vertical="top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4" borderId="0" xfId="0" applyFont="1" applyFill="1"/>
    <xf numFmtId="0" fontId="63" fillId="0" borderId="0" xfId="0" applyFont="1" applyAlignment="1">
      <alignment vertical="center" wrapText="1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vertical="top" wrapText="1" indent="1"/>
    </xf>
    <xf numFmtId="2" fontId="49" fillId="0" borderId="0" xfId="0" applyNumberFormat="1" applyFont="1" applyAlignment="1">
      <alignment horizontal="left" vertical="center" wrapText="1"/>
    </xf>
    <xf numFmtId="4" fontId="24" fillId="0" borderId="0" xfId="0" quotePrefix="1" applyNumberFormat="1" applyFont="1" applyAlignment="1">
      <alignment horizontal="left" vertical="center"/>
    </xf>
    <xf numFmtId="0" fontId="19" fillId="6" borderId="0" xfId="0" applyFont="1" applyFill="1" applyAlignment="1">
      <alignment vertical="top" wrapText="1"/>
    </xf>
    <xf numFmtId="0" fontId="19" fillId="6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28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vertical="top" wrapText="1"/>
    </xf>
    <xf numFmtId="0" fontId="29" fillId="6" borderId="0" xfId="0" applyFont="1" applyFill="1" applyAlignment="1">
      <alignment vertical="top" wrapText="1"/>
    </xf>
    <xf numFmtId="2" fontId="65" fillId="6" borderId="0" xfId="0" applyNumberFormat="1" applyFont="1" applyFill="1" applyAlignment="1">
      <alignment horizontal="center" vertical="top" wrapText="1"/>
    </xf>
    <xf numFmtId="0" fontId="66" fillId="0" borderId="0" xfId="0" applyFont="1"/>
    <xf numFmtId="2" fontId="15" fillId="6" borderId="0" xfId="0" applyNumberFormat="1" applyFont="1" applyFill="1" applyAlignment="1">
      <alignment vertical="top" wrapText="1"/>
    </xf>
    <xf numFmtId="10" fontId="24" fillId="0" borderId="0" xfId="2" applyNumberFormat="1" applyFont="1" applyAlignment="1">
      <alignment vertical="center"/>
    </xf>
    <xf numFmtId="4" fontId="67" fillId="0" borderId="0" xfId="0" applyNumberFormat="1" applyFont="1" applyAlignment="1">
      <alignment vertical="center"/>
    </xf>
    <xf numFmtId="0" fontId="19" fillId="4" borderId="0" xfId="0" applyFont="1" applyFill="1" applyAlignment="1">
      <alignment vertical="top" wrapText="1"/>
    </xf>
    <xf numFmtId="0" fontId="15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9" fillId="6" borderId="0" xfId="0" applyNumberFormat="1" applyFont="1" applyFill="1" applyAlignment="1">
      <alignment horizontal="center" vertical="top" wrapText="1"/>
    </xf>
    <xf numFmtId="2" fontId="15" fillId="4" borderId="0" xfId="0" applyNumberFormat="1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68" fillId="4" borderId="0" xfId="0" applyFont="1" applyFill="1" applyAlignment="1">
      <alignment horizontal="center" vertical="center" wrapText="1"/>
    </xf>
    <xf numFmtId="0" fontId="68" fillId="4" borderId="0" xfId="0" applyFont="1" applyFill="1" applyAlignment="1">
      <alignment vertical="top" wrapText="1"/>
    </xf>
    <xf numFmtId="0" fontId="27" fillId="2" borderId="11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46" xfId="0" applyFont="1" applyFill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170" fontId="46" fillId="0" borderId="3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70" fontId="21" fillId="0" borderId="36" xfId="0" applyNumberFormat="1" applyFont="1" applyBorder="1" applyAlignment="1">
      <alignment horizontal="center"/>
    </xf>
    <xf numFmtId="17" fontId="21" fillId="0" borderId="17" xfId="0" applyNumberFormat="1" applyFont="1" applyBorder="1" applyAlignment="1">
      <alignment horizontal="center"/>
    </xf>
    <xf numFmtId="2" fontId="21" fillId="0" borderId="17" xfId="0" applyNumberFormat="1" applyFont="1" applyBorder="1" applyAlignment="1">
      <alignment horizontal="center"/>
    </xf>
    <xf numFmtId="0" fontId="70" fillId="0" borderId="0" xfId="0" applyFont="1"/>
    <xf numFmtId="0" fontId="21" fillId="0" borderId="19" xfId="0" applyFont="1" applyBorder="1" applyAlignment="1">
      <alignment horizontal="center"/>
    </xf>
    <xf numFmtId="17" fontId="21" fillId="0" borderId="20" xfId="0" applyNumberFormat="1" applyFont="1" applyBorder="1" applyAlignment="1">
      <alignment horizontal="center"/>
    </xf>
    <xf numFmtId="2" fontId="21" fillId="0" borderId="20" xfId="0" applyNumberFormat="1" applyFont="1" applyBorder="1" applyAlignment="1">
      <alignment horizontal="center"/>
    </xf>
    <xf numFmtId="170" fontId="21" fillId="0" borderId="39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17" fontId="21" fillId="0" borderId="24" xfId="0" applyNumberFormat="1" applyFont="1" applyBorder="1" applyAlignment="1">
      <alignment horizontal="center"/>
    </xf>
    <xf numFmtId="2" fontId="21" fillId="0" borderId="24" xfId="0" applyNumberFormat="1" applyFont="1" applyBorder="1" applyAlignment="1">
      <alignment horizontal="center"/>
    </xf>
    <xf numFmtId="170" fontId="21" fillId="0" borderId="40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17" fontId="21" fillId="0" borderId="28" xfId="0" applyNumberFormat="1" applyFont="1" applyBorder="1" applyAlignment="1">
      <alignment horizontal="center"/>
    </xf>
    <xf numFmtId="2" fontId="21" fillId="0" borderId="28" xfId="0" applyNumberFormat="1" applyFont="1" applyBorder="1" applyAlignment="1">
      <alignment horizontal="center"/>
    </xf>
    <xf numFmtId="170" fontId="21" fillId="0" borderId="55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7" fontId="21" fillId="0" borderId="32" xfId="0" applyNumberFormat="1" applyFont="1" applyBorder="1" applyAlignment="1">
      <alignment horizontal="center"/>
    </xf>
    <xf numFmtId="2" fontId="21" fillId="0" borderId="32" xfId="0" applyNumberFormat="1" applyFont="1" applyBorder="1" applyAlignment="1">
      <alignment horizontal="center"/>
    </xf>
    <xf numFmtId="170" fontId="21" fillId="0" borderId="57" xfId="0" applyNumberFormat="1" applyFont="1" applyBorder="1" applyAlignment="1">
      <alignment horizontal="center"/>
    </xf>
    <xf numFmtId="0" fontId="71" fillId="0" borderId="0" xfId="0" applyFont="1"/>
    <xf numFmtId="49" fontId="72" fillId="0" borderId="0" xfId="0" applyNumberFormat="1" applyFont="1"/>
    <xf numFmtId="2" fontId="15" fillId="0" borderId="0" xfId="0" applyNumberFormat="1" applyFont="1" applyAlignment="1">
      <alignment horizontal="center"/>
    </xf>
    <xf numFmtId="0" fontId="73" fillId="0" borderId="0" xfId="3" applyFont="1" applyAlignment="1" applyProtection="1"/>
    <xf numFmtId="0" fontId="21" fillId="0" borderId="2" xfId="0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72" fontId="21" fillId="0" borderId="14" xfId="0" applyNumberFormat="1" applyFont="1" applyBorder="1" applyAlignment="1">
      <alignment horizontal="center"/>
    </xf>
    <xf numFmtId="167" fontId="21" fillId="0" borderId="14" xfId="0" applyNumberFormat="1" applyFont="1" applyBorder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73" fontId="21" fillId="0" borderId="15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72" fontId="21" fillId="0" borderId="17" xfId="0" applyNumberFormat="1" applyFont="1" applyBorder="1" applyAlignment="1">
      <alignment horizontal="center"/>
    </xf>
    <xf numFmtId="167" fontId="21" fillId="0" borderId="17" xfId="0" applyNumberFormat="1" applyFont="1" applyBorder="1" applyAlignment="1">
      <alignment horizontal="center"/>
    </xf>
    <xf numFmtId="167" fontId="21" fillId="0" borderId="9" xfId="0" applyNumberFormat="1" applyFont="1" applyBorder="1" applyAlignment="1">
      <alignment horizontal="center"/>
    </xf>
    <xf numFmtId="173" fontId="21" fillId="0" borderId="18" xfId="0" applyNumberFormat="1" applyFont="1" applyBorder="1" applyAlignment="1">
      <alignment horizontal="center"/>
    </xf>
    <xf numFmtId="172" fontId="21" fillId="0" borderId="17" xfId="0" quotePrefix="1" applyNumberFormat="1" applyFont="1" applyBorder="1" applyAlignment="1">
      <alignment horizontal="center"/>
    </xf>
    <xf numFmtId="174" fontId="21" fillId="0" borderId="17" xfId="0" applyNumberFormat="1" applyFont="1" applyBorder="1" applyAlignment="1">
      <alignment horizontal="center"/>
    </xf>
    <xf numFmtId="174" fontId="21" fillId="0" borderId="20" xfId="0" applyNumberFormat="1" applyFont="1" applyBorder="1" applyAlignment="1">
      <alignment horizontal="center"/>
    </xf>
    <xf numFmtId="167" fontId="21" fillId="0" borderId="20" xfId="0" applyNumberFormat="1" applyFont="1" applyBorder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173" fontId="21" fillId="0" borderId="22" xfId="0" applyNumberFormat="1" applyFont="1" applyBorder="1" applyAlignment="1">
      <alignment horizontal="center"/>
    </xf>
    <xf numFmtId="174" fontId="21" fillId="0" borderId="24" xfId="0" applyNumberFormat="1" applyFont="1" applyBorder="1" applyAlignment="1">
      <alignment horizontal="center"/>
    </xf>
    <xf numFmtId="167" fontId="21" fillId="0" borderId="24" xfId="0" applyNumberFormat="1" applyFont="1" applyBorder="1" applyAlignment="1">
      <alignment horizontal="center"/>
    </xf>
    <xf numFmtId="167" fontId="21" fillId="0" borderId="25" xfId="0" applyNumberFormat="1" applyFont="1" applyBorder="1" applyAlignment="1">
      <alignment horizontal="center"/>
    </xf>
    <xf numFmtId="173" fontId="21" fillId="0" borderId="26" xfId="0" applyNumberFormat="1" applyFont="1" applyBorder="1" applyAlignment="1">
      <alignment horizontal="center"/>
    </xf>
    <xf numFmtId="2" fontId="40" fillId="0" borderId="0" xfId="0" applyNumberFormat="1" applyFont="1"/>
    <xf numFmtId="174" fontId="21" fillId="0" borderId="28" xfId="0" applyNumberFormat="1" applyFont="1" applyBorder="1" applyAlignment="1">
      <alignment horizontal="center"/>
    </xf>
    <xf numFmtId="167" fontId="21" fillId="0" borderId="28" xfId="0" applyNumberFormat="1" applyFont="1" applyBorder="1" applyAlignment="1">
      <alignment horizontal="center"/>
    </xf>
    <xf numFmtId="167" fontId="21" fillId="0" borderId="29" xfId="0" applyNumberFormat="1" applyFont="1" applyBorder="1" applyAlignment="1">
      <alignment horizontal="center"/>
    </xf>
    <xf numFmtId="173" fontId="21" fillId="0" borderId="30" xfId="0" applyNumberFormat="1" applyFont="1" applyBorder="1" applyAlignment="1">
      <alignment horizontal="center"/>
    </xf>
    <xf numFmtId="174" fontId="21" fillId="0" borderId="32" xfId="0" applyNumberFormat="1" applyFont="1" applyBorder="1" applyAlignment="1">
      <alignment horizontal="center"/>
    </xf>
    <xf numFmtId="167" fontId="21" fillId="0" borderId="32" xfId="0" applyNumberFormat="1" applyFont="1" applyBorder="1" applyAlignment="1">
      <alignment horizontal="center"/>
    </xf>
    <xf numFmtId="167" fontId="21" fillId="0" borderId="33" xfId="0" applyNumberFormat="1" applyFont="1" applyBorder="1" applyAlignment="1">
      <alignment horizontal="center"/>
    </xf>
    <xf numFmtId="173" fontId="21" fillId="0" borderId="34" xfId="0" applyNumberFormat="1" applyFont="1" applyBorder="1" applyAlignment="1">
      <alignment horizontal="center"/>
    </xf>
    <xf numFmtId="0" fontId="37" fillId="0" borderId="0" xfId="0" applyFont="1" applyAlignment="1">
      <alignment horizontal="left" vertical="center"/>
    </xf>
    <xf numFmtId="17" fontId="15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2" fontId="38" fillId="5" borderId="0" xfId="0" applyNumberFormat="1" applyFont="1" applyFill="1" applyAlignment="1">
      <alignment horizontal="center"/>
    </xf>
    <xf numFmtId="2" fontId="38" fillId="0" borderId="0" xfId="0" applyNumberFormat="1" applyFont="1" applyAlignment="1">
      <alignment horizontal="center"/>
    </xf>
    <xf numFmtId="170" fontId="38" fillId="0" borderId="0" xfId="0" applyNumberFormat="1" applyFont="1" applyAlignment="1">
      <alignment horizontal="center"/>
    </xf>
    <xf numFmtId="49" fontId="74" fillId="0" borderId="0" xfId="0" applyNumberFormat="1" applyFont="1"/>
    <xf numFmtId="49" fontId="68" fillId="0" borderId="0" xfId="0" applyNumberFormat="1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7" fontId="15" fillId="0" borderId="0" xfId="0" applyNumberFormat="1" applyFont="1" applyAlignment="1">
      <alignment horizontal="left"/>
    </xf>
    <xf numFmtId="0" fontId="38" fillId="0" borderId="0" xfId="0" applyFont="1"/>
    <xf numFmtId="0" fontId="15" fillId="0" borderId="0" xfId="0" quotePrefix="1" applyFont="1" applyAlignment="1">
      <alignment horizontal="left"/>
    </xf>
    <xf numFmtId="0" fontId="39" fillId="0" borderId="0" xfId="0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7" fillId="0" borderId="0" xfId="0" quotePrefix="1" applyFont="1" applyAlignment="1">
      <alignment vertical="center"/>
    </xf>
    <xf numFmtId="0" fontId="28" fillId="0" borderId="0" xfId="0" applyFont="1" applyAlignment="1">
      <alignment vertical="center" wrapText="1"/>
    </xf>
    <xf numFmtId="10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21" fillId="0" borderId="121" xfId="0" applyFont="1" applyBorder="1" applyAlignment="1">
      <alignment horizontal="center"/>
    </xf>
    <xf numFmtId="17" fontId="21" fillId="0" borderId="122" xfId="0" applyNumberFormat="1" applyFont="1" applyBorder="1" applyAlignment="1">
      <alignment horizontal="center"/>
    </xf>
    <xf numFmtId="2" fontId="21" fillId="0" borderId="122" xfId="0" applyNumberFormat="1" applyFont="1" applyBorder="1" applyAlignment="1">
      <alignment horizontal="center"/>
    </xf>
    <xf numFmtId="2" fontId="21" fillId="0" borderId="62" xfId="0" applyNumberFormat="1" applyFont="1" applyBorder="1" applyAlignment="1">
      <alignment horizontal="center"/>
    </xf>
    <xf numFmtId="175" fontId="21" fillId="0" borderId="123" xfId="0" applyNumberFormat="1" applyFont="1" applyBorder="1" applyAlignment="1">
      <alignment horizontal="center"/>
    </xf>
    <xf numFmtId="2" fontId="21" fillId="0" borderId="40" xfId="0" applyNumberFormat="1" applyFont="1" applyBorder="1" applyAlignment="1">
      <alignment horizontal="center"/>
    </xf>
    <xf numFmtId="10" fontId="38" fillId="0" borderId="0" xfId="0" applyNumberFormat="1" applyFont="1" applyAlignment="1">
      <alignment horizontal="center" vertical="center"/>
    </xf>
    <xf numFmtId="10" fontId="38" fillId="0" borderId="0" xfId="0" applyNumberFormat="1" applyFont="1"/>
    <xf numFmtId="10" fontId="38" fillId="0" borderId="0" xfId="0" applyNumberFormat="1" applyFont="1" applyAlignment="1">
      <alignment vertical="center"/>
    </xf>
    <xf numFmtId="10" fontId="15" fillId="0" borderId="0" xfId="0" applyNumberFormat="1" applyFont="1" applyAlignment="1">
      <alignment horizontal="center" vertical="center"/>
    </xf>
    <xf numFmtId="175" fontId="21" fillId="0" borderId="24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center" vertical="center"/>
    </xf>
    <xf numFmtId="175" fontId="21" fillId="0" borderId="0" xfId="0" applyNumberFormat="1" applyFont="1" applyAlignment="1">
      <alignment horizontal="center"/>
    </xf>
    <xf numFmtId="176" fontId="15" fillId="0" borderId="0" xfId="1" applyNumberFormat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" fontId="15" fillId="0" borderId="0" xfId="1" applyNumberFormat="1" applyFont="1" applyAlignment="1">
      <alignment horizontal="center"/>
    </xf>
    <xf numFmtId="175" fontId="21" fillId="0" borderId="28" xfId="0" applyNumberFormat="1" applyFont="1" applyBorder="1" applyAlignment="1">
      <alignment horizontal="center"/>
    </xf>
    <xf numFmtId="175" fontId="21" fillId="0" borderId="124" xfId="0" applyNumberFormat="1" applyFont="1" applyBorder="1" applyAlignment="1">
      <alignment horizontal="center"/>
    </xf>
    <xf numFmtId="2" fontId="21" fillId="0" borderId="55" xfId="0" applyNumberFormat="1" applyFont="1" applyBorder="1" applyAlignment="1">
      <alignment horizontal="center"/>
    </xf>
    <xf numFmtId="175" fontId="21" fillId="0" borderId="32" xfId="0" applyNumberFormat="1" applyFont="1" applyBorder="1" applyAlignment="1">
      <alignment horizontal="center"/>
    </xf>
    <xf numFmtId="2" fontId="21" fillId="0" borderId="57" xfId="0" applyNumberFormat="1" applyFont="1" applyBorder="1" applyAlignment="1">
      <alignment horizontal="center"/>
    </xf>
    <xf numFmtId="0" fontId="68" fillId="0" borderId="0" xfId="0" applyFont="1" applyAlignment="1">
      <alignment vertical="top"/>
    </xf>
    <xf numFmtId="43" fontId="15" fillId="0" borderId="0" xfId="0" applyNumberFormat="1" applyFont="1"/>
    <xf numFmtId="0" fontId="79" fillId="0" borderId="0" xfId="0" applyFont="1"/>
    <xf numFmtId="180" fontId="15" fillId="0" borderId="0" xfId="0" applyNumberFormat="1" applyFont="1"/>
    <xf numFmtId="0" fontId="30" fillId="0" borderId="10" xfId="4" applyFont="1" applyBorder="1" applyAlignment="1">
      <alignment horizontal="center" vertical="center"/>
    </xf>
    <xf numFmtId="0" fontId="34" fillId="0" borderId="21" xfId="4" applyFont="1" applyBorder="1"/>
    <xf numFmtId="167" fontId="34" fillId="0" borderId="25" xfId="4" applyNumberFormat="1" applyFont="1" applyBorder="1"/>
    <xf numFmtId="166" fontId="34" fillId="0" borderId="129" xfId="4" applyNumberFormat="1" applyFont="1" applyBorder="1" applyAlignment="1">
      <alignment horizontal="center" vertical="center"/>
    </xf>
    <xf numFmtId="166" fontId="34" fillId="0" borderId="130" xfId="4" applyNumberFormat="1" applyFont="1" applyBorder="1" applyAlignment="1">
      <alignment horizontal="center" vertical="center"/>
    </xf>
    <xf numFmtId="166" fontId="34" fillId="0" borderId="131" xfId="4" applyNumberFormat="1" applyFont="1" applyBorder="1" applyAlignment="1">
      <alignment horizontal="center" vertical="center"/>
    </xf>
    <xf numFmtId="166" fontId="34" fillId="0" borderId="132" xfId="4" applyNumberFormat="1" applyFont="1" applyBorder="1" applyAlignment="1">
      <alignment horizontal="center" vertical="center"/>
    </xf>
    <xf numFmtId="0" fontId="4" fillId="0" borderId="0" xfId="3" applyAlignment="1" applyProtection="1">
      <alignment horizontal="left" vertical="center"/>
    </xf>
    <xf numFmtId="44" fontId="15" fillId="0" borderId="0" xfId="8" applyFont="1" applyAlignment="1">
      <alignment vertical="center"/>
    </xf>
    <xf numFmtId="2" fontId="24" fillId="0" borderId="133" xfId="0" applyNumberFormat="1" applyFont="1" applyBorder="1" applyAlignment="1">
      <alignment horizontal="center" vertical="center" wrapText="1"/>
    </xf>
    <xf numFmtId="2" fontId="24" fillId="0" borderId="134" xfId="0" applyNumberFormat="1" applyFont="1" applyBorder="1" applyAlignment="1">
      <alignment horizontal="center" vertical="center" wrapText="1"/>
    </xf>
    <xf numFmtId="2" fontId="24" fillId="0" borderId="135" xfId="0" applyNumberFormat="1" applyFont="1" applyBorder="1" applyAlignment="1">
      <alignment horizontal="center" vertical="center" wrapText="1"/>
    </xf>
    <xf numFmtId="2" fontId="24" fillId="0" borderId="136" xfId="0" applyNumberFormat="1" applyFont="1" applyBorder="1" applyAlignment="1">
      <alignment horizontal="center" vertical="center" wrapText="1"/>
    </xf>
    <xf numFmtId="2" fontId="24" fillId="0" borderId="40" xfId="0" applyNumberFormat="1" applyFont="1" applyBorder="1" applyAlignment="1">
      <alignment horizontal="center" vertical="center" wrapText="1"/>
    </xf>
    <xf numFmtId="2" fontId="24" fillId="0" borderId="57" xfId="0" applyNumberFormat="1" applyFont="1" applyBorder="1" applyAlignment="1">
      <alignment horizontal="center" vertical="center" wrapText="1"/>
    </xf>
    <xf numFmtId="0" fontId="62" fillId="2" borderId="137" xfId="0" applyFont="1" applyFill="1" applyBorder="1" applyAlignment="1">
      <alignment horizontal="center" vertical="center" wrapText="1"/>
    </xf>
    <xf numFmtId="14" fontId="30" fillId="0" borderId="32" xfId="0" applyNumberFormat="1" applyFont="1" applyBorder="1" applyAlignment="1">
      <alignment horizontal="center" vertical="center"/>
    </xf>
    <xf numFmtId="14" fontId="30" fillId="0" borderId="32" xfId="0" applyNumberFormat="1" applyFont="1" applyBorder="1" applyAlignment="1">
      <alignment horizontal="left" vertical="center"/>
    </xf>
    <xf numFmtId="2" fontId="30" fillId="0" borderId="57" xfId="0" applyNumberFormat="1" applyFont="1" applyBorder="1" applyAlignment="1">
      <alignment horizontal="right" vertical="center"/>
    </xf>
    <xf numFmtId="167" fontId="21" fillId="0" borderId="140" xfId="0" applyNumberFormat="1" applyFont="1" applyBorder="1" applyAlignment="1">
      <alignment horizontal="center" vertical="center"/>
    </xf>
    <xf numFmtId="43" fontId="21" fillId="0" borderId="140" xfId="1" applyFont="1" applyBorder="1" applyAlignment="1">
      <alignment horizontal="center" vertical="center"/>
    </xf>
    <xf numFmtId="43" fontId="21" fillId="0" borderId="139" xfId="1" applyFont="1" applyBorder="1" applyAlignment="1">
      <alignment horizontal="center" vertical="center"/>
    </xf>
    <xf numFmtId="167" fontId="21" fillId="6" borderId="141" xfId="0" applyNumberFormat="1" applyFont="1" applyFill="1" applyBorder="1" applyAlignment="1">
      <alignment horizontal="center" vertical="center"/>
    </xf>
    <xf numFmtId="167" fontId="22" fillId="8" borderId="13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8" borderId="72" xfId="0" applyFont="1" applyFill="1" applyBorder="1" applyAlignment="1">
      <alignment horizontal="left" vertical="center"/>
    </xf>
    <xf numFmtId="0" fontId="2" fillId="8" borderId="76" xfId="0" applyFont="1" applyFill="1" applyBorder="1" applyAlignment="1">
      <alignment horizontal="left" vertical="center"/>
    </xf>
    <xf numFmtId="0" fontId="11" fillId="8" borderId="72" xfId="0" applyFont="1" applyFill="1" applyBorder="1" applyAlignment="1">
      <alignment horizontal="left" vertical="center"/>
    </xf>
    <xf numFmtId="0" fontId="11" fillId="8" borderId="76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26" fillId="2" borderId="2" xfId="4" applyFont="1" applyFill="1" applyBorder="1" applyAlignment="1">
      <alignment horizontal="center" vertical="center"/>
    </xf>
    <xf numFmtId="0" fontId="26" fillId="2" borderId="3" xfId="4" applyFont="1" applyFill="1" applyBorder="1" applyAlignment="1">
      <alignment horizontal="center" vertical="center"/>
    </xf>
    <xf numFmtId="0" fontId="26" fillId="2" borderId="4" xfId="4" applyFont="1" applyFill="1" applyBorder="1" applyAlignment="1">
      <alignment horizontal="center" vertical="center"/>
    </xf>
    <xf numFmtId="0" fontId="27" fillId="2" borderId="5" xfId="4" quotePrefix="1" applyFont="1" applyFill="1" applyBorder="1" applyAlignment="1">
      <alignment horizontal="center" vertical="center"/>
    </xf>
    <xf numFmtId="0" fontId="27" fillId="2" borderId="3" xfId="4" quotePrefix="1" applyFont="1" applyFill="1" applyBorder="1" applyAlignment="1">
      <alignment horizontal="center" vertical="center"/>
    </xf>
    <xf numFmtId="0" fontId="28" fillId="3" borderId="6" xfId="4" applyFont="1" applyFill="1" applyBorder="1" applyAlignment="1">
      <alignment horizontal="center" vertical="center"/>
    </xf>
    <xf numFmtId="0" fontId="28" fillId="3" borderId="7" xfId="4" applyFont="1" applyFill="1" applyBorder="1" applyAlignment="1">
      <alignment horizontal="center" vertical="center"/>
    </xf>
    <xf numFmtId="0" fontId="28" fillId="3" borderId="8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0" fontId="29" fillId="3" borderId="7" xfId="4" applyFont="1" applyFill="1" applyBorder="1" applyAlignment="1">
      <alignment horizontal="center" vertical="center"/>
    </xf>
    <xf numFmtId="0" fontId="28" fillId="3" borderId="127" xfId="4" applyFont="1" applyFill="1" applyBorder="1" applyAlignment="1">
      <alignment horizontal="center" vertical="center" wrapText="1"/>
    </xf>
    <xf numFmtId="0" fontId="28" fillId="3" borderId="128" xfId="4" applyFont="1" applyFill="1" applyBorder="1" applyAlignment="1">
      <alignment horizontal="center" vertical="center" wrapText="1"/>
    </xf>
    <xf numFmtId="0" fontId="27" fillId="2" borderId="41" xfId="0" quotePrefix="1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7" fillId="2" borderId="45" xfId="0" quotePrefix="1" applyFont="1" applyFill="1" applyBorder="1" applyAlignment="1">
      <alignment horizontal="center" vertical="center"/>
    </xf>
    <xf numFmtId="167" fontId="29" fillId="3" borderId="9" xfId="0" applyNumberFormat="1" applyFont="1" applyFill="1" applyBorder="1" applyAlignment="1">
      <alignment horizontal="center" vertical="center"/>
    </xf>
    <xf numFmtId="167" fontId="29" fillId="3" borderId="7" xfId="0" applyNumberFormat="1" applyFont="1" applyFill="1" applyBorder="1" applyAlignment="1">
      <alignment horizontal="center" vertical="center"/>
    </xf>
    <xf numFmtId="167" fontId="29" fillId="3" borderId="8" xfId="0" applyNumberFormat="1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54" fillId="2" borderId="72" xfId="0" applyFont="1" applyFill="1" applyBorder="1" applyAlignment="1">
      <alignment horizontal="center" vertical="center" textRotation="90" wrapText="1"/>
    </xf>
    <xf numFmtId="0" fontId="54" fillId="2" borderId="74" xfId="0" applyFont="1" applyFill="1" applyBorder="1" applyAlignment="1">
      <alignment horizontal="center" vertical="center" textRotation="90" wrapText="1"/>
    </xf>
    <xf numFmtId="0" fontId="54" fillId="2" borderId="76" xfId="0" applyFont="1" applyFill="1" applyBorder="1" applyAlignment="1">
      <alignment horizontal="center" vertical="center" textRotation="90" wrapText="1"/>
    </xf>
    <xf numFmtId="0" fontId="53" fillId="2" borderId="2" xfId="0" applyFont="1" applyFill="1" applyBorder="1" applyAlignment="1">
      <alignment horizontal="center" vertical="center" textRotation="90" wrapText="1"/>
    </xf>
    <xf numFmtId="0" fontId="53" fillId="2" borderId="16" xfId="0" applyFont="1" applyFill="1" applyBorder="1" applyAlignment="1">
      <alignment horizontal="center" vertical="center" textRotation="90" wrapText="1"/>
    </xf>
    <xf numFmtId="0" fontId="53" fillId="2" borderId="37" xfId="0" applyFont="1" applyFill="1" applyBorder="1" applyAlignment="1">
      <alignment horizontal="center" vertical="center" textRotation="90" wrapText="1"/>
    </xf>
    <xf numFmtId="0" fontId="26" fillId="2" borderId="58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53" fillId="2" borderId="66" xfId="0" applyFont="1" applyFill="1" applyBorder="1" applyAlignment="1">
      <alignment horizontal="center" vertical="center" textRotation="90" wrapText="1"/>
    </xf>
    <xf numFmtId="0" fontId="53" fillId="3" borderId="2" xfId="0" applyFont="1" applyFill="1" applyBorder="1" applyAlignment="1">
      <alignment horizontal="center" vertical="center" textRotation="90" wrapText="1"/>
    </xf>
    <xf numFmtId="49" fontId="53" fillId="3" borderId="16" xfId="0" applyNumberFormat="1" applyFont="1" applyFill="1" applyBorder="1" applyAlignment="1">
      <alignment horizontal="center" vertical="center" textRotation="90" wrapText="1"/>
    </xf>
    <xf numFmtId="49" fontId="53" fillId="3" borderId="37" xfId="0" applyNumberFormat="1" applyFont="1" applyFill="1" applyBorder="1" applyAlignment="1">
      <alignment horizontal="center" vertical="center" textRotation="90" wrapText="1"/>
    </xf>
    <xf numFmtId="49" fontId="53" fillId="2" borderId="16" xfId="0" applyNumberFormat="1" applyFont="1" applyFill="1" applyBorder="1" applyAlignment="1">
      <alignment horizontal="center" vertical="center" textRotation="90" wrapText="1"/>
    </xf>
    <xf numFmtId="49" fontId="53" fillId="2" borderId="37" xfId="0" applyNumberFormat="1" applyFont="1" applyFill="1" applyBorder="1" applyAlignment="1">
      <alignment horizontal="center" vertical="center" textRotation="90" wrapText="1"/>
    </xf>
    <xf numFmtId="0" fontId="53" fillId="3" borderId="16" xfId="0" applyFont="1" applyFill="1" applyBorder="1" applyAlignment="1">
      <alignment horizontal="center" vertical="center" textRotation="90" wrapText="1"/>
    </xf>
    <xf numFmtId="0" fontId="53" fillId="3" borderId="37" xfId="0" applyFont="1" applyFill="1" applyBorder="1" applyAlignment="1">
      <alignment horizontal="center" vertical="center" textRotation="90" wrapText="1"/>
    </xf>
    <xf numFmtId="0" fontId="53" fillId="3" borderId="72" xfId="0" applyFont="1" applyFill="1" applyBorder="1" applyAlignment="1">
      <alignment horizontal="center" vertical="center" textRotation="90" wrapText="1"/>
    </xf>
    <xf numFmtId="0" fontId="53" fillId="3" borderId="74" xfId="0" applyFont="1" applyFill="1" applyBorder="1" applyAlignment="1">
      <alignment horizontal="center" vertical="center" textRotation="90" wrapText="1"/>
    </xf>
    <xf numFmtId="0" fontId="53" fillId="3" borderId="76" xfId="0" applyFont="1" applyFill="1" applyBorder="1" applyAlignment="1">
      <alignment horizontal="center" vertical="center" textRotation="90" wrapText="1"/>
    </xf>
    <xf numFmtId="0" fontId="53" fillId="2" borderId="72" xfId="0" applyFont="1" applyFill="1" applyBorder="1" applyAlignment="1">
      <alignment horizontal="center" vertical="center" textRotation="90" wrapText="1"/>
    </xf>
    <xf numFmtId="0" fontId="53" fillId="2" borderId="74" xfId="0" applyFont="1" applyFill="1" applyBorder="1" applyAlignment="1">
      <alignment horizontal="center" vertical="center" textRotation="90" wrapText="1"/>
    </xf>
    <xf numFmtId="0" fontId="53" fillId="2" borderId="76" xfId="0" applyFont="1" applyFill="1" applyBorder="1" applyAlignment="1">
      <alignment horizontal="center" vertical="center" textRotation="90" wrapText="1"/>
    </xf>
    <xf numFmtId="0" fontId="54" fillId="2" borderId="81" xfId="0" applyFont="1" applyFill="1" applyBorder="1" applyAlignment="1">
      <alignment horizontal="center" vertical="center" textRotation="90" wrapText="1"/>
    </xf>
    <xf numFmtId="0" fontId="54" fillId="2" borderId="82" xfId="0" applyFont="1" applyFill="1" applyBorder="1" applyAlignment="1">
      <alignment horizontal="center" vertical="center" textRotation="90" wrapText="1"/>
    </xf>
    <xf numFmtId="0" fontId="29" fillId="2" borderId="2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56" fillId="3" borderId="36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" fontId="60" fillId="0" borderId="0" xfId="0" applyNumberFormat="1" applyFont="1" applyAlignment="1">
      <alignment horizontal="center" vertical="center"/>
    </xf>
    <xf numFmtId="4" fontId="61" fillId="3" borderId="83" xfId="0" quotePrefix="1" applyNumberFormat="1" applyFont="1" applyFill="1" applyBorder="1" applyAlignment="1">
      <alignment horizontal="center" vertical="center" wrapText="1"/>
    </xf>
    <xf numFmtId="4" fontId="61" fillId="3" borderId="0" xfId="0" quotePrefix="1" applyNumberFormat="1" applyFont="1" applyFill="1" applyAlignment="1">
      <alignment horizontal="center" vertical="center" wrapText="1"/>
    </xf>
    <xf numFmtId="0" fontId="69" fillId="2" borderId="2" xfId="0" applyFont="1" applyFill="1" applyBorder="1" applyAlignment="1">
      <alignment horizontal="center"/>
    </xf>
    <xf numFmtId="0" fontId="69" fillId="2" borderId="14" xfId="0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3" borderId="36" xfId="0" applyFont="1" applyFill="1" applyBorder="1" applyAlignment="1">
      <alignment horizontal="center"/>
    </xf>
    <xf numFmtId="0" fontId="39" fillId="0" borderId="0" xfId="0" quotePrefix="1" applyFont="1" applyAlignment="1">
      <alignment horizontal="center" vertical="center" wrapText="1"/>
    </xf>
    <xf numFmtId="0" fontId="39" fillId="0" borderId="1" xfId="0" quotePrefix="1" applyFont="1" applyBorder="1" applyAlignment="1">
      <alignment horizontal="center" vertical="center" wrapText="1"/>
    </xf>
    <xf numFmtId="2" fontId="30" fillId="0" borderId="117" xfId="0" applyNumberFormat="1" applyFont="1" applyBorder="1" applyAlignment="1">
      <alignment horizontal="center" vertical="center"/>
    </xf>
    <xf numFmtId="2" fontId="30" fillId="0" borderId="120" xfId="0" applyNumberFormat="1" applyFont="1" applyBorder="1" applyAlignment="1">
      <alignment horizontal="center" vertical="center"/>
    </xf>
    <xf numFmtId="0" fontId="75" fillId="0" borderId="0" xfId="0" quotePrefix="1" applyFont="1" applyAlignment="1">
      <alignment horizontal="center" vertical="center" wrapText="1"/>
    </xf>
    <xf numFmtId="0" fontId="75" fillId="0" borderId="1" xfId="0" quotePrefix="1" applyFont="1" applyBorder="1" applyAlignment="1">
      <alignment horizontal="center" vertical="center" wrapText="1"/>
    </xf>
    <xf numFmtId="0" fontId="29" fillId="3" borderId="114" xfId="0" applyFont="1" applyFill="1" applyBorder="1" applyAlignment="1">
      <alignment horizontal="center" vertical="center"/>
    </xf>
    <xf numFmtId="17" fontId="30" fillId="0" borderId="115" xfId="0" applyNumberFormat="1" applyFont="1" applyBorder="1" applyAlignment="1">
      <alignment horizontal="center" vertical="center"/>
    </xf>
    <xf numFmtId="17" fontId="30" fillId="0" borderId="118" xfId="0" applyNumberFormat="1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2" fontId="30" fillId="0" borderId="116" xfId="0" applyNumberFormat="1" applyFont="1" applyBorder="1" applyAlignment="1">
      <alignment horizontal="center" vertical="center"/>
    </xf>
    <xf numFmtId="2" fontId="30" fillId="0" borderId="119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4" fontId="31" fillId="0" borderId="0" xfId="0" applyNumberFormat="1" applyFont="1" applyBorder="1" applyAlignment="1">
      <alignment horizontal="center"/>
    </xf>
    <xf numFmtId="167" fontId="31" fillId="0" borderId="0" xfId="0" applyNumberFormat="1" applyFont="1" applyBorder="1" applyAlignment="1">
      <alignment horizontal="center"/>
    </xf>
    <xf numFmtId="166" fontId="31" fillId="0" borderId="0" xfId="0" applyNumberFormat="1" applyFont="1" applyBorder="1" applyAlignment="1">
      <alignment horizontal="center"/>
    </xf>
    <xf numFmtId="49" fontId="31" fillId="0" borderId="143" xfId="0" applyNumberFormat="1" applyFont="1" applyBorder="1" applyAlignment="1">
      <alignment horizontal="center"/>
    </xf>
    <xf numFmtId="4" fontId="31" fillId="0" borderId="143" xfId="0" applyNumberFormat="1" applyFont="1" applyBorder="1" applyAlignment="1">
      <alignment horizontal="center"/>
    </xf>
    <xf numFmtId="167" fontId="31" fillId="0" borderId="143" xfId="0" applyNumberFormat="1" applyFont="1" applyBorder="1" applyAlignment="1">
      <alignment horizontal="center"/>
    </xf>
    <xf numFmtId="167" fontId="31" fillId="0" borderId="142" xfId="0" applyNumberFormat="1" applyFont="1" applyBorder="1" applyAlignment="1">
      <alignment horizontal="center"/>
    </xf>
    <xf numFmtId="183" fontId="38" fillId="0" borderId="0" xfId="0" applyNumberFormat="1" applyFont="1" applyAlignment="1">
      <alignment vertical="center"/>
    </xf>
    <xf numFmtId="10" fontId="15" fillId="0" borderId="0" xfId="2" applyNumberFormat="1" applyFont="1"/>
    <xf numFmtId="0" fontId="53" fillId="9" borderId="81" xfId="0" applyFont="1" applyFill="1" applyBorder="1" applyAlignment="1">
      <alignment horizontal="center" vertical="center" textRotation="90" wrapText="1"/>
    </xf>
    <xf numFmtId="0" fontId="53" fillId="9" borderId="82" xfId="0" applyFont="1" applyFill="1" applyBorder="1" applyAlignment="1">
      <alignment horizontal="center" vertical="center" textRotation="90" wrapText="1"/>
    </xf>
  </cellXfs>
  <cellStyles count="9">
    <cellStyle name="Hiperlink" xfId="3" builtinId="8"/>
    <cellStyle name="Moeda" xfId="8" builtinId="4"/>
    <cellStyle name="Normal" xfId="0" builtinId="0"/>
    <cellStyle name="Normal 2" xfId="7" xr:uid="{37B74C69-B1AC-425D-9860-1E99EA5D72DB}"/>
    <cellStyle name="Normal 7" xfId="4" xr:uid="{847AAB2D-FBB6-45F6-92C6-47CC8A258D86}"/>
    <cellStyle name="Normal_ipca_201707SerieHist" xfId="5" xr:uid="{89F94805-36E1-44E9-A0F5-A25E920F5E8C}"/>
    <cellStyle name="Porcentagem" xfId="2" builtinId="5"/>
    <cellStyle name="Porcentagem 2" xfId="6" xr:uid="{442730E3-527D-4346-BD1C-28F94B67AFC5}"/>
    <cellStyle name="Vírgula" xfId="1" builtinId="3"/>
  </cellStyles>
  <dxfs count="0"/>
  <tableStyles count="0" defaultTableStyle="TableStyleMedium2" defaultPivotStyle="PivotStyleLight16"/>
  <colors>
    <mruColors>
      <color rgb="FF184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375</xdr:row>
      <xdr:rowOff>0</xdr:rowOff>
    </xdr:from>
    <xdr:to>
      <xdr:col>9</xdr:col>
      <xdr:colOff>9525</xdr:colOff>
      <xdr:row>375</xdr:row>
      <xdr:rowOff>9525</xdr:rowOff>
    </xdr:to>
    <xdr:pic>
      <xdr:nvPicPr>
        <xdr:cNvPr id="2" name="xgdvConsulta_IADD" descr="Down Arrow">
          <a:extLst>
            <a:ext uri="{FF2B5EF4-FFF2-40B4-BE49-F238E27FC236}">
              <a16:creationId xmlns:a16="http://schemas.microsoft.com/office/drawing/2014/main" id="{8D5C7F96-078E-3832-FAE7-2833C88A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375</xdr:row>
      <xdr:rowOff>0</xdr:rowOff>
    </xdr:from>
    <xdr:to>
      <xdr:col>9</xdr:col>
      <xdr:colOff>9525</xdr:colOff>
      <xdr:row>375</xdr:row>
      <xdr:rowOff>9525</xdr:rowOff>
    </xdr:to>
    <xdr:pic>
      <xdr:nvPicPr>
        <xdr:cNvPr id="3" name="xgdvConsulta_IADU" descr="Up Arrow">
          <a:extLst>
            <a:ext uri="{FF2B5EF4-FFF2-40B4-BE49-F238E27FC236}">
              <a16:creationId xmlns:a16="http://schemas.microsoft.com/office/drawing/2014/main" id="{3836E2F1-2531-56E7-3470-612A1403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375</xdr:row>
      <xdr:rowOff>0</xdr:rowOff>
    </xdr:from>
    <xdr:to>
      <xdr:col>9</xdr:col>
      <xdr:colOff>9525</xdr:colOff>
      <xdr:row>375</xdr:row>
      <xdr:rowOff>9525</xdr:rowOff>
    </xdr:to>
    <xdr:pic>
      <xdr:nvPicPr>
        <xdr:cNvPr id="4" name="xgdvConsulta_IADL" descr="Left Arrow">
          <a:extLst>
            <a:ext uri="{FF2B5EF4-FFF2-40B4-BE49-F238E27FC236}">
              <a16:creationId xmlns:a16="http://schemas.microsoft.com/office/drawing/2014/main" id="{9AAAAF58-457E-4632-244E-610519DE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375</xdr:row>
      <xdr:rowOff>0</xdr:rowOff>
    </xdr:from>
    <xdr:to>
      <xdr:col>9</xdr:col>
      <xdr:colOff>9525</xdr:colOff>
      <xdr:row>375</xdr:row>
      <xdr:rowOff>9525</xdr:rowOff>
    </xdr:to>
    <xdr:pic>
      <xdr:nvPicPr>
        <xdr:cNvPr id="5" name="xgdvConsulta_IADR" descr="Right Arrow">
          <a:extLst>
            <a:ext uri="{FF2B5EF4-FFF2-40B4-BE49-F238E27FC236}">
              <a16:creationId xmlns:a16="http://schemas.microsoft.com/office/drawing/2014/main" id="{AAD1CF27-BE57-342D-8355-696E3F95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7138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383</xdr:row>
      <xdr:rowOff>0</xdr:rowOff>
    </xdr:from>
    <xdr:to>
      <xdr:col>8</xdr:col>
      <xdr:colOff>9525</xdr:colOff>
      <xdr:row>383</xdr:row>
      <xdr:rowOff>9525</xdr:rowOff>
    </xdr:to>
    <xdr:pic>
      <xdr:nvPicPr>
        <xdr:cNvPr id="2" name="xgdvConsulta_IADD" descr="Down Arrow">
          <a:extLst>
            <a:ext uri="{FF2B5EF4-FFF2-40B4-BE49-F238E27FC236}">
              <a16:creationId xmlns:a16="http://schemas.microsoft.com/office/drawing/2014/main" id="{F85244CA-4991-42E8-DDA3-4BE3A1FD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5690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383</xdr:row>
      <xdr:rowOff>0</xdr:rowOff>
    </xdr:from>
    <xdr:to>
      <xdr:col>8</xdr:col>
      <xdr:colOff>9525</xdr:colOff>
      <xdr:row>383</xdr:row>
      <xdr:rowOff>9525</xdr:rowOff>
    </xdr:to>
    <xdr:pic>
      <xdr:nvPicPr>
        <xdr:cNvPr id="3" name="xgdvConsulta_IADU" descr="Up Arrow">
          <a:extLst>
            <a:ext uri="{FF2B5EF4-FFF2-40B4-BE49-F238E27FC236}">
              <a16:creationId xmlns:a16="http://schemas.microsoft.com/office/drawing/2014/main" id="{2D30EEE9-0419-16F0-9F2A-43835AB4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35690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383</xdr:row>
      <xdr:rowOff>0</xdr:rowOff>
    </xdr:from>
    <xdr:to>
      <xdr:col>8</xdr:col>
      <xdr:colOff>9525</xdr:colOff>
      <xdr:row>383</xdr:row>
      <xdr:rowOff>9525</xdr:rowOff>
    </xdr:to>
    <xdr:pic>
      <xdr:nvPicPr>
        <xdr:cNvPr id="4" name="xgdvConsulta_IADL" descr="Left Arrow">
          <a:extLst>
            <a:ext uri="{FF2B5EF4-FFF2-40B4-BE49-F238E27FC236}">
              <a16:creationId xmlns:a16="http://schemas.microsoft.com/office/drawing/2014/main" id="{2545F3C9-6EBB-BAEE-2E2E-34513717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5690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383</xdr:row>
      <xdr:rowOff>0</xdr:rowOff>
    </xdr:from>
    <xdr:to>
      <xdr:col>8</xdr:col>
      <xdr:colOff>9525</xdr:colOff>
      <xdr:row>383</xdr:row>
      <xdr:rowOff>9525</xdr:rowOff>
    </xdr:to>
    <xdr:pic>
      <xdr:nvPicPr>
        <xdr:cNvPr id="5" name="xgdvConsulta_IADR" descr="Right Arrow">
          <a:extLst>
            <a:ext uri="{FF2B5EF4-FFF2-40B4-BE49-F238E27FC236}">
              <a16:creationId xmlns:a16="http://schemas.microsoft.com/office/drawing/2014/main" id="{8FE84752-65F7-B78D-EBF2-B4CCD8B9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5690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U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INDTRANS\INDIPRE_0125.xlsx" TargetMode="External"/><Relationship Id="rId1" Type="http://schemas.openxmlformats.org/officeDocument/2006/relationships/externalLinkPath" Target="INDIPRE_01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_DECO\INSUMOS\EVI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SUMOS/EVINSU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  <sheetName val="Planilha1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54">
          <cell r="E354">
            <v>-0.63052498795641565</v>
          </cell>
        </row>
        <row r="382">
          <cell r="D382">
            <v>1039.980189708735</v>
          </cell>
          <cell r="E382">
            <v>-0.19067417878178006</v>
          </cell>
          <cell r="F382">
            <v>1.9079333360807471</v>
          </cell>
          <cell r="G382">
            <v>6.1875191485295522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3">
          <cell r="C23">
            <v>4.0427999999999997</v>
          </cell>
        </row>
      </sheetData>
      <sheetData sheetId="1">
        <row r="22">
          <cell r="C22">
            <v>3.9796</v>
          </cell>
        </row>
      </sheetData>
      <sheetData sheetId="2">
        <row r="25">
          <cell r="C25">
            <v>3.5589</v>
          </cell>
        </row>
      </sheetData>
      <sheetData sheetId="3">
        <row r="23">
          <cell r="C23">
            <v>3.4508000000000001</v>
          </cell>
        </row>
      </sheetData>
      <sheetData sheetId="4">
        <row r="24">
          <cell r="C24">
            <v>3.5951</v>
          </cell>
        </row>
      </sheetData>
      <sheetData sheetId="5">
        <row r="25">
          <cell r="C25">
            <v>3.2098</v>
          </cell>
        </row>
      </sheetData>
      <sheetData sheetId="6">
        <row r="24">
          <cell r="C24">
            <v>3.2389999999999999</v>
          </cell>
        </row>
      </sheetData>
      <sheetData sheetId="7">
        <row r="26">
          <cell r="C26">
            <v>3.2403</v>
          </cell>
        </row>
      </sheetData>
      <sheetData sheetId="8">
        <row r="25">
          <cell r="C25">
            <v>3.2563714285714291</v>
          </cell>
        </row>
      </sheetData>
      <sheetData sheetId="9">
        <row r="23">
          <cell r="C23">
            <v>3.1810999999999998</v>
          </cell>
        </row>
      </sheetData>
      <sheetData sheetId="10">
        <row r="23">
          <cell r="C23">
            <v>3.3967000000000001</v>
          </cell>
        </row>
      </sheetData>
      <sheetData sheetId="11">
        <row r="25">
          <cell r="C25">
            <v>3.2591000000000001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3.1269999999999998</v>
          </cell>
        </row>
      </sheetData>
      <sheetData sheetId="1">
        <row r="21">
          <cell r="C21">
            <v>3.0992999999999999</v>
          </cell>
        </row>
      </sheetData>
      <sheetData sheetId="2">
        <row r="26">
          <cell r="C26">
            <v>3.1684000000000001</v>
          </cell>
        </row>
      </sheetData>
      <sheetData sheetId="3">
        <row r="21">
          <cell r="C21">
            <v>3.1983999999999999</v>
          </cell>
        </row>
      </sheetData>
      <sheetData sheetId="4">
        <row r="25">
          <cell r="C25">
            <v>3.2437</v>
          </cell>
        </row>
      </sheetData>
      <sheetData sheetId="5">
        <row r="24">
          <cell r="C24">
            <v>3.3081999999999998</v>
          </cell>
        </row>
      </sheetData>
      <sheetData sheetId="6">
        <row r="24">
          <cell r="C24">
            <v>3.1307</v>
          </cell>
        </row>
      </sheetData>
      <sheetData sheetId="7">
        <row r="26">
          <cell r="C26">
            <v>3.1471</v>
          </cell>
        </row>
      </sheetData>
      <sheetData sheetId="8">
        <row r="23">
          <cell r="C23">
            <v>3.1680000000000001</v>
          </cell>
        </row>
      </sheetData>
      <sheetData sheetId="9">
        <row r="24">
          <cell r="C24">
            <v>3.2768999999999999</v>
          </cell>
        </row>
      </sheetData>
      <sheetData sheetId="10">
        <row r="23">
          <cell r="C23">
            <v>3.2616000000000001</v>
          </cell>
        </row>
      </sheetData>
      <sheetData sheetId="11">
        <row r="23">
          <cell r="C23">
            <v>3.3079999999999998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3.1623999999999999</v>
          </cell>
        </row>
      </sheetData>
      <sheetData sheetId="1">
        <row r="21">
          <cell r="C21">
            <v>3.2448999999999999</v>
          </cell>
        </row>
      </sheetData>
      <sheetData sheetId="2">
        <row r="24">
          <cell r="C24">
            <v>3.3237999999999999</v>
          </cell>
        </row>
      </sheetData>
      <sheetData sheetId="3">
        <row r="24">
          <cell r="C24">
            <v>3.4811000000000001</v>
          </cell>
        </row>
      </sheetData>
      <sheetData sheetId="4">
        <row r="24">
          <cell r="C24">
            <v>3.7370000000000001</v>
          </cell>
        </row>
      </sheetData>
      <sheetData sheetId="5">
        <row r="24">
          <cell r="C24">
            <v>3.8557999999999999</v>
          </cell>
        </row>
      </sheetData>
      <sheetData sheetId="6">
        <row r="25">
          <cell r="C25">
            <v>3.7549000000000001</v>
          </cell>
        </row>
      </sheetData>
      <sheetData sheetId="7">
        <row r="26">
          <cell r="C26">
            <v>4.1353</v>
          </cell>
        </row>
      </sheetData>
      <sheetData sheetId="8">
        <row r="22">
          <cell r="C22">
            <v>4.0038999999999998</v>
          </cell>
        </row>
      </sheetData>
      <sheetData sheetId="9">
        <row r="25">
          <cell r="C25">
            <v>3.7176999999999998</v>
          </cell>
        </row>
      </sheetData>
      <sheetData sheetId="10">
        <row r="23">
          <cell r="C23">
            <v>3.8633000000000002</v>
          </cell>
        </row>
      </sheetData>
      <sheetData sheetId="11">
        <row r="23">
          <cell r="C23">
            <v>3.8748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3.7151000000000001</v>
          </cell>
        </row>
      </sheetData>
      <sheetData sheetId="1">
        <row r="23">
          <cell r="C23">
            <v>3.7385000000000002</v>
          </cell>
        </row>
      </sheetData>
      <sheetData sheetId="2">
        <row r="22">
          <cell r="C22">
            <v>3.8967000000000001</v>
          </cell>
        </row>
      </sheetData>
      <sheetData sheetId="3">
        <row r="24">
          <cell r="C24">
            <v>3.9453</v>
          </cell>
        </row>
      </sheetData>
      <sheetData sheetId="4">
        <row r="25">
          <cell r="C25">
            <v>3.9407000000000001</v>
          </cell>
        </row>
      </sheetData>
      <sheetData sheetId="5">
        <row r="22">
          <cell r="C22">
            <v>3.8321999999999998</v>
          </cell>
        </row>
      </sheetData>
      <sheetData sheetId="6">
        <row r="26">
          <cell r="C26">
            <v>3.7648999999999999</v>
          </cell>
        </row>
      </sheetData>
      <sheetData sheetId="7">
        <row r="25">
          <cell r="C25">
            <v>4.1384999999999996</v>
          </cell>
        </row>
      </sheetData>
      <sheetData sheetId="8">
        <row r="24">
          <cell r="C24">
            <v>4.1643999999999997</v>
          </cell>
        </row>
      </sheetData>
      <sheetData sheetId="9">
        <row r="26">
          <cell r="C26">
            <v>4.0041000000000002</v>
          </cell>
        </row>
      </sheetData>
      <sheetData sheetId="10">
        <row r="23">
          <cell r="C23">
            <v>4.2240000000000002</v>
          </cell>
        </row>
      </sheetData>
      <sheetData sheetId="11">
        <row r="24">
          <cell r="C24">
            <v>4.0307000000000004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Setembr0"/>
    </sheetNames>
    <sheetDataSet>
      <sheetData sheetId="0">
        <row r="25">
          <cell r="C25">
            <v>4.2694999999999999</v>
          </cell>
        </row>
      </sheetData>
      <sheetData sheetId="1">
        <row r="21">
          <cell r="C21">
            <v>4.4987000000000004</v>
          </cell>
        </row>
      </sheetData>
      <sheetData sheetId="2">
        <row r="25">
          <cell r="C25">
            <v>5.1986999999999997</v>
          </cell>
        </row>
      </sheetData>
      <sheetData sheetId="3">
        <row r="23">
          <cell r="C23">
            <v>5.4269999999999996</v>
          </cell>
        </row>
      </sheetData>
      <sheetData sheetId="4">
        <row r="23">
          <cell r="C23">
            <v>5.4263000000000003</v>
          </cell>
        </row>
      </sheetData>
      <sheetData sheetId="5">
        <row r="24">
          <cell r="C24">
            <v>5.476</v>
          </cell>
        </row>
      </sheetData>
      <sheetData sheetId="6">
        <row r="26">
          <cell r="C26">
            <v>5.2032999999999996</v>
          </cell>
        </row>
      </sheetData>
      <sheetData sheetId="7">
        <row r="24">
          <cell r="C24">
            <v>5.4713000000000003</v>
          </cell>
        </row>
      </sheetData>
      <sheetData sheetId="8">
        <row r="24">
          <cell r="C24">
            <v>5.6406999999999998</v>
          </cell>
        </row>
      </sheetData>
      <sheetData sheetId="9">
        <row r="24">
          <cell r="C24">
            <v>5.7717999999999998</v>
          </cell>
        </row>
      </sheetData>
      <sheetData sheetId="10">
        <row r="23">
          <cell r="C23">
            <v>5.3316999999999997</v>
          </cell>
        </row>
      </sheetData>
      <sheetData sheetId="11">
        <row r="25">
          <cell r="C25">
            <v>5.1966999999999999</v>
          </cell>
        </row>
      </sheetData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3">
          <cell r="C23">
            <v>5.4759000000000002</v>
          </cell>
        </row>
      </sheetData>
      <sheetData sheetId="1">
        <row r="21">
          <cell r="C21">
            <v>5.5301999999999998</v>
          </cell>
        </row>
      </sheetData>
      <sheetData sheetId="2">
        <row r="26">
          <cell r="C26">
            <v>5.6973000000000003</v>
          </cell>
        </row>
      </sheetData>
      <sheetData sheetId="3">
        <row r="23">
          <cell r="C23">
            <v>5.4036</v>
          </cell>
        </row>
      </sheetData>
      <sheetData sheetId="4">
        <row r="24">
          <cell r="C24">
            <v>5.2321999999999997</v>
          </cell>
        </row>
      </sheetData>
      <sheetData sheetId="5">
        <row r="24">
          <cell r="C24">
            <v>5.0022000000000002</v>
          </cell>
        </row>
      </sheetData>
      <sheetData sheetId="6">
        <row r="25">
          <cell r="C25">
            <v>5.1215999999999999</v>
          </cell>
        </row>
      </sheetData>
      <sheetData sheetId="7">
        <row r="25">
          <cell r="C25">
            <v>5.1433</v>
          </cell>
        </row>
      </sheetData>
      <sheetData sheetId="8">
        <row r="24">
          <cell r="C24">
            <v>5.4394</v>
          </cell>
        </row>
      </sheetData>
      <sheetData sheetId="9">
        <row r="23">
          <cell r="C23">
            <v>5.6429999999999998</v>
          </cell>
        </row>
      </sheetData>
      <sheetData sheetId="10">
        <row r="23">
          <cell r="C23">
            <v>5.6199000000000003</v>
          </cell>
        </row>
      </sheetData>
      <sheetData sheetId="11">
        <row r="26">
          <cell r="C26">
            <v>5.5804999999999998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5.3574000000000002</v>
          </cell>
        </row>
      </sheetData>
      <sheetData sheetId="1">
        <row r="22">
          <cell r="C22">
            <v>5.1394000000000002</v>
          </cell>
        </row>
      </sheetData>
      <sheetData sheetId="2">
        <row r="25">
          <cell r="C25">
            <v>4.7378</v>
          </cell>
        </row>
      </sheetData>
      <sheetData sheetId="3">
        <row r="22">
          <cell r="C22">
            <v>4.9191000000000003</v>
          </cell>
        </row>
      </sheetData>
      <sheetData sheetId="4">
        <row r="25">
          <cell r="C25">
            <v>4.7289000000000003</v>
          </cell>
        </row>
      </sheetData>
      <sheetData sheetId="5">
        <row r="24">
          <cell r="C24">
            <v>5.2380000000000004</v>
          </cell>
        </row>
      </sheetData>
      <sheetData sheetId="6">
        <row r="24">
          <cell r="C24">
            <v>5.1883999999999997</v>
          </cell>
        </row>
      </sheetData>
      <sheetData sheetId="7">
        <row r="26">
          <cell r="C26">
            <v>5.1790000000000003</v>
          </cell>
        </row>
      </sheetData>
      <sheetData sheetId="8">
        <row r="24">
          <cell r="C24">
            <v>5.4066000000000001</v>
          </cell>
        </row>
      </sheetData>
      <sheetData sheetId="9">
        <row r="23">
          <cell r="C23">
            <v>5.2569999999999997</v>
          </cell>
        </row>
      </sheetData>
      <sheetData sheetId="10">
        <row r="23">
          <cell r="C23">
            <v>5.2941000000000003</v>
          </cell>
        </row>
      </sheetData>
      <sheetData sheetId="11">
        <row r="25">
          <cell r="C25">
            <v>5.2176999999999998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Ju"/>
    </sheetNames>
    <sheetDataSet>
      <sheetData sheetId="0">
        <row r="25">
          <cell r="C25">
            <v>5.0993000000000004</v>
          </cell>
        </row>
      </sheetData>
      <sheetData sheetId="1">
        <row r="21">
          <cell r="C21">
            <v>5.2077999999999998</v>
          </cell>
        </row>
      </sheetData>
      <sheetData sheetId="2">
        <row r="26">
          <cell r="C26">
            <v>5.0804</v>
          </cell>
        </row>
      </sheetData>
      <sheetData sheetId="3">
        <row r="21">
          <cell r="C21">
            <v>5.0007000000000001</v>
          </cell>
        </row>
      </sheetData>
      <sheetData sheetId="4">
        <row r="25">
          <cell r="C25">
            <v>5.0959000000000003</v>
          </cell>
        </row>
      </sheetData>
      <sheetData sheetId="5">
        <row r="24">
          <cell r="C24">
            <v>4.8192000000000004</v>
          </cell>
        </row>
      </sheetData>
      <sheetData sheetId="6"/>
      <sheetData sheetId="7">
        <row r="26">
          <cell r="C26">
            <v>4.9218999999999999</v>
          </cell>
        </row>
      </sheetData>
      <sheetData sheetId="8">
        <row r="23">
          <cell r="C23">
            <v>5.0076000000000001</v>
          </cell>
        </row>
      </sheetData>
      <sheetData sheetId="9">
        <row r="24">
          <cell r="C24">
            <v>5.0575000000000001</v>
          </cell>
        </row>
      </sheetData>
      <sheetData sheetId="10">
        <row r="23">
          <cell r="C23">
            <v>4.9355000000000002</v>
          </cell>
        </row>
      </sheetData>
      <sheetData sheetId="11">
        <row r="23">
          <cell r="C23">
            <v>4.8413000000000004</v>
          </cell>
        </row>
      </sheetData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J"/>
    </sheetNames>
    <sheetDataSet>
      <sheetData sheetId="0">
        <row r="25">
          <cell r="C25">
            <v>4.9535</v>
          </cell>
        </row>
      </sheetData>
      <sheetData sheetId="1">
        <row r="22">
          <cell r="C22">
            <v>4.9832999999999998</v>
          </cell>
        </row>
      </sheetData>
      <sheetData sheetId="2">
        <row r="23">
          <cell r="C23">
            <v>4.9962</v>
          </cell>
        </row>
      </sheetData>
      <sheetData sheetId="3">
        <row r="25">
          <cell r="C25">
            <v>5.1718000000000002</v>
          </cell>
        </row>
      </sheetData>
      <sheetData sheetId="4">
        <row r="24">
          <cell r="C24">
            <v>5.2416</v>
          </cell>
        </row>
      </sheetData>
      <sheetData sheetId="5">
        <row r="23">
          <cell r="C23">
            <v>5.5589000000000004</v>
          </cell>
        </row>
      </sheetData>
      <sheetData sheetId="6">
        <row r="26">
          <cell r="C26">
            <v>5.6620999999999997</v>
          </cell>
        </row>
      </sheetData>
      <sheetData sheetId="7">
        <row r="25">
          <cell r="C25">
            <v>5.6562000000000001</v>
          </cell>
        </row>
      </sheetData>
      <sheetData sheetId="8">
        <row r="24">
          <cell r="C24">
            <v>5.4481000000000002</v>
          </cell>
        </row>
      </sheetData>
      <sheetData sheetId="9">
        <row r="26">
          <cell r="C26">
            <v>5.7778999999999998</v>
          </cell>
        </row>
      </sheetData>
      <sheetData sheetId="10">
        <row r="22">
          <cell r="C22">
            <v>6.0534999999999997</v>
          </cell>
        </row>
      </sheetData>
      <sheetData sheetId="11">
        <row r="24">
          <cell r="C24">
            <v>6.1923000000000004</v>
          </cell>
        </row>
      </sheetData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5.8300999999999998</v>
          </cell>
        </row>
      </sheetData>
      <sheetData sheetId="1">
        <row r="23">
          <cell r="C23">
            <v>5.8487999999999998</v>
          </cell>
        </row>
      </sheetData>
      <sheetData sheetId="2">
        <row r="22">
          <cell r="C22">
            <v>5.7422000000000004</v>
          </cell>
        </row>
      </sheetData>
      <sheetData sheetId="3">
        <row r="22">
          <cell r="C22">
            <v>5.6467000000000001</v>
          </cell>
        </row>
        <row r="23">
          <cell r="C23">
            <v>5.6608000000000001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800x40"/>
    </sheetNames>
    <sheetDataSet>
      <sheetData sheetId="0"/>
      <sheetData sheetId="1"/>
      <sheetData sheetId="2"/>
      <sheetData sheetId="3"/>
      <sheetData sheetId="4">
        <row r="29">
          <cell r="D29">
            <v>-2.08</v>
          </cell>
        </row>
        <row r="271">
          <cell r="C271">
            <v>432.7261256383444</v>
          </cell>
          <cell r="D271">
            <v>-0.70378373315661547</v>
          </cell>
          <cell r="E271">
            <v>2.00328929669773</v>
          </cell>
          <cell r="F271">
            <v>5.4732246980353949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/>
      <sheetData sheetId="3"/>
      <sheetData sheetId="4">
        <row r="309">
          <cell r="D309">
            <v>593.80183358573549</v>
          </cell>
        </row>
        <row r="311">
          <cell r="D311">
            <v>594.06048107741481</v>
          </cell>
          <cell r="E311">
            <v>-0.2536638893628429</v>
          </cell>
          <cell r="F311">
            <v>1.9315167380057119</v>
          </cell>
          <cell r="G311">
            <v>5.648826965265652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/>
      <sheetData sheetId="2"/>
      <sheetData sheetId="3">
        <row r="309">
          <cell r="D309">
            <v>700.62575980998633</v>
          </cell>
        </row>
        <row r="311">
          <cell r="D311">
            <v>702.54901767002775</v>
          </cell>
          <cell r="E311">
            <v>7.4665847466448554E-2</v>
          </cell>
          <cell r="F311">
            <v>1.8090347132289519</v>
          </cell>
          <cell r="G311">
            <v>8.5105442053176716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IGPM"/>
      <sheetName val="IGPDI"/>
      <sheetName val="IPCAIBGE"/>
      <sheetName val="IPCAE"/>
      <sheetName val="INPCIBGE"/>
      <sheetName val="ICVDIEESE"/>
      <sheetName val="IPCFIPE"/>
      <sheetName val="IPA-DI FGV"/>
      <sheetName val="IPC|BR - DI.FGV"/>
      <sheetName val="IPA-IGPM"/>
      <sheetName val="INCC-SINDUSCON"/>
      <sheetName val="Poupanca"/>
      <sheetName val="Txbas"/>
      <sheetName val="TR"/>
      <sheetName val="SELIC"/>
      <sheetName val="Selicacum"/>
      <sheetName val="TJLP"/>
      <sheetName val="Dolar"/>
      <sheetName val="Salário Mínimo"/>
      <sheetName val="Coluna14"/>
      <sheetName val="Coluna15"/>
      <sheetName val="coluna32"/>
      <sheetName val="Coluna54"/>
      <sheetName val="DES-multas"/>
      <sheetName val="Planilha1"/>
    </sheetNames>
    <sheetDataSet>
      <sheetData sheetId="0"/>
      <sheetData sheetId="1">
        <row r="389">
          <cell r="D389">
            <v>0.26829508618344544</v>
          </cell>
        </row>
      </sheetData>
      <sheetData sheetId="2">
        <row r="372">
          <cell r="D372">
            <v>0.10885325717555627</v>
          </cell>
        </row>
      </sheetData>
      <sheetData sheetId="3"/>
      <sheetData sheetId="4"/>
      <sheetData sheetId="5">
        <row r="380">
          <cell r="D380">
            <v>0</v>
          </cell>
        </row>
      </sheetData>
      <sheetData sheetId="6"/>
      <sheetData sheetId="7">
        <row r="384">
          <cell r="D384">
            <v>0.24290495712275817</v>
          </cell>
        </row>
      </sheetData>
      <sheetData sheetId="8">
        <row r="379">
          <cell r="D379">
            <v>1.0772020150688011</v>
          </cell>
        </row>
      </sheetData>
      <sheetData sheetId="9"/>
      <sheetData sheetId="10"/>
      <sheetData sheetId="11">
        <row r="236">
          <cell r="C236">
            <v>2.3338710389160244E-3</v>
          </cell>
        </row>
      </sheetData>
      <sheetData sheetId="12"/>
      <sheetData sheetId="13">
        <row r="5">
          <cell r="E5" t="str">
            <v>META SELIC % a.a.</v>
          </cell>
        </row>
        <row r="6">
          <cell r="C6" t="str">
            <v>DATA</v>
          </cell>
          <cell r="D6" t="str">
            <v>PERÍODO DE VIGÊNCIA</v>
          </cell>
        </row>
      </sheetData>
      <sheetData sheetId="14">
        <row r="270">
          <cell r="C270">
            <v>255.05376312443883</v>
          </cell>
          <cell r="D270">
            <v>0</v>
          </cell>
          <cell r="E270">
            <v>0</v>
          </cell>
          <cell r="F270">
            <v>0</v>
          </cell>
        </row>
      </sheetData>
      <sheetData sheetId="15"/>
      <sheetData sheetId="16"/>
      <sheetData sheetId="17"/>
      <sheetData sheetId="18"/>
      <sheetData sheetId="19">
        <row r="6">
          <cell r="C6" t="str">
            <v>R$</v>
          </cell>
          <cell r="D6" t="str">
            <v>índice nominal</v>
          </cell>
          <cell r="E6" t="str">
            <v>IGPDI</v>
          </cell>
          <cell r="F6" t="str">
            <v>índice real</v>
          </cell>
        </row>
      </sheetData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33"/>
      <sheetName val="mnt_ACCELO 817"/>
      <sheetName val="motrod"/>
      <sheetName val="moturb"/>
      <sheetName val="ajud"/>
      <sheetName val="DAT"/>
      <sheetName val="MB ATEGO 2433"/>
      <sheetName val="MB ACCELO 817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33"/>
      <sheetName val="Seg_ACCELO 817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mnt_atron 2324"/>
      <sheetName val="mnt_ACCELO 815"/>
      <sheetName val="MB ATRON 2324"/>
      <sheetName val="MB ACCELO 815 "/>
      <sheetName val="Seg_ATRON 2324"/>
      <sheetName val="Seg_ACCELO 8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0">
          <cell r="C70">
            <v>118.71487617182812</v>
          </cell>
        </row>
        <row r="73">
          <cell r="B73">
            <v>0</v>
          </cell>
          <cell r="F73">
            <v>-100</v>
          </cell>
          <cell r="G73">
            <v>-100</v>
          </cell>
        </row>
      </sheetData>
      <sheetData sheetId="40"/>
      <sheetData sheetId="41">
        <row r="70">
          <cell r="C70">
            <v>118.40796019900498</v>
          </cell>
        </row>
        <row r="73">
          <cell r="B73">
            <v>29.22</v>
          </cell>
          <cell r="F73">
            <v>6.4093226511289014</v>
          </cell>
          <cell r="G73">
            <v>19.314005716619032</v>
          </cell>
        </row>
      </sheetData>
      <sheetData sheetId="42"/>
      <sheetData sheetId="43">
        <row r="70">
          <cell r="C70">
            <v>144.59180223165646</v>
          </cell>
        </row>
        <row r="73">
          <cell r="B73">
            <v>391.67</v>
          </cell>
        </row>
      </sheetData>
      <sheetData sheetId="44">
        <row r="70">
          <cell r="C70">
            <v>111.45833333333333</v>
          </cell>
        </row>
        <row r="73">
          <cell r="B73">
            <v>18.64</v>
          </cell>
          <cell r="F73">
            <v>19.334186939820764</v>
          </cell>
          <cell r="G73">
            <v>28.109965635738821</v>
          </cell>
        </row>
      </sheetData>
      <sheetData sheetId="45">
        <row r="70">
          <cell r="C70">
            <v>130.75394506136763</v>
          </cell>
        </row>
        <row r="73">
          <cell r="B73">
            <v>119.93</v>
          </cell>
          <cell r="F73">
            <v>6.1327433628318717</v>
          </cell>
          <cell r="G73">
            <v>32.066952978746841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33"/>
      <sheetName val="mnt_ACCELO 817"/>
      <sheetName val="motrod"/>
      <sheetName val="moturb"/>
      <sheetName val="ajud"/>
      <sheetName val="DAT"/>
      <sheetName val="MB ATEGO 2433"/>
      <sheetName val="MB ACCELO 817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33"/>
      <sheetName val="Seg_ACCELO 817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mnt_atron 2324"/>
      <sheetName val="mnt_ACCELO 815"/>
      <sheetName val="MB ATRON 2324"/>
      <sheetName val="MB ACCELO 815 "/>
      <sheetName val="Seg_ATRON 2324"/>
      <sheetName val="Seg_ACCELO 815"/>
      <sheetName val="diesel"/>
      <sheetName val="mnt1620"/>
      <sheetName val="mnt710"/>
      <sheetName val="mb1620tq"/>
      <sheetName val="mb750"/>
      <sheetName val="Seg1620"/>
      <sheetName val="Seg710"/>
      <sheetName val="f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B56" t="str">
            <v>VAR. (%)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/>
      <sheetData sheetId="43" refreshError="1">
        <row r="70">
          <cell r="C70">
            <v>144.59180223165646</v>
          </cell>
        </row>
        <row r="73">
          <cell r="F73">
            <v>10.11555005763447</v>
          </cell>
          <cell r="G73">
            <v>25.134185303514389</v>
          </cell>
        </row>
      </sheetData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C32">
            <v>2.2673999999999999</v>
          </cell>
        </row>
      </sheetData>
      <sheetData sheetId="7">
        <row r="30">
          <cell r="C30">
            <v>2.2395999999999998</v>
          </cell>
        </row>
      </sheetData>
      <sheetData sheetId="8">
        <row r="31">
          <cell r="C31">
            <v>2.4510000000000001</v>
          </cell>
        </row>
      </sheetData>
      <sheetData sheetId="9">
        <row r="32">
          <cell r="C32">
            <v>2.4441999999999999</v>
          </cell>
        </row>
      </sheetData>
      <sheetData sheetId="10">
        <row r="29">
          <cell r="C29">
            <v>2.5600999999999998</v>
          </cell>
        </row>
      </sheetData>
      <sheetData sheetId="11">
        <row r="25">
          <cell r="C25">
            <v>2.6562000000000001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2.6623000000000001</v>
          </cell>
        </row>
      </sheetData>
      <sheetData sheetId="1">
        <row r="18">
          <cell r="C18">
            <v>2.8782000000000001</v>
          </cell>
        </row>
      </sheetData>
      <sheetData sheetId="2">
        <row r="25">
          <cell r="C25">
            <v>3.2080000000000002</v>
          </cell>
        </row>
      </sheetData>
      <sheetData sheetId="3">
        <row r="23">
          <cell r="C23">
            <v>2.9935999999999998</v>
          </cell>
        </row>
      </sheetData>
      <sheetData sheetId="4">
        <row r="23">
          <cell r="C23">
            <v>3.1787999999999998</v>
          </cell>
        </row>
      </sheetData>
      <sheetData sheetId="5">
        <row r="24">
          <cell r="C24">
            <v>3.1025999999999998</v>
          </cell>
        </row>
      </sheetData>
      <sheetData sheetId="6">
        <row r="26">
          <cell r="C26">
            <v>3.3940000000000001</v>
          </cell>
        </row>
      </sheetData>
      <sheetData sheetId="7">
        <row r="24">
          <cell r="C24">
            <v>3.6467000000000001</v>
          </cell>
        </row>
      </sheetData>
      <sheetData sheetId="8">
        <row r="24">
          <cell r="C24">
            <v>3.9729000000000001</v>
          </cell>
        </row>
      </sheetData>
      <sheetData sheetId="9">
        <row r="24">
          <cell r="C24">
            <v>3.8589000000000002</v>
          </cell>
        </row>
      </sheetData>
      <sheetData sheetId="10">
        <row r="23">
          <cell r="C23">
            <v>3.8506</v>
          </cell>
        </row>
      </sheetData>
      <sheetData sheetId="11">
        <row r="25">
          <cell r="C25">
            <v>3.9047999999999998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3.bcb.gov.br/sgspub/localizarseries/localizarSeries.do?method=prepararTelaLocalizarSerie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E3C7-1485-498F-9F86-5D8B836BA8D8}">
  <dimension ref="B1:H144"/>
  <sheetViews>
    <sheetView showGridLines="0" tabSelected="1" workbookViewId="0">
      <selection activeCell="H11" sqref="H11"/>
    </sheetView>
  </sheetViews>
  <sheetFormatPr defaultColWidth="11.42578125" defaultRowHeight="15.75" x14ac:dyDescent="0.25"/>
  <cols>
    <col min="1" max="1" width="2.140625" style="6" customWidth="1"/>
    <col min="2" max="2" width="78.7109375" style="6" customWidth="1"/>
    <col min="3" max="3" width="16.140625" style="6" customWidth="1"/>
    <col min="4" max="4" width="15.28515625" style="6" customWidth="1"/>
    <col min="5" max="5" width="15" style="6" bestFit="1" customWidth="1"/>
    <col min="6" max="6" width="15.28515625" style="6" customWidth="1"/>
    <col min="7" max="16384" width="11.42578125" style="6"/>
  </cols>
  <sheetData>
    <row r="1" spans="2:8" x14ac:dyDescent="0.25">
      <c r="B1" s="673" t="s">
        <v>551</v>
      </c>
      <c r="C1" s="673"/>
      <c r="D1" s="673"/>
      <c r="E1" s="675" t="s">
        <v>599</v>
      </c>
      <c r="F1" s="675"/>
    </row>
    <row r="2" spans="2:8" ht="16.5" thickBot="1" x14ac:dyDescent="0.3">
      <c r="B2" s="674"/>
      <c r="C2" s="674"/>
      <c r="D2" s="674"/>
      <c r="E2" s="676"/>
      <c r="F2" s="676"/>
    </row>
    <row r="3" spans="2:8" s="11" customFormat="1" ht="30.75" thickBot="1" x14ac:dyDescent="0.3">
      <c r="B3" s="8" t="s">
        <v>552</v>
      </c>
      <c r="C3" s="29" t="s">
        <v>553</v>
      </c>
      <c r="D3" s="30" t="s">
        <v>554</v>
      </c>
      <c r="E3" s="30" t="s">
        <v>555</v>
      </c>
      <c r="F3" s="31" t="s">
        <v>556</v>
      </c>
      <c r="G3" s="9"/>
      <c r="H3" s="10"/>
    </row>
    <row r="4" spans="2:8" s="11" customFormat="1" x14ac:dyDescent="0.25">
      <c r="B4" s="26" t="s">
        <v>574</v>
      </c>
      <c r="C4" s="32">
        <f>'[1]800x40km'!$D$382</f>
        <v>1039.980189708735</v>
      </c>
      <c r="D4" s="33">
        <f>'[1]800x40km'!$E$382</f>
        <v>-0.19067417878178006</v>
      </c>
      <c r="E4" s="33">
        <f>'[1]800x40km'!$F$382</f>
        <v>1.9079333360807471</v>
      </c>
      <c r="F4" s="34">
        <f>'[1]800x40km'!$G$382</f>
        <v>6.1875191485295522</v>
      </c>
      <c r="G4" s="9"/>
    </row>
    <row r="5" spans="2:8" s="11" customFormat="1" x14ac:dyDescent="0.25">
      <c r="B5" s="27" t="s">
        <v>575</v>
      </c>
      <c r="C5" s="35">
        <f>'[2]800km'!$C$271</f>
        <v>432.7261256383444</v>
      </c>
      <c r="D5" s="35">
        <f>'[2]800km'!$D$271</f>
        <v>-0.70378373315661547</v>
      </c>
      <c r="E5" s="35">
        <f>'[2]800km'!$E$271</f>
        <v>2.00328929669773</v>
      </c>
      <c r="F5" s="36">
        <f>'[2]800km'!$F$271</f>
        <v>5.4732246980353949</v>
      </c>
      <c r="G5" s="9"/>
    </row>
    <row r="6" spans="2:8" s="11" customFormat="1" x14ac:dyDescent="0.25">
      <c r="B6" s="28" t="s">
        <v>576</v>
      </c>
      <c r="C6" s="35">
        <f>'[3]800km'!D311</f>
        <v>594.06048107741481</v>
      </c>
      <c r="D6" s="37">
        <f>'[3]800km'!E311</f>
        <v>-0.2536638893628429</v>
      </c>
      <c r="E6" s="37">
        <f>'[3]800km'!F311</f>
        <v>1.9315167380057119</v>
      </c>
      <c r="F6" s="36">
        <f>'[3]800km'!G311</f>
        <v>5.648826965265652</v>
      </c>
      <c r="G6" s="9"/>
    </row>
    <row r="7" spans="2:8" s="11" customFormat="1" x14ac:dyDescent="0.25">
      <c r="B7" s="28" t="s">
        <v>577</v>
      </c>
      <c r="C7" s="35">
        <f>'[4]40km'!D311</f>
        <v>702.54901767002775</v>
      </c>
      <c r="D7" s="37">
        <f>'[4]40km'!E311</f>
        <v>7.4665847466448554E-2</v>
      </c>
      <c r="E7" s="37">
        <f>'[4]40km'!F311</f>
        <v>1.8090347132289519</v>
      </c>
      <c r="F7" s="36">
        <f>'[4]40km'!G311</f>
        <v>8.5105442053176716</v>
      </c>
      <c r="G7" s="9"/>
    </row>
    <row r="8" spans="2:8" ht="17.25" customHeight="1" x14ac:dyDescent="0.25">
      <c r="B8" s="22" t="s">
        <v>578</v>
      </c>
      <c r="C8" s="35">
        <f>IGPM!C392</f>
        <v>1212.3347606235329</v>
      </c>
      <c r="D8" s="37">
        <f>IGPM!D392</f>
        <v>0.23680537639999999</v>
      </c>
      <c r="E8" s="37">
        <f>IGPM!E392</f>
        <v>1.2303329597591839</v>
      </c>
      <c r="F8" s="36">
        <f>IGPM!F392</f>
        <v>8.5042245452841456</v>
      </c>
      <c r="G8" s="4"/>
      <c r="H8" s="1"/>
    </row>
    <row r="9" spans="2:8" ht="17.25" customHeight="1" x14ac:dyDescent="0.25">
      <c r="B9" s="23" t="s">
        <v>579</v>
      </c>
      <c r="C9" s="35">
        <f>IGPDI!C375</f>
        <v>1192.079</v>
      </c>
      <c r="D9" s="37">
        <f>IGPDI!D375</f>
        <v>0.29691641075226816</v>
      </c>
      <c r="E9" s="37">
        <f>IGPDI!E375</f>
        <v>0.90332967385466922</v>
      </c>
      <c r="F9" s="36">
        <f>IGPDI!F375</f>
        <v>8.1093900204955318</v>
      </c>
      <c r="G9" s="4"/>
      <c r="H9" s="1"/>
    </row>
    <row r="10" spans="2:8" ht="17.25" customHeight="1" x14ac:dyDescent="0.25">
      <c r="B10" s="22" t="s">
        <v>580</v>
      </c>
      <c r="C10" s="35">
        <f>IPCAIBGE!C383</f>
        <v>7276.5400000000182</v>
      </c>
      <c r="D10" s="37">
        <f>IPCAIBGE!D383</f>
        <v>0.43006716003852752</v>
      </c>
      <c r="E10" s="37">
        <f>IPCAIBGE!E383</f>
        <v>2.4792620238011098</v>
      </c>
      <c r="F10" s="36">
        <f>IPCAIBGE!F383</f>
        <v>5.5299017873199352</v>
      </c>
      <c r="H10" s="1"/>
    </row>
    <row r="11" spans="2:8" x14ac:dyDescent="0.25">
      <c r="B11" s="22" t="s">
        <v>581</v>
      </c>
      <c r="C11" s="35">
        <f>IPCAE!C301</f>
        <v>434.602315120095</v>
      </c>
      <c r="D11" s="37">
        <f>IPCAE!D301</f>
        <v>0.43002874372992661</v>
      </c>
      <c r="E11" s="37">
        <f>IPCAE!E301</f>
        <v>2.4284603656127279</v>
      </c>
      <c r="F11" s="36">
        <f>IPCAE!F301</f>
        <v>5.4883318928262703</v>
      </c>
      <c r="G11" s="4"/>
    </row>
    <row r="12" spans="2:8" x14ac:dyDescent="0.25">
      <c r="B12" s="22" t="s">
        <v>582</v>
      </c>
      <c r="C12" s="35">
        <f>INPCIBGE!C383</f>
        <v>7467.5699999999797</v>
      </c>
      <c r="D12" s="37">
        <f>INPCIBGE!D383</f>
        <v>0.47995801881079991</v>
      </c>
      <c r="E12" s="37">
        <f>INPCIBGE!E383</f>
        <v>2.4871163202426105</v>
      </c>
      <c r="F12" s="36">
        <f>INPCIBGE!F383</f>
        <v>5.3169209245519378</v>
      </c>
    </row>
    <row r="13" spans="2:8" hidden="1" x14ac:dyDescent="0.25">
      <c r="B13" s="22" t="s">
        <v>557</v>
      </c>
      <c r="C13" s="35">
        <f>ICVDIEESE!C321</f>
        <v>743.28647241019723</v>
      </c>
      <c r="D13" s="37">
        <f>ICVDIEESE!D321</f>
        <v>0.12</v>
      </c>
      <c r="E13" s="37">
        <f>ICVDIEESE!E321</f>
        <v>0.76076800000002276</v>
      </c>
      <c r="F13" s="36">
        <f>ICVDIEESE!F321</f>
        <v>3.0665280341630519</v>
      </c>
      <c r="G13" s="4"/>
    </row>
    <row r="14" spans="2:8" x14ac:dyDescent="0.25">
      <c r="B14" s="22" t="s">
        <v>583</v>
      </c>
      <c r="C14" s="35">
        <f>IPCFIPE!C387</f>
        <v>719.99713579500622</v>
      </c>
      <c r="D14" s="37">
        <f>IPCFIPE!D387</f>
        <v>0.45041122683160406</v>
      </c>
      <c r="E14" s="37">
        <f>IPCFIPE!E387</f>
        <v>1.8301688211378453</v>
      </c>
      <c r="F14" s="36">
        <f>IPCFIPE!F387</f>
        <v>5.0123657748496919</v>
      </c>
      <c r="G14" s="4"/>
    </row>
    <row r="15" spans="2:8" x14ac:dyDescent="0.25">
      <c r="B15" s="22" t="s">
        <v>584</v>
      </c>
      <c r="C15" s="35">
        <f>'IPA-DI FGV'!$C$383</f>
        <v>1399.411198723029</v>
      </c>
      <c r="D15" s="37">
        <f>'IPA-DI FGV'!$D$383</f>
        <v>0.20440629814824085</v>
      </c>
      <c r="E15" s="37">
        <f>'IPA-DI FGV'!$E$383</f>
        <v>0.38134760511983057</v>
      </c>
      <c r="F15" s="36">
        <f>'IPA-DI FGV'!F383</f>
        <v>9.2446654451217913</v>
      </c>
      <c r="G15" s="4"/>
    </row>
    <row r="16" spans="2:8" x14ac:dyDescent="0.25">
      <c r="B16" s="22" t="s">
        <v>585</v>
      </c>
      <c r="C16" s="35">
        <f>'IPC|BR - DI.FGV'!C383</f>
        <v>781.58138888481926</v>
      </c>
      <c r="D16" s="37">
        <f>'IPC|BR - DI.FGV'!D383</f>
        <v>0.51948152417349291</v>
      </c>
      <c r="E16" s="37">
        <f>'IPC|BR - DI.FGV'!E383</f>
        <v>2.1797454451564224</v>
      </c>
      <c r="F16" s="36">
        <f>'IPC|BR - DI.FGV'!F383</f>
        <v>4.4895344270907911</v>
      </c>
    </row>
    <row r="17" spans="2:7" x14ac:dyDescent="0.25">
      <c r="B17" s="22" t="s">
        <v>586</v>
      </c>
      <c r="C17" s="35">
        <f>'IPA-IGPM'!C301</f>
        <v>736.46444269899655</v>
      </c>
      <c r="D17" s="37">
        <f>'IPA-IGPM'!D301</f>
        <v>0.12988221051051241</v>
      </c>
      <c r="E17" s="37">
        <f>'IPA-IGPM'!E301</f>
        <v>0.81087220131321747</v>
      </c>
      <c r="F17" s="36">
        <f>'IPA-IGPM'!F301</f>
        <v>9.7125232464830624</v>
      </c>
      <c r="G17" s="4"/>
    </row>
    <row r="18" spans="2:7" x14ac:dyDescent="0.25">
      <c r="B18" s="22" t="s">
        <v>587</v>
      </c>
      <c r="C18" s="35">
        <f>'INCC-SINDUSCON'!B239</f>
        <v>295.37869659572158</v>
      </c>
      <c r="D18" s="37">
        <f>'INCC-SINDUSCON'!C239*100</f>
        <v>0.25287042099508827</v>
      </c>
      <c r="E18" s="37">
        <f>'INCC-SINDUSCON'!D239</f>
        <v>0.69280667604791901</v>
      </c>
      <c r="F18" s="38">
        <f>'INCC-SINDUSCON'!E239</f>
        <v>4.6349652772469829</v>
      </c>
      <c r="G18" s="4"/>
    </row>
    <row r="19" spans="2:7" x14ac:dyDescent="0.25">
      <c r="B19" s="24" t="s">
        <v>590</v>
      </c>
      <c r="C19" s="35">
        <f>Poupanca!C394</f>
        <v>421239.40766849311</v>
      </c>
      <c r="D19" s="37">
        <f>Poupanca!D394</f>
        <v>0.66969999999999996</v>
      </c>
      <c r="E19" s="37">
        <f>Poupanca!E394</f>
        <v>2.6074005929555888</v>
      </c>
      <c r="F19" s="36">
        <f>Poupanca!F394</f>
        <v>7.4055817735074747</v>
      </c>
      <c r="G19" s="4"/>
    </row>
    <row r="20" spans="2:7" hidden="1" x14ac:dyDescent="0.25">
      <c r="B20" s="22" t="s">
        <v>558</v>
      </c>
      <c r="C20" s="35">
        <f>[5]TR!C270</f>
        <v>255.05376312443883</v>
      </c>
      <c r="D20" s="37">
        <f>[5]TR!D270</f>
        <v>0</v>
      </c>
      <c r="E20" s="37">
        <f>[5]TR!E270</f>
        <v>0</v>
      </c>
      <c r="F20" s="36">
        <f>[5]TR!F270</f>
        <v>0</v>
      </c>
      <c r="G20" s="4"/>
    </row>
    <row r="21" spans="2:7" x14ac:dyDescent="0.25">
      <c r="B21" s="22" t="s">
        <v>588</v>
      </c>
      <c r="C21" s="39">
        <f>Dolar!C351</f>
        <v>5.6608000000000001</v>
      </c>
      <c r="D21" s="37">
        <f>Dolar!D351</f>
        <v>-1.4175751454146512</v>
      </c>
      <c r="E21" s="37">
        <f>Dolar!E351</f>
        <v>-8.583240476075126</v>
      </c>
      <c r="F21" s="668">
        <f>Dolar!F351</f>
        <v>9.4551220078115996</v>
      </c>
      <c r="G21" s="4"/>
    </row>
    <row r="22" spans="2:7" x14ac:dyDescent="0.25">
      <c r="B22" s="22" t="s">
        <v>589</v>
      </c>
      <c r="C22" s="40">
        <v>0</v>
      </c>
      <c r="D22" s="37">
        <f>SELIC!C355</f>
        <v>1.06</v>
      </c>
      <c r="E22" s="37">
        <f>SELIC!D355</f>
        <v>13.488414009111604</v>
      </c>
      <c r="F22" s="669">
        <v>0</v>
      </c>
      <c r="G22" s="4"/>
    </row>
    <row r="23" spans="2:7" ht="16.5" thickBot="1" x14ac:dyDescent="0.3">
      <c r="B23" s="25" t="s">
        <v>559</v>
      </c>
      <c r="C23" s="41">
        <v>0</v>
      </c>
      <c r="D23" s="42">
        <f>TJLP!C349</f>
        <v>8.65</v>
      </c>
      <c r="E23" s="43">
        <f>TJLP!D349</f>
        <v>0.69374131896011715</v>
      </c>
      <c r="F23" s="670">
        <v>0</v>
      </c>
      <c r="G23" s="4"/>
    </row>
    <row r="24" spans="2:7" ht="30.75" thickBot="1" x14ac:dyDescent="0.3">
      <c r="B24" s="677" t="s">
        <v>591</v>
      </c>
      <c r="C24" s="44" t="s">
        <v>560</v>
      </c>
      <c r="D24" s="45" t="str">
        <f>[5]Txbas!C6</f>
        <v>DATA</v>
      </c>
      <c r="E24" s="46" t="str">
        <f>[5]Txbas!D6</f>
        <v>PERÍODO DE VIGÊNCIA</v>
      </c>
      <c r="F24" s="672" t="str">
        <f>[5]Txbas!E5</f>
        <v>META SELIC % a.a.</v>
      </c>
      <c r="G24" s="4"/>
    </row>
    <row r="25" spans="2:7" ht="18.75" customHeight="1" thickBot="1" x14ac:dyDescent="0.3">
      <c r="B25" s="678"/>
      <c r="C25" s="48" t="str">
        <f>Txbas!B197</f>
        <v>270ª</v>
      </c>
      <c r="D25" s="49">
        <f>Txbas!C197</f>
        <v>45736</v>
      </c>
      <c r="E25" s="50" t="str">
        <f>Txbas!D197</f>
        <v xml:space="preserve">20/03/2025 -	</v>
      </c>
      <c r="F25" s="671">
        <f>Txbas!E197</f>
        <v>14.75</v>
      </c>
      <c r="G25" s="4"/>
    </row>
    <row r="26" spans="2:7" ht="16.5" thickBot="1" x14ac:dyDescent="0.3">
      <c r="B26" s="679" t="s">
        <v>561</v>
      </c>
      <c r="C26" s="44" t="str">
        <f>'[5]Salário Mínimo'!C6</f>
        <v>R$</v>
      </c>
      <c r="D26" s="45" t="str">
        <f>'[5]Salário Mínimo'!D6</f>
        <v>índice nominal</v>
      </c>
      <c r="E26" s="51" t="str">
        <f>'[5]Salário Mínimo'!E6</f>
        <v>IGPDI</v>
      </c>
      <c r="F26" s="47" t="str">
        <f>'[5]Salário Mínimo'!F6</f>
        <v>índice real</v>
      </c>
      <c r="G26" s="4"/>
    </row>
    <row r="27" spans="2:7" ht="16.5" thickBot="1" x14ac:dyDescent="0.3">
      <c r="B27" s="680"/>
      <c r="C27" s="52">
        <f>'Salário Mínimo'!C371</f>
        <v>1518</v>
      </c>
      <c r="D27" s="53">
        <f>'Salário Mínimo'!D371</f>
        <v>2168.5714285714284</v>
      </c>
      <c r="E27" s="53">
        <f>'Salário Mínimo'!E371</f>
        <v>1095.8119225996188</v>
      </c>
      <c r="F27" s="54">
        <f>'Salário Mínimo'!F371</f>
        <v>197.89631631556614</v>
      </c>
      <c r="G27" s="4"/>
    </row>
    <row r="28" spans="2:7" x14ac:dyDescent="0.25">
      <c r="B28" s="3" t="s">
        <v>562</v>
      </c>
      <c r="C28" s="5"/>
      <c r="D28" s="5"/>
      <c r="E28" s="5"/>
      <c r="F28" s="2" t="s">
        <v>71</v>
      </c>
      <c r="G28" s="4"/>
    </row>
    <row r="29" spans="2:7" hidden="1" x14ac:dyDescent="0.25">
      <c r="B29" s="12" t="s">
        <v>563</v>
      </c>
      <c r="C29" s="5"/>
      <c r="D29" s="5"/>
      <c r="E29" s="5"/>
      <c r="F29" s="5"/>
      <c r="G29" s="4"/>
    </row>
    <row r="30" spans="2:7" hidden="1" x14ac:dyDescent="0.25">
      <c r="B30" s="13"/>
      <c r="C30" s="5"/>
      <c r="D30" s="5"/>
      <c r="E30" s="5"/>
      <c r="F30" s="5"/>
      <c r="G30" s="4"/>
    </row>
    <row r="31" spans="2:7" hidden="1" x14ac:dyDescent="0.25">
      <c r="B31" s="14" t="s">
        <v>564</v>
      </c>
      <c r="C31" s="15" t="s">
        <v>565</v>
      </c>
      <c r="D31" s="15" t="s">
        <v>566</v>
      </c>
      <c r="E31" s="15" t="s">
        <v>567</v>
      </c>
      <c r="F31" s="15" t="s">
        <v>568</v>
      </c>
      <c r="G31" s="4"/>
    </row>
    <row r="32" spans="2:7" hidden="1" x14ac:dyDescent="0.25">
      <c r="B32" s="16" t="s">
        <v>569</v>
      </c>
      <c r="C32" s="17">
        <f>+'[6]MB12(13)18'!B73</f>
        <v>0</v>
      </c>
      <c r="D32" s="18">
        <f>+('[6]MB12(13)18'!C70)</f>
        <v>118.71487617182812</v>
      </c>
      <c r="E32" s="18">
        <f>+'[6]MB12(13)18'!$G$73</f>
        <v>-100</v>
      </c>
      <c r="F32" s="18">
        <f>+'[6]MB12(13)18'!$F$73</f>
        <v>-100</v>
      </c>
      <c r="G32" s="4"/>
    </row>
    <row r="33" spans="2:7" hidden="1" x14ac:dyDescent="0.25">
      <c r="B33" s="16" t="s">
        <v>570</v>
      </c>
      <c r="C33" s="18">
        <f>+[6]Pn900!B73</f>
        <v>391.67</v>
      </c>
      <c r="D33" s="18">
        <f>+([6]Pn900!C70)</f>
        <v>144.59180223165646</v>
      </c>
      <c r="E33" s="18">
        <f>[7]Pn900!$G$73</f>
        <v>25.134185303514389</v>
      </c>
      <c r="F33" s="18">
        <f>[7]Pn900!$F$73</f>
        <v>10.11555005763447</v>
      </c>
      <c r="G33" s="4"/>
    </row>
    <row r="34" spans="2:7" hidden="1" x14ac:dyDescent="0.25">
      <c r="B34" s="16" t="s">
        <v>571</v>
      </c>
      <c r="C34" s="18">
        <f>+[6]camara900!B73</f>
        <v>29.22</v>
      </c>
      <c r="D34" s="18">
        <f>+([6]camara900!C70)</f>
        <v>118.40796019900498</v>
      </c>
      <c r="E34" s="18">
        <f>+[6]camara900!$G$73</f>
        <v>19.314005716619032</v>
      </c>
      <c r="F34" s="18">
        <f>+[6]camara900!$F$73</f>
        <v>6.4093226511289014</v>
      </c>
      <c r="G34" s="4"/>
    </row>
    <row r="35" spans="2:7" hidden="1" x14ac:dyDescent="0.25">
      <c r="B35" s="16" t="s">
        <v>572</v>
      </c>
      <c r="C35" s="18">
        <f>+[6]Prot900!B73</f>
        <v>18.64</v>
      </c>
      <c r="D35" s="18">
        <f>+([6]Prot900!C70)</f>
        <v>111.45833333333333</v>
      </c>
      <c r="E35" s="18">
        <f>+[6]Prot900!$G$73</f>
        <v>28.109965635738821</v>
      </c>
      <c r="F35" s="18">
        <f>+[6]Prot900!$F$73</f>
        <v>19.334186939820764</v>
      </c>
      <c r="G35" s="4"/>
    </row>
    <row r="36" spans="2:7" hidden="1" x14ac:dyDescent="0.25">
      <c r="B36" s="16" t="s">
        <v>573</v>
      </c>
      <c r="C36" s="18">
        <f>+[6]Rec900!B73</f>
        <v>119.93</v>
      </c>
      <c r="D36" s="18">
        <f>+([6]Rec900!C70)</f>
        <v>130.75394506136763</v>
      </c>
      <c r="E36" s="18">
        <f>+[6]Rec900!$G$73</f>
        <v>32.066952978746841</v>
      </c>
      <c r="F36" s="18">
        <f>+[6]Rec900!$F$73</f>
        <v>6.1327433628318717</v>
      </c>
      <c r="G36" s="4"/>
    </row>
    <row r="37" spans="2:7" x14ac:dyDescent="0.25">
      <c r="C37" s="5"/>
      <c r="D37" s="5"/>
      <c r="E37" s="5"/>
      <c r="F37" s="5"/>
      <c r="G37" s="4"/>
    </row>
    <row r="38" spans="2:7" s="1" customFormat="1" x14ac:dyDescent="0.25">
      <c r="B38" s="19"/>
      <c r="C38" s="7"/>
      <c r="D38" s="7"/>
      <c r="E38" s="7"/>
      <c r="F38" s="7"/>
    </row>
    <row r="39" spans="2:7" s="1" customFormat="1" x14ac:dyDescent="0.25">
      <c r="B39" s="20"/>
      <c r="C39" s="7"/>
      <c r="D39" s="7"/>
      <c r="E39" s="7"/>
      <c r="F39" s="7"/>
    </row>
    <row r="40" spans="2:7" s="1" customFormat="1" x14ac:dyDescent="0.25">
      <c r="B40" s="21"/>
      <c r="C40" s="7"/>
      <c r="D40" s="7"/>
      <c r="E40" s="7"/>
      <c r="F40" s="7"/>
    </row>
    <row r="41" spans="2:7" s="1" customFormat="1" x14ac:dyDescent="0.25">
      <c r="B41" s="21"/>
      <c r="C41" s="7"/>
      <c r="D41" s="7"/>
      <c r="E41" s="7"/>
      <c r="F41" s="7"/>
    </row>
    <row r="42" spans="2:7" x14ac:dyDescent="0.25">
      <c r="B42" s="4"/>
      <c r="C42" s="5"/>
      <c r="D42" s="5"/>
      <c r="E42" s="5"/>
      <c r="F42" s="5"/>
      <c r="G42" s="4"/>
    </row>
    <row r="43" spans="2:7" x14ac:dyDescent="0.25">
      <c r="B43" s="4"/>
      <c r="C43" s="5"/>
      <c r="D43" s="5"/>
      <c r="E43" s="5"/>
      <c r="F43" s="5"/>
      <c r="G43" s="4"/>
    </row>
    <row r="44" spans="2:7" x14ac:dyDescent="0.25">
      <c r="B44" s="4"/>
      <c r="C44" s="5"/>
      <c r="D44" s="5"/>
      <c r="E44" s="5"/>
      <c r="F44" s="5"/>
      <c r="G44" s="4"/>
    </row>
    <row r="45" spans="2:7" x14ac:dyDescent="0.25">
      <c r="B45" s="4"/>
      <c r="C45" s="5"/>
      <c r="D45" s="5"/>
      <c r="E45" s="5"/>
      <c r="F45" s="5"/>
      <c r="G45" s="4"/>
    </row>
    <row r="46" spans="2:7" x14ac:dyDescent="0.25">
      <c r="B46" s="4"/>
      <c r="C46" s="5"/>
      <c r="D46" s="5"/>
      <c r="E46" s="5"/>
      <c r="F46" s="5"/>
      <c r="G46" s="4"/>
    </row>
    <row r="47" spans="2:7" x14ac:dyDescent="0.25">
      <c r="B47" s="4"/>
      <c r="C47" s="5"/>
      <c r="D47" s="5"/>
      <c r="E47" s="5"/>
      <c r="F47" s="5"/>
      <c r="G47" s="4"/>
    </row>
    <row r="48" spans="2:7" x14ac:dyDescent="0.25">
      <c r="B48" s="4"/>
      <c r="C48" s="5"/>
      <c r="D48" s="5"/>
      <c r="E48" s="5"/>
      <c r="F48" s="5"/>
      <c r="G48" s="4"/>
    </row>
    <row r="49" spans="2:7" x14ac:dyDescent="0.25">
      <c r="B49" s="4"/>
      <c r="C49" s="5"/>
      <c r="D49" s="5"/>
      <c r="E49" s="5"/>
      <c r="F49" s="5"/>
      <c r="G49" s="4"/>
    </row>
    <row r="50" spans="2:7" x14ac:dyDescent="0.25">
      <c r="B50" s="4"/>
      <c r="C50" s="5"/>
      <c r="D50" s="5"/>
      <c r="E50" s="5"/>
      <c r="F50" s="5"/>
      <c r="G50" s="4"/>
    </row>
    <row r="51" spans="2:7" x14ac:dyDescent="0.25">
      <c r="B51" s="4"/>
      <c r="C51" s="5"/>
      <c r="D51" s="5"/>
      <c r="E51" s="5"/>
      <c r="F51" s="5"/>
      <c r="G51" s="4"/>
    </row>
    <row r="52" spans="2:7" x14ac:dyDescent="0.25">
      <c r="B52" s="4"/>
      <c r="C52" s="5"/>
      <c r="D52" s="5"/>
      <c r="E52" s="5"/>
      <c r="F52" s="5"/>
      <c r="G52" s="4"/>
    </row>
    <row r="53" spans="2:7" x14ac:dyDescent="0.25">
      <c r="B53" s="4"/>
      <c r="C53" s="5"/>
      <c r="D53" s="5"/>
      <c r="E53" s="5"/>
      <c r="F53" s="5"/>
      <c r="G53" s="4"/>
    </row>
    <row r="54" spans="2:7" x14ac:dyDescent="0.25">
      <c r="B54" s="4"/>
      <c r="C54" s="5"/>
      <c r="D54" s="5"/>
      <c r="E54" s="5"/>
      <c r="F54" s="5"/>
      <c r="G54" s="4"/>
    </row>
    <row r="55" spans="2:7" x14ac:dyDescent="0.25">
      <c r="B55" s="4"/>
      <c r="C55" s="5"/>
      <c r="D55" s="5"/>
      <c r="E55" s="5"/>
      <c r="F55" s="5"/>
      <c r="G55" s="4"/>
    </row>
    <row r="56" spans="2:7" x14ac:dyDescent="0.25">
      <c r="B56" s="4"/>
      <c r="C56" s="5"/>
      <c r="D56" s="5"/>
      <c r="E56" s="5"/>
      <c r="F56" s="5"/>
      <c r="G56" s="4"/>
    </row>
    <row r="57" spans="2:7" x14ac:dyDescent="0.25">
      <c r="B57" s="4"/>
      <c r="C57" s="5"/>
      <c r="D57" s="5"/>
      <c r="E57" s="5"/>
      <c r="F57" s="5"/>
      <c r="G57" s="4"/>
    </row>
    <row r="58" spans="2:7" x14ac:dyDescent="0.25">
      <c r="B58" s="4"/>
      <c r="C58" s="5"/>
      <c r="D58" s="5"/>
      <c r="E58" s="5"/>
      <c r="F58" s="5"/>
      <c r="G58" s="4"/>
    </row>
    <row r="59" spans="2:7" x14ac:dyDescent="0.25">
      <c r="B59" s="4"/>
      <c r="C59" s="5"/>
      <c r="D59" s="5"/>
      <c r="E59" s="5"/>
      <c r="F59" s="5"/>
      <c r="G59" s="4"/>
    </row>
    <row r="60" spans="2:7" x14ac:dyDescent="0.25">
      <c r="B60" s="4"/>
      <c r="C60" s="4"/>
      <c r="D60" s="4"/>
      <c r="E60" s="4"/>
      <c r="F60" s="4"/>
      <c r="G60" s="4"/>
    </row>
    <row r="61" spans="2:7" x14ac:dyDescent="0.25">
      <c r="B61" s="4"/>
      <c r="C61" s="4"/>
      <c r="D61" s="4"/>
      <c r="E61" s="4"/>
      <c r="F61" s="4"/>
      <c r="G61" s="4"/>
    </row>
    <row r="62" spans="2:7" x14ac:dyDescent="0.25">
      <c r="B62" s="4"/>
      <c r="C62" s="4"/>
      <c r="D62" s="4"/>
      <c r="E62" s="4"/>
      <c r="F62" s="4"/>
      <c r="G62" s="4"/>
    </row>
    <row r="63" spans="2:7" x14ac:dyDescent="0.25">
      <c r="B63" s="4"/>
      <c r="C63" s="4"/>
      <c r="D63" s="4"/>
      <c r="E63" s="4"/>
      <c r="F63" s="4"/>
      <c r="G63" s="4"/>
    </row>
    <row r="64" spans="2:7" x14ac:dyDescent="0.25">
      <c r="B64" s="4"/>
      <c r="C64" s="4"/>
      <c r="D64" s="4"/>
      <c r="E64" s="4"/>
      <c r="F64" s="4"/>
      <c r="G64" s="4"/>
    </row>
    <row r="65" spans="2:7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4"/>
      <c r="E66" s="4"/>
      <c r="F66" s="4"/>
      <c r="G66" s="4"/>
    </row>
    <row r="67" spans="2:7" x14ac:dyDescent="0.25">
      <c r="B67" s="4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4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B70" s="4"/>
      <c r="C70" s="4"/>
      <c r="D70" s="4"/>
      <c r="E70" s="4"/>
      <c r="F70" s="4"/>
      <c r="G70" s="4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4"/>
      <c r="C72" s="4"/>
      <c r="D72" s="4"/>
      <c r="E72" s="4"/>
      <c r="F72" s="4"/>
      <c r="G72" s="4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4"/>
      <c r="C74" s="4"/>
      <c r="D74" s="4"/>
      <c r="E74" s="4"/>
      <c r="F74" s="4"/>
      <c r="G74" s="4"/>
    </row>
    <row r="75" spans="2:7" x14ac:dyDescent="0.25">
      <c r="B75" s="4"/>
      <c r="C75" s="4"/>
      <c r="D75" s="4"/>
      <c r="E75" s="4"/>
      <c r="F75" s="4"/>
      <c r="G75" s="4"/>
    </row>
    <row r="76" spans="2:7" x14ac:dyDescent="0.25">
      <c r="B76" s="4"/>
      <c r="C76" s="4"/>
      <c r="D76" s="4"/>
      <c r="E76" s="4"/>
      <c r="F76" s="4"/>
      <c r="G76" s="4"/>
    </row>
    <row r="77" spans="2:7" x14ac:dyDescent="0.25">
      <c r="B77" s="4"/>
      <c r="C77" s="4"/>
      <c r="D77" s="4"/>
      <c r="E77" s="4"/>
      <c r="F77" s="4"/>
      <c r="G77" s="4"/>
    </row>
    <row r="78" spans="2:7" x14ac:dyDescent="0.25">
      <c r="B78" s="4"/>
      <c r="C78" s="4"/>
      <c r="D78" s="4"/>
      <c r="E78" s="4"/>
      <c r="F78" s="4"/>
      <c r="G78" s="4"/>
    </row>
    <row r="79" spans="2:7" x14ac:dyDescent="0.25">
      <c r="B79" s="4"/>
      <c r="C79" s="4"/>
      <c r="D79" s="4"/>
      <c r="E79" s="4"/>
      <c r="F79" s="4"/>
      <c r="G79" s="4"/>
    </row>
    <row r="80" spans="2:7" x14ac:dyDescent="0.25">
      <c r="B80" s="4"/>
      <c r="C80" s="4"/>
      <c r="D80" s="4"/>
      <c r="E80" s="4"/>
      <c r="F80" s="4"/>
      <c r="G80" s="4"/>
    </row>
    <row r="81" spans="2:7" x14ac:dyDescent="0.25">
      <c r="B81" s="4"/>
      <c r="C81" s="4"/>
      <c r="D81" s="4"/>
      <c r="E81" s="4"/>
      <c r="F81" s="4"/>
      <c r="G81" s="4"/>
    </row>
    <row r="82" spans="2:7" x14ac:dyDescent="0.25">
      <c r="B82" s="4"/>
      <c r="C82" s="4"/>
      <c r="D82" s="4"/>
      <c r="E82" s="4"/>
      <c r="F82" s="4"/>
      <c r="G82" s="4"/>
    </row>
    <row r="83" spans="2:7" x14ac:dyDescent="0.25">
      <c r="B83" s="4"/>
      <c r="C83" s="4"/>
      <c r="D83" s="4"/>
      <c r="E83" s="4"/>
      <c r="F83" s="4"/>
      <c r="G83" s="4"/>
    </row>
    <row r="84" spans="2:7" x14ac:dyDescent="0.25">
      <c r="B84" s="4"/>
      <c r="C84" s="4"/>
      <c r="D84" s="4"/>
      <c r="E84" s="4"/>
      <c r="F84" s="4"/>
      <c r="G84" s="4"/>
    </row>
    <row r="85" spans="2:7" x14ac:dyDescent="0.25">
      <c r="B85" s="4"/>
      <c r="C85" s="4"/>
      <c r="D85" s="4"/>
      <c r="E85" s="4"/>
      <c r="F85" s="4"/>
      <c r="G85" s="4"/>
    </row>
    <row r="86" spans="2:7" x14ac:dyDescent="0.25">
      <c r="B86" s="4"/>
      <c r="C86" s="4"/>
      <c r="D86" s="4"/>
      <c r="E86" s="4"/>
      <c r="F86" s="4"/>
      <c r="G86" s="4"/>
    </row>
    <row r="87" spans="2:7" x14ac:dyDescent="0.25">
      <c r="B87" s="4"/>
      <c r="C87" s="4"/>
      <c r="D87" s="4"/>
      <c r="E87" s="4"/>
      <c r="F87" s="4"/>
      <c r="G87" s="4"/>
    </row>
    <row r="88" spans="2:7" x14ac:dyDescent="0.25">
      <c r="B88" s="4"/>
      <c r="C88" s="4"/>
      <c r="D88" s="4"/>
      <c r="E88" s="4"/>
      <c r="F88" s="4"/>
      <c r="G88" s="4"/>
    </row>
    <row r="89" spans="2:7" x14ac:dyDescent="0.25">
      <c r="B89" s="4"/>
      <c r="C89" s="4"/>
      <c r="D89" s="4"/>
      <c r="E89" s="4"/>
      <c r="F89" s="4"/>
      <c r="G89" s="4"/>
    </row>
    <row r="90" spans="2:7" x14ac:dyDescent="0.25">
      <c r="B90" s="4"/>
      <c r="C90" s="4"/>
      <c r="D90" s="4"/>
      <c r="E90" s="4"/>
      <c r="F90" s="4"/>
      <c r="G90" s="4"/>
    </row>
    <row r="91" spans="2:7" x14ac:dyDescent="0.25">
      <c r="B91" s="4"/>
      <c r="C91" s="4"/>
      <c r="D91" s="4"/>
      <c r="E91" s="4"/>
      <c r="F91" s="4"/>
      <c r="G91" s="4"/>
    </row>
    <row r="92" spans="2:7" x14ac:dyDescent="0.25">
      <c r="B92" s="4"/>
      <c r="C92" s="4"/>
      <c r="D92" s="4"/>
      <c r="E92" s="4"/>
      <c r="F92" s="4"/>
      <c r="G92" s="4"/>
    </row>
    <row r="93" spans="2:7" x14ac:dyDescent="0.25">
      <c r="B93" s="4"/>
      <c r="C93" s="4"/>
      <c r="D93" s="4"/>
      <c r="E93" s="4"/>
      <c r="F93" s="4"/>
      <c r="G93" s="4"/>
    </row>
    <row r="94" spans="2:7" x14ac:dyDescent="0.25">
      <c r="B94" s="4"/>
      <c r="C94" s="4"/>
      <c r="D94" s="4"/>
      <c r="E94" s="4"/>
      <c r="F94" s="4"/>
      <c r="G94" s="4"/>
    </row>
    <row r="95" spans="2:7" x14ac:dyDescent="0.25">
      <c r="B95" s="4"/>
      <c r="C95" s="4"/>
      <c r="D95" s="4"/>
      <c r="E95" s="4"/>
      <c r="F95" s="4"/>
      <c r="G95" s="4"/>
    </row>
    <row r="96" spans="2:7" x14ac:dyDescent="0.25">
      <c r="B96" s="4"/>
      <c r="C96" s="4"/>
      <c r="D96" s="4"/>
      <c r="E96" s="4"/>
      <c r="F96" s="4"/>
      <c r="G96" s="4"/>
    </row>
    <row r="97" spans="2:7" x14ac:dyDescent="0.25">
      <c r="B97" s="4"/>
      <c r="C97" s="4"/>
      <c r="D97" s="4"/>
      <c r="E97" s="4"/>
      <c r="F97" s="4"/>
      <c r="G97" s="4"/>
    </row>
    <row r="98" spans="2:7" x14ac:dyDescent="0.25">
      <c r="B98" s="4"/>
      <c r="C98" s="4"/>
      <c r="D98" s="4"/>
      <c r="E98" s="4"/>
      <c r="F98" s="4"/>
      <c r="G98" s="4"/>
    </row>
    <row r="99" spans="2:7" x14ac:dyDescent="0.25">
      <c r="B99" s="4"/>
      <c r="C99" s="4"/>
      <c r="D99" s="4"/>
      <c r="E99" s="4"/>
      <c r="F99" s="4"/>
      <c r="G99" s="4"/>
    </row>
    <row r="100" spans="2:7" x14ac:dyDescent="0.25">
      <c r="B100" s="4"/>
      <c r="C100" s="4"/>
      <c r="D100" s="4"/>
      <c r="E100" s="4"/>
      <c r="F100" s="4"/>
      <c r="G100" s="4"/>
    </row>
    <row r="101" spans="2:7" x14ac:dyDescent="0.25">
      <c r="B101" s="4"/>
      <c r="C101" s="4"/>
      <c r="D101" s="4"/>
      <c r="E101" s="4"/>
      <c r="F101" s="4"/>
      <c r="G101" s="4"/>
    </row>
    <row r="102" spans="2:7" x14ac:dyDescent="0.25">
      <c r="B102" s="4"/>
      <c r="C102" s="4"/>
      <c r="D102" s="4"/>
      <c r="E102" s="4"/>
      <c r="F102" s="4"/>
      <c r="G102" s="4"/>
    </row>
    <row r="103" spans="2:7" x14ac:dyDescent="0.25">
      <c r="B103" s="4"/>
      <c r="C103" s="4"/>
      <c r="D103" s="4"/>
      <c r="E103" s="4"/>
      <c r="F103" s="4"/>
      <c r="G103" s="4"/>
    </row>
    <row r="104" spans="2:7" x14ac:dyDescent="0.25">
      <c r="B104" s="4"/>
      <c r="C104" s="4"/>
      <c r="D104" s="4"/>
      <c r="E104" s="4"/>
      <c r="F104" s="4"/>
      <c r="G104" s="4"/>
    </row>
    <row r="105" spans="2:7" x14ac:dyDescent="0.25">
      <c r="B105" s="4"/>
      <c r="C105" s="4"/>
      <c r="D105" s="4"/>
      <c r="E105" s="4"/>
      <c r="F105" s="4"/>
      <c r="G105" s="4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4"/>
      <c r="C107" s="4"/>
      <c r="D107" s="4"/>
      <c r="E107" s="4"/>
      <c r="F107" s="4"/>
      <c r="G107" s="4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4"/>
      <c r="C109" s="4"/>
      <c r="D109" s="4"/>
      <c r="E109" s="4"/>
      <c r="F109" s="4"/>
      <c r="G109" s="4"/>
    </row>
    <row r="110" spans="2:7" x14ac:dyDescent="0.25">
      <c r="B110" s="4"/>
      <c r="C110" s="4"/>
      <c r="D110" s="4"/>
      <c r="E110" s="4"/>
      <c r="F110" s="4"/>
      <c r="G110" s="4"/>
    </row>
    <row r="111" spans="2:7" x14ac:dyDescent="0.25">
      <c r="B111" s="4"/>
      <c r="C111" s="4"/>
      <c r="D111" s="4"/>
      <c r="E111" s="4"/>
      <c r="F111" s="4"/>
      <c r="G111" s="4"/>
    </row>
    <row r="112" spans="2:7" x14ac:dyDescent="0.25">
      <c r="B112" s="4"/>
      <c r="C112" s="4"/>
      <c r="D112" s="4"/>
      <c r="E112" s="4"/>
      <c r="F112" s="4"/>
      <c r="G112" s="4"/>
    </row>
    <row r="113" spans="2:7" x14ac:dyDescent="0.25">
      <c r="B113" s="4"/>
      <c r="C113" s="4"/>
      <c r="D113" s="4"/>
      <c r="E113" s="4"/>
      <c r="F113" s="4"/>
      <c r="G113" s="4"/>
    </row>
    <row r="114" spans="2:7" x14ac:dyDescent="0.25">
      <c r="B114" s="4"/>
      <c r="C114" s="4"/>
      <c r="D114" s="4"/>
      <c r="E114" s="4"/>
      <c r="F114" s="4"/>
      <c r="G114" s="4"/>
    </row>
    <row r="115" spans="2:7" x14ac:dyDescent="0.25">
      <c r="B115" s="4"/>
      <c r="C115" s="4"/>
      <c r="D115" s="4"/>
      <c r="E115" s="4"/>
      <c r="F115" s="4"/>
      <c r="G115" s="4"/>
    </row>
    <row r="116" spans="2:7" x14ac:dyDescent="0.25">
      <c r="B116" s="4"/>
      <c r="C116" s="4"/>
      <c r="D116" s="4"/>
      <c r="E116" s="4"/>
      <c r="F116" s="4"/>
      <c r="G116" s="4"/>
    </row>
    <row r="117" spans="2:7" x14ac:dyDescent="0.25">
      <c r="B117" s="4"/>
      <c r="C117" s="4"/>
      <c r="D117" s="4"/>
      <c r="E117" s="4"/>
      <c r="F117" s="4"/>
      <c r="G117" s="4"/>
    </row>
    <row r="118" spans="2:7" x14ac:dyDescent="0.25">
      <c r="B118" s="4"/>
      <c r="C118" s="4"/>
      <c r="D118" s="4"/>
      <c r="E118" s="4"/>
      <c r="F118" s="4"/>
      <c r="G118" s="4"/>
    </row>
    <row r="119" spans="2:7" x14ac:dyDescent="0.25">
      <c r="B119" s="4"/>
      <c r="C119" s="4"/>
      <c r="D119" s="4"/>
      <c r="E119" s="4"/>
      <c r="F119" s="4"/>
      <c r="G119" s="4"/>
    </row>
    <row r="120" spans="2:7" x14ac:dyDescent="0.25">
      <c r="B120" s="4"/>
      <c r="C120" s="4"/>
      <c r="D120" s="4"/>
      <c r="E120" s="4"/>
      <c r="F120" s="4"/>
      <c r="G120" s="4"/>
    </row>
    <row r="121" spans="2:7" x14ac:dyDescent="0.25">
      <c r="B121" s="4"/>
      <c r="C121" s="4"/>
      <c r="D121" s="4"/>
      <c r="E121" s="4"/>
      <c r="F121" s="4"/>
      <c r="G121" s="4"/>
    </row>
    <row r="122" spans="2:7" x14ac:dyDescent="0.25">
      <c r="B122" s="4"/>
      <c r="C122" s="4"/>
      <c r="D122" s="4"/>
      <c r="E122" s="4"/>
      <c r="F122" s="4"/>
      <c r="G122" s="4"/>
    </row>
    <row r="123" spans="2:7" x14ac:dyDescent="0.25">
      <c r="B123" s="4"/>
      <c r="C123" s="4"/>
      <c r="D123" s="4"/>
      <c r="E123" s="4"/>
      <c r="F123" s="4"/>
      <c r="G123" s="4"/>
    </row>
    <row r="124" spans="2:7" x14ac:dyDescent="0.25">
      <c r="B124" s="4"/>
      <c r="C124" s="4"/>
      <c r="D124" s="4"/>
      <c r="E124" s="4"/>
      <c r="F124" s="4"/>
      <c r="G124" s="4"/>
    </row>
    <row r="125" spans="2:7" x14ac:dyDescent="0.25">
      <c r="B125" s="4"/>
      <c r="C125" s="4"/>
      <c r="D125" s="4"/>
      <c r="E125" s="4"/>
      <c r="F125" s="4"/>
      <c r="G125" s="4"/>
    </row>
    <row r="126" spans="2:7" x14ac:dyDescent="0.25">
      <c r="B126" s="4"/>
      <c r="C126" s="4"/>
      <c r="D126" s="4"/>
      <c r="E126" s="4"/>
      <c r="F126" s="4"/>
      <c r="G126" s="4"/>
    </row>
    <row r="127" spans="2:7" x14ac:dyDescent="0.25">
      <c r="B127" s="4"/>
      <c r="C127" s="4"/>
      <c r="D127" s="4"/>
      <c r="E127" s="4"/>
      <c r="F127" s="4"/>
      <c r="G127" s="4"/>
    </row>
    <row r="128" spans="2:7" x14ac:dyDescent="0.25">
      <c r="B128" s="4"/>
      <c r="C128" s="4"/>
      <c r="D128" s="4"/>
      <c r="E128" s="4"/>
      <c r="F128" s="4"/>
      <c r="G128" s="4"/>
    </row>
    <row r="129" spans="2:7" x14ac:dyDescent="0.25">
      <c r="B129" s="4"/>
      <c r="C129" s="4"/>
      <c r="D129" s="4"/>
      <c r="E129" s="4"/>
      <c r="F129" s="4"/>
      <c r="G129" s="4"/>
    </row>
    <row r="130" spans="2:7" x14ac:dyDescent="0.25">
      <c r="B130" s="4"/>
      <c r="C130" s="4"/>
      <c r="D130" s="4"/>
      <c r="E130" s="4"/>
      <c r="F130" s="4"/>
      <c r="G130" s="4"/>
    </row>
    <row r="131" spans="2:7" x14ac:dyDescent="0.25">
      <c r="B131" s="4"/>
      <c r="C131" s="4"/>
      <c r="D131" s="4"/>
      <c r="E131" s="4"/>
      <c r="F131" s="4"/>
      <c r="G131" s="4"/>
    </row>
    <row r="132" spans="2:7" x14ac:dyDescent="0.25">
      <c r="B132" s="4"/>
      <c r="C132" s="4"/>
      <c r="D132" s="4"/>
      <c r="E132" s="4"/>
      <c r="F132" s="4"/>
      <c r="G132" s="4"/>
    </row>
    <row r="133" spans="2:7" x14ac:dyDescent="0.25">
      <c r="B133" s="4"/>
      <c r="C133" s="4"/>
      <c r="D133" s="4"/>
      <c r="E133" s="4"/>
      <c r="F133" s="4"/>
      <c r="G133" s="4"/>
    </row>
    <row r="134" spans="2:7" x14ac:dyDescent="0.25">
      <c r="B134" s="4"/>
      <c r="C134" s="4"/>
      <c r="D134" s="4"/>
      <c r="E134" s="4"/>
      <c r="F134" s="4"/>
      <c r="G134" s="4"/>
    </row>
    <row r="135" spans="2:7" x14ac:dyDescent="0.25">
      <c r="B135" s="4"/>
      <c r="C135" s="4"/>
      <c r="D135" s="4"/>
      <c r="E135" s="4"/>
      <c r="F135" s="4"/>
      <c r="G135" s="4"/>
    </row>
    <row r="136" spans="2:7" x14ac:dyDescent="0.25">
      <c r="B136" s="4"/>
      <c r="C136" s="4"/>
      <c r="D136" s="4"/>
      <c r="E136" s="4"/>
      <c r="F136" s="4"/>
      <c r="G136" s="4"/>
    </row>
    <row r="137" spans="2:7" x14ac:dyDescent="0.25">
      <c r="B137" s="4"/>
      <c r="C137" s="4"/>
      <c r="D137" s="4"/>
      <c r="E137" s="4"/>
      <c r="F137" s="4"/>
      <c r="G137" s="4"/>
    </row>
    <row r="138" spans="2:7" x14ac:dyDescent="0.25">
      <c r="B138" s="4"/>
      <c r="C138" s="4"/>
      <c r="D138" s="4"/>
      <c r="E138" s="4"/>
      <c r="F138" s="4"/>
      <c r="G138" s="4"/>
    </row>
    <row r="139" spans="2:7" x14ac:dyDescent="0.25">
      <c r="B139" s="4"/>
      <c r="C139" s="4"/>
      <c r="D139" s="4"/>
      <c r="E139" s="4"/>
      <c r="F139" s="4"/>
      <c r="G139" s="4"/>
    </row>
    <row r="140" spans="2:7" x14ac:dyDescent="0.25">
      <c r="B140" s="4"/>
      <c r="C140" s="4"/>
      <c r="D140" s="4"/>
      <c r="E140" s="4"/>
      <c r="F140" s="4"/>
      <c r="G140" s="4"/>
    </row>
    <row r="141" spans="2:7" x14ac:dyDescent="0.25">
      <c r="B141" s="4"/>
      <c r="C141" s="4"/>
      <c r="D141" s="4"/>
      <c r="E141" s="4"/>
      <c r="F141" s="4"/>
      <c r="G141" s="4"/>
    </row>
    <row r="142" spans="2:7" x14ac:dyDescent="0.25">
      <c r="B142" s="4"/>
      <c r="C142" s="4"/>
      <c r="D142" s="4"/>
      <c r="E142" s="4"/>
      <c r="F142" s="4"/>
      <c r="G142" s="4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4"/>
      <c r="C144" s="4"/>
      <c r="D144" s="4"/>
      <c r="E144" s="4"/>
      <c r="F144" s="4"/>
      <c r="G144" s="4"/>
    </row>
  </sheetData>
  <mergeCells count="4">
    <mergeCell ref="B1:D2"/>
    <mergeCell ref="E1:F2"/>
    <mergeCell ref="B24:B25"/>
    <mergeCell ref="B26:B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869C-01D1-4F89-BDA5-146F9AD2C8E7}">
  <dimension ref="A1:G390"/>
  <sheetViews>
    <sheetView showGridLines="0" workbookViewId="0">
      <pane ySplit="2655" topLeftCell="A368" activePane="bottomLeft"/>
      <selection activeCell="I1" sqref="I1:K1048576"/>
      <selection pane="bottomLeft" activeCell="D383" sqref="D383"/>
    </sheetView>
  </sheetViews>
  <sheetFormatPr defaultColWidth="12.42578125" defaultRowHeight="12.75" x14ac:dyDescent="0.25"/>
  <cols>
    <col min="1" max="1" width="10.28515625" style="224" customWidth="1"/>
    <col min="2" max="2" width="11.28515625" style="224" customWidth="1"/>
    <col min="3" max="6" width="13.85546875" style="224" customWidth="1"/>
    <col min="7" max="7" width="16.42578125" style="224" customWidth="1"/>
    <col min="8" max="16384" width="12.42578125" style="224"/>
  </cols>
  <sheetData>
    <row r="1" spans="1:7" s="55" customFormat="1" ht="21" customHeight="1" x14ac:dyDescent="0.25">
      <c r="A1" s="723" t="s">
        <v>95</v>
      </c>
      <c r="B1" s="723"/>
      <c r="C1" s="723"/>
      <c r="D1" s="723"/>
      <c r="E1" s="723"/>
      <c r="F1" s="723"/>
      <c r="G1" s="723"/>
    </row>
    <row r="2" spans="1:7" s="55" customFormat="1" ht="15.75" customHeight="1" x14ac:dyDescent="0.25">
      <c r="A2" s="723"/>
      <c r="B2" s="723"/>
      <c r="C2" s="723"/>
      <c r="D2" s="723"/>
      <c r="E2" s="723"/>
      <c r="F2" s="723"/>
      <c r="G2" s="723"/>
    </row>
    <row r="3" spans="1:7" s="55" customFormat="1" ht="15" customHeight="1" thickBot="1" x14ac:dyDescent="0.3">
      <c r="A3" s="724"/>
      <c r="B3" s="724"/>
      <c r="C3" s="724"/>
      <c r="D3" s="724"/>
      <c r="E3" s="724"/>
      <c r="F3" s="724"/>
      <c r="G3" s="724"/>
    </row>
    <row r="4" spans="1:7" s="55" customFormat="1" ht="17.25" customHeight="1" thickBot="1" x14ac:dyDescent="0.3">
      <c r="A4" s="684" t="s">
        <v>93</v>
      </c>
      <c r="B4" s="685"/>
      <c r="C4" s="686"/>
      <c r="D4" s="687" t="s">
        <v>2</v>
      </c>
      <c r="E4" s="688"/>
      <c r="F4" s="688"/>
      <c r="G4" s="717"/>
    </row>
    <row r="5" spans="1:7" s="55" customFormat="1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721" t="s">
        <v>51</v>
      </c>
    </row>
    <row r="6" spans="1:7" s="55" customFormat="1" ht="15.75" customHeight="1" thickBot="1" x14ac:dyDescent="0.3">
      <c r="A6" s="202" t="s">
        <v>6</v>
      </c>
      <c r="B6" s="203" t="s">
        <v>7</v>
      </c>
      <c r="C6" s="203" t="s">
        <v>8</v>
      </c>
      <c r="D6" s="204" t="s">
        <v>9</v>
      </c>
      <c r="E6" s="204" t="s">
        <v>10</v>
      </c>
      <c r="F6" s="204" t="s">
        <v>11</v>
      </c>
      <c r="G6" s="722"/>
    </row>
    <row r="7" spans="1:7" ht="18" hidden="1" customHeight="1" x14ac:dyDescent="0.3">
      <c r="A7" s="218">
        <v>1993</v>
      </c>
      <c r="B7" s="219" t="s">
        <v>12</v>
      </c>
      <c r="C7" s="220">
        <v>8.1</v>
      </c>
      <c r="D7" s="221">
        <v>38.26</v>
      </c>
      <c r="E7" s="221">
        <v>2828.63</v>
      </c>
      <c r="F7" s="222">
        <v>2828.63</v>
      </c>
      <c r="G7" s="223">
        <f>+$C$383/C7</f>
        <v>96.491529491953003</v>
      </c>
    </row>
    <row r="8" spans="1:7" ht="18" hidden="1" customHeight="1" x14ac:dyDescent="0.3">
      <c r="A8" s="225">
        <v>1994</v>
      </c>
      <c r="B8" s="226" t="s">
        <v>13</v>
      </c>
      <c r="C8" s="227">
        <v>8.1</v>
      </c>
      <c r="D8" s="228">
        <v>42.67</v>
      </c>
      <c r="E8" s="228">
        <v>2828.63</v>
      </c>
      <c r="F8" s="229"/>
      <c r="G8" s="230">
        <f>+$C$383/C8</f>
        <v>96.491529491953003</v>
      </c>
    </row>
    <row r="9" spans="1:7" ht="18" hidden="1" customHeight="1" x14ac:dyDescent="0.3">
      <c r="A9" s="225">
        <v>1994</v>
      </c>
      <c r="B9" s="226" t="s">
        <v>14</v>
      </c>
      <c r="C9" s="227">
        <v>16.437100000000001</v>
      </c>
      <c r="D9" s="228">
        <v>41.98</v>
      </c>
      <c r="E9" s="228">
        <f>100*((C9/8.1)-1)</f>
        <v>102.9271604938272</v>
      </c>
      <c r="F9" s="229"/>
      <c r="G9" s="230">
        <f>+$C$383/C9</f>
        <v>47.549834757032521</v>
      </c>
    </row>
    <row r="10" spans="1:7" ht="18" hidden="1" customHeight="1" x14ac:dyDescent="0.3">
      <c r="A10" s="225">
        <v>1994</v>
      </c>
      <c r="B10" s="226" t="s">
        <v>15</v>
      </c>
      <c r="C10" s="227">
        <v>23.252099999999999</v>
      </c>
      <c r="D10" s="228">
        <f>100*((C10/C9)-1)</f>
        <v>41.461084984577546</v>
      </c>
      <c r="E10" s="228">
        <f t="shared" ref="E10:E18" si="0">100*((C10/8.1)-1)</f>
        <v>187.06296296296296</v>
      </c>
      <c r="F10" s="229"/>
      <c r="G10" s="230">
        <f>+$C$383/C10</f>
        <v>33.613367776881198</v>
      </c>
    </row>
    <row r="11" spans="1:7" ht="18" hidden="1" customHeight="1" x14ac:dyDescent="0.3">
      <c r="A11" s="225">
        <v>1994</v>
      </c>
      <c r="B11" s="226" t="s">
        <v>16</v>
      </c>
      <c r="C11" s="227">
        <v>34.317900000000002</v>
      </c>
      <c r="D11" s="228">
        <f t="shared" ref="D11:D34" si="1">100*((C11/C10)-1)</f>
        <v>47.590540209271424</v>
      </c>
      <c r="E11" s="228">
        <f t="shared" si="0"/>
        <v>323.67777777777781</v>
      </c>
      <c r="F11" s="229"/>
      <c r="G11" s="230">
        <f>+$C$383/C11</f>
        <v>22.774744051495553</v>
      </c>
    </row>
    <row r="12" spans="1:7" ht="18" hidden="1" customHeight="1" x14ac:dyDescent="0.3">
      <c r="A12" s="225">
        <v>1994</v>
      </c>
      <c r="B12" s="226" t="s">
        <v>17</v>
      </c>
      <c r="C12" s="227">
        <v>49.353099999999998</v>
      </c>
      <c r="D12" s="228">
        <f t="shared" si="1"/>
        <v>43.811538584820163</v>
      </c>
      <c r="E12" s="228">
        <f t="shared" si="0"/>
        <v>509.29753086419748</v>
      </c>
      <c r="F12" s="229"/>
      <c r="G12" s="230">
        <f>+$C$383/C12</f>
        <v>15.836520682283773</v>
      </c>
    </row>
    <row r="13" spans="1:7" ht="18" hidden="1" customHeight="1" x14ac:dyDescent="0.3">
      <c r="A13" s="225">
        <v>1994</v>
      </c>
      <c r="B13" s="226" t="s">
        <v>18</v>
      </c>
      <c r="C13" s="227">
        <v>73.5869</v>
      </c>
      <c r="D13" s="228">
        <f t="shared" si="1"/>
        <v>49.102893232643964</v>
      </c>
      <c r="E13" s="228">
        <f t="shared" si="0"/>
        <v>808.48024691358023</v>
      </c>
      <c r="F13" s="229"/>
      <c r="G13" s="230">
        <f>+$C$383/C13</f>
        <v>10.621202807630425</v>
      </c>
    </row>
    <row r="14" spans="1:7" ht="18" hidden="1" customHeight="1" x14ac:dyDescent="0.3">
      <c r="A14" s="225">
        <v>1994</v>
      </c>
      <c r="B14" s="226" t="s">
        <v>19</v>
      </c>
      <c r="C14" s="227">
        <v>97.464100000000002</v>
      </c>
      <c r="D14" s="228">
        <f t="shared" si="1"/>
        <v>32.447623150316154</v>
      </c>
      <c r="E14" s="228">
        <f t="shared" si="0"/>
        <v>1103.2604938271606</v>
      </c>
      <c r="F14" s="229"/>
      <c r="G14" s="230">
        <f>+$C$383/C14</f>
        <v>8.0191720734590408</v>
      </c>
    </row>
    <row r="15" spans="1:7" ht="18" hidden="1" customHeight="1" x14ac:dyDescent="0.3">
      <c r="A15" s="225">
        <v>1994</v>
      </c>
      <c r="B15" s="226" t="s">
        <v>20</v>
      </c>
      <c r="C15" s="227">
        <v>100</v>
      </c>
      <c r="D15" s="228">
        <f t="shared" si="1"/>
        <v>2.6018811028881483</v>
      </c>
      <c r="E15" s="228">
        <f t="shared" si="0"/>
        <v>1134.5679012345679</v>
      </c>
      <c r="F15" s="229"/>
      <c r="G15" s="230">
        <f>+$C$383/C15</f>
        <v>7.8158138888481927</v>
      </c>
    </row>
    <row r="16" spans="1:7" ht="18" hidden="1" customHeight="1" x14ac:dyDescent="0.3">
      <c r="A16" s="225">
        <v>1994</v>
      </c>
      <c r="B16" s="226" t="s">
        <v>21</v>
      </c>
      <c r="C16" s="227">
        <v>101.458</v>
      </c>
      <c r="D16" s="228">
        <f t="shared" si="1"/>
        <v>1.4580000000000037</v>
      </c>
      <c r="E16" s="228">
        <f t="shared" si="0"/>
        <v>1152.5679012345679</v>
      </c>
      <c r="F16" s="229"/>
      <c r="G16" s="230">
        <f>+$C$383/C16</f>
        <v>7.7034969039880474</v>
      </c>
    </row>
    <row r="17" spans="1:7" ht="18" hidden="1" customHeight="1" x14ac:dyDescent="0.3">
      <c r="A17" s="225">
        <v>1994</v>
      </c>
      <c r="B17" s="226" t="s">
        <v>22</v>
      </c>
      <c r="C17" s="227">
        <v>104.143</v>
      </c>
      <c r="D17" s="228">
        <f t="shared" si="1"/>
        <v>2.6464152654300355</v>
      </c>
      <c r="E17" s="228">
        <f t="shared" si="0"/>
        <v>1185.7160493827162</v>
      </c>
      <c r="F17" s="229"/>
      <c r="G17" s="230">
        <f>+$C$383/C17</f>
        <v>7.5048864434942271</v>
      </c>
    </row>
    <row r="18" spans="1:7" ht="18" hidden="1" customHeight="1" x14ac:dyDescent="0.3">
      <c r="A18" s="225">
        <v>1994</v>
      </c>
      <c r="B18" s="226" t="s">
        <v>23</v>
      </c>
      <c r="C18" s="227">
        <v>107.381</v>
      </c>
      <c r="D18" s="228">
        <f t="shared" si="1"/>
        <v>3.1091864071516984</v>
      </c>
      <c r="E18" s="228">
        <f t="shared" si="0"/>
        <v>1225.6913580246915</v>
      </c>
      <c r="F18" s="229"/>
      <c r="G18" s="230">
        <f>+$C$383/C18</f>
        <v>7.2785817685141625</v>
      </c>
    </row>
    <row r="19" spans="1:7" ht="18" hidden="1" customHeight="1" x14ac:dyDescent="0.3">
      <c r="A19" s="225">
        <v>1994</v>
      </c>
      <c r="B19" s="226" t="s">
        <v>12</v>
      </c>
      <c r="C19" s="227">
        <v>108.577</v>
      </c>
      <c r="D19" s="228">
        <f t="shared" si="1"/>
        <v>1.113791080358717</v>
      </c>
      <c r="E19" s="228">
        <f>100*($C$18/$C$7-1)</f>
        <v>1225.6913580246915</v>
      </c>
      <c r="F19" s="229">
        <f>100*($C$18/$C$7-1)</f>
        <v>1225.6913580246915</v>
      </c>
      <c r="G19" s="230">
        <f>+$C$383/C19</f>
        <v>7.1984065583394203</v>
      </c>
    </row>
    <row r="20" spans="1:7" ht="18" hidden="1" customHeight="1" x14ac:dyDescent="0.3">
      <c r="A20" s="225">
        <v>1995</v>
      </c>
      <c r="B20" s="226" t="s">
        <v>13</v>
      </c>
      <c r="C20" s="227">
        <v>110.342</v>
      </c>
      <c r="D20" s="228">
        <f>100*((C20/C19)-1)</f>
        <v>1.625574477099212</v>
      </c>
      <c r="E20" s="228">
        <f>100*((C20/108.58)-1)</f>
        <v>1.6227666236876104</v>
      </c>
      <c r="F20" s="229">
        <f>100*($C$18/$C$7-1)</f>
        <v>1225.6913580246915</v>
      </c>
      <c r="G20" s="230">
        <f>+$C$383/C20</f>
        <v>7.0832628453790871</v>
      </c>
    </row>
    <row r="21" spans="1:7" ht="18" hidden="1" customHeight="1" x14ac:dyDescent="0.3">
      <c r="A21" s="225">
        <v>1995</v>
      </c>
      <c r="B21" s="226" t="s">
        <v>14</v>
      </c>
      <c r="C21" s="227">
        <v>112.51300000000001</v>
      </c>
      <c r="D21" s="228">
        <f>100*((C21/C20)-1)</f>
        <v>1.9675191676786774</v>
      </c>
      <c r="E21" s="228">
        <f>100*((C21/108.58)-1)</f>
        <v>3.6222140357340171</v>
      </c>
      <c r="F21" s="229">
        <f t="shared" ref="F21:F34" si="2">100*((C21/C9)-1)</f>
        <v>584.50639103004789</v>
      </c>
      <c r="G21" s="230">
        <f>+$C$383/C21</f>
        <v>6.9465874066536246</v>
      </c>
    </row>
    <row r="22" spans="1:7" ht="18" hidden="1" customHeight="1" x14ac:dyDescent="0.3">
      <c r="A22" s="225">
        <v>1995</v>
      </c>
      <c r="B22" s="226" t="s">
        <v>15</v>
      </c>
      <c r="C22" s="227">
        <v>115.593</v>
      </c>
      <c r="D22" s="228">
        <f t="shared" si="1"/>
        <v>2.7374614488992366</v>
      </c>
      <c r="E22" s="228">
        <f>100*((C22/108.58)-1)</f>
        <v>6.4588321974581087</v>
      </c>
      <c r="F22" s="229">
        <f t="shared" si="2"/>
        <v>397.12929154786025</v>
      </c>
      <c r="G22" s="230">
        <f>+$C$383/C22</f>
        <v>6.7614941119688838</v>
      </c>
    </row>
    <row r="23" spans="1:7" ht="18" hidden="1" customHeight="1" x14ac:dyDescent="0.3">
      <c r="A23" s="225">
        <v>1995</v>
      </c>
      <c r="B23" s="226" t="s">
        <v>16</v>
      </c>
      <c r="C23" s="227">
        <v>118.941</v>
      </c>
      <c r="D23" s="228">
        <f t="shared" si="1"/>
        <v>2.8963691573019146</v>
      </c>
      <c r="E23" s="228">
        <f t="shared" ref="E23:E29" si="3">100*((C23/108.58)-1)</f>
        <v>9.5422729784490734</v>
      </c>
      <c r="F23" s="229">
        <f t="shared" si="2"/>
        <v>246.5858924934218</v>
      </c>
      <c r="G23" s="230">
        <f>+$C$383/C23</f>
        <v>6.5711688054146107</v>
      </c>
    </row>
    <row r="24" spans="1:7" ht="18" hidden="1" customHeight="1" x14ac:dyDescent="0.3">
      <c r="A24" s="225">
        <v>1995</v>
      </c>
      <c r="B24" s="226" t="s">
        <v>17</v>
      </c>
      <c r="C24" s="227">
        <v>121.568</v>
      </c>
      <c r="D24" s="228">
        <f t="shared" si="1"/>
        <v>2.2086580741712325</v>
      </c>
      <c r="E24" s="228">
        <f t="shared" si="3"/>
        <v>11.961687235218266</v>
      </c>
      <c r="F24" s="229">
        <f t="shared" si="2"/>
        <v>146.32292601680544</v>
      </c>
      <c r="G24" s="230">
        <f>+$C$383/C24</f>
        <v>6.4291704139643597</v>
      </c>
    </row>
    <row r="25" spans="1:7" ht="18" hidden="1" customHeight="1" x14ac:dyDescent="0.3">
      <c r="A25" s="225">
        <v>1995</v>
      </c>
      <c r="B25" s="226" t="s">
        <v>18</v>
      </c>
      <c r="C25" s="227">
        <v>126.91</v>
      </c>
      <c r="D25" s="228">
        <f t="shared" si="1"/>
        <v>4.3942484864438081</v>
      </c>
      <c r="E25" s="228">
        <f t="shared" si="3"/>
        <v>16.881561981948789</v>
      </c>
      <c r="F25" s="229">
        <f t="shared" si="2"/>
        <v>72.462761714381216</v>
      </c>
      <c r="G25" s="230">
        <f>+$C$383/C25</f>
        <v>6.1585484901490766</v>
      </c>
    </row>
    <row r="26" spans="1:7" ht="18" hidden="1" customHeight="1" x14ac:dyDescent="0.3">
      <c r="A26" s="225">
        <v>1995</v>
      </c>
      <c r="B26" s="226" t="s">
        <v>19</v>
      </c>
      <c r="C26" s="227">
        <v>130.24299999999999</v>
      </c>
      <c r="D26" s="228">
        <f t="shared" si="1"/>
        <v>2.6262705854542601</v>
      </c>
      <c r="E26" s="228">
        <f t="shared" si="3"/>
        <v>19.95118806410019</v>
      </c>
      <c r="F26" s="229">
        <f t="shared" si="2"/>
        <v>33.631768004834584</v>
      </c>
      <c r="G26" s="230">
        <f>+$C$383/C26</f>
        <v>6.0009473744064499</v>
      </c>
    </row>
    <row r="27" spans="1:7" ht="18" hidden="1" customHeight="1" x14ac:dyDescent="0.3">
      <c r="A27" s="225">
        <v>1995</v>
      </c>
      <c r="B27" s="226" t="s">
        <v>20</v>
      </c>
      <c r="C27" s="227">
        <v>131.21</v>
      </c>
      <c r="D27" s="228">
        <f t="shared" si="1"/>
        <v>0.74245832789479049</v>
      </c>
      <c r="E27" s="228">
        <f t="shared" si="3"/>
        <v>20.841775649290859</v>
      </c>
      <c r="F27" s="229">
        <f t="shared" si="2"/>
        <v>31.210000000000004</v>
      </c>
      <c r="G27" s="230">
        <f>+$C$383/C27</f>
        <v>5.9567212017744016</v>
      </c>
    </row>
    <row r="28" spans="1:7" ht="18" hidden="1" customHeight="1" x14ac:dyDescent="0.3">
      <c r="A28" s="225">
        <v>1995</v>
      </c>
      <c r="B28" s="226" t="s">
        <v>21</v>
      </c>
      <c r="C28" s="227">
        <v>132.095</v>
      </c>
      <c r="D28" s="228">
        <f t="shared" si="1"/>
        <v>0.67449127353096383</v>
      </c>
      <c r="E28" s="228">
        <f t="shared" si="3"/>
        <v>21.656842880825188</v>
      </c>
      <c r="F28" s="229">
        <f t="shared" si="2"/>
        <v>30.196731652506447</v>
      </c>
      <c r="G28" s="230">
        <f>+$C$383/C28</f>
        <v>5.9168128156616016</v>
      </c>
    </row>
    <row r="29" spans="1:7" ht="18" hidden="1" customHeight="1" x14ac:dyDescent="0.3">
      <c r="A29" s="225">
        <v>1995</v>
      </c>
      <c r="B29" s="226" t="s">
        <v>22</v>
      </c>
      <c r="C29" s="227">
        <v>132.93299999999999</v>
      </c>
      <c r="D29" s="228">
        <f t="shared" si="1"/>
        <v>0.63439191490972657</v>
      </c>
      <c r="E29" s="228">
        <f t="shared" si="3"/>
        <v>22.42862405599557</v>
      </c>
      <c r="F29" s="229">
        <f t="shared" si="2"/>
        <v>27.644680871493989</v>
      </c>
      <c r="G29" s="230">
        <f>+$C$383/C29</f>
        <v>5.8795136563894541</v>
      </c>
    </row>
    <row r="30" spans="1:7" ht="18" hidden="1" customHeight="1" x14ac:dyDescent="0.3">
      <c r="A30" s="225">
        <v>1995</v>
      </c>
      <c r="B30" s="226" t="s">
        <v>23</v>
      </c>
      <c r="C30" s="227">
        <v>134.595</v>
      </c>
      <c r="D30" s="228">
        <f t="shared" si="1"/>
        <v>1.250253887296604</v>
      </c>
      <c r="E30" s="228">
        <f>100*((C30/108.58)-1)</f>
        <v>23.95929268741941</v>
      </c>
      <c r="F30" s="229">
        <f t="shared" si="2"/>
        <v>25.34340339538652</v>
      </c>
      <c r="G30" s="230">
        <f>+$C$383/C30</f>
        <v>5.8069125070382945</v>
      </c>
    </row>
    <row r="31" spans="1:7" ht="18" hidden="1" customHeight="1" x14ac:dyDescent="0.3">
      <c r="A31" s="225">
        <v>1995</v>
      </c>
      <c r="B31" s="226" t="s">
        <v>12</v>
      </c>
      <c r="C31" s="227">
        <v>136.71</v>
      </c>
      <c r="D31" s="228">
        <f t="shared" si="1"/>
        <v>1.5713808090939585</v>
      </c>
      <c r="E31" s="228">
        <f>100*((C31/108.58)-1)</f>
        <v>25.907165223798124</v>
      </c>
      <c r="F31" s="229">
        <f t="shared" si="2"/>
        <v>25.910644059054878</v>
      </c>
      <c r="G31" s="230">
        <f>+$C$383/C31</f>
        <v>5.7170754801025474</v>
      </c>
    </row>
    <row r="32" spans="1:7" ht="18" hidden="1" customHeight="1" x14ac:dyDescent="0.3">
      <c r="A32" s="225">
        <v>1996</v>
      </c>
      <c r="B32" s="226" t="s">
        <v>13</v>
      </c>
      <c r="C32" s="227">
        <v>140.399</v>
      </c>
      <c r="D32" s="228">
        <f>100*((C32/C31)-1)</f>
        <v>2.6984126984126888</v>
      </c>
      <c r="E32" s="228">
        <f>100*((C32/C$31)-1)</f>
        <v>2.6984126984126888</v>
      </c>
      <c r="F32" s="229">
        <f t="shared" si="2"/>
        <v>27.239854271265695</v>
      </c>
      <c r="G32" s="230">
        <f>+$C$383/C32</f>
        <v>5.5668586591415838</v>
      </c>
    </row>
    <row r="33" spans="1:7" ht="18" hidden="1" customHeight="1" x14ac:dyDescent="0.3">
      <c r="A33" s="225">
        <v>1996</v>
      </c>
      <c r="B33" s="226" t="s">
        <v>14</v>
      </c>
      <c r="C33" s="227">
        <v>142.44200000000001</v>
      </c>
      <c r="D33" s="228">
        <f>100*((C33/C32)-1)</f>
        <v>1.4551385693630348</v>
      </c>
      <c r="E33" s="228">
        <f t="shared" ref="E33:E43" si="4">100*((C33/C$31)-1)</f>
        <v>4.1928169117109171</v>
      </c>
      <c r="F33" s="229">
        <f t="shared" si="2"/>
        <v>26.600481722112114</v>
      </c>
      <c r="G33" s="230">
        <f>+$C$383/C33</f>
        <v>5.4870149877481307</v>
      </c>
    </row>
    <row r="34" spans="1:7" ht="18" hidden="1" customHeight="1" x14ac:dyDescent="0.3">
      <c r="A34" s="225">
        <v>1996</v>
      </c>
      <c r="B34" s="226" t="s">
        <v>15</v>
      </c>
      <c r="C34" s="227">
        <v>143.05600000000001</v>
      </c>
      <c r="D34" s="228">
        <f t="shared" si="1"/>
        <v>0.43105263896885404</v>
      </c>
      <c r="E34" s="228">
        <f t="shared" si="4"/>
        <v>4.6419427986248207</v>
      </c>
      <c r="F34" s="229">
        <f t="shared" si="2"/>
        <v>23.758359070185907</v>
      </c>
      <c r="G34" s="230">
        <f>+$C$383/C34</f>
        <v>5.4634645794990719</v>
      </c>
    </row>
    <row r="35" spans="1:7" ht="18" hidden="1" customHeight="1" x14ac:dyDescent="0.3">
      <c r="A35" s="225">
        <v>1996</v>
      </c>
      <c r="B35" s="226" t="s">
        <v>16</v>
      </c>
      <c r="C35" s="227">
        <v>144.934</v>
      </c>
      <c r="D35" s="228">
        <f>100*((C35/C34)-1)</f>
        <v>1.312772620512237</v>
      </c>
      <c r="E35" s="228">
        <f t="shared" si="4"/>
        <v>6.0156535732572625</v>
      </c>
      <c r="F35" s="229">
        <f>100*((C35/C23)-1)</f>
        <v>21.853692166704498</v>
      </c>
      <c r="G35" s="230">
        <f>+$C$383/C35</f>
        <v>5.3926710701755232</v>
      </c>
    </row>
    <row r="36" spans="1:7" ht="18" hidden="1" customHeight="1" x14ac:dyDescent="0.3">
      <c r="A36" s="225">
        <v>1996</v>
      </c>
      <c r="B36" s="226" t="s">
        <v>17</v>
      </c>
      <c r="C36" s="227">
        <f>+C35*(1+D36/100)</f>
        <v>147.94862719999998</v>
      </c>
      <c r="D36" s="228">
        <v>2.08</v>
      </c>
      <c r="E36" s="228">
        <f t="shared" si="4"/>
        <v>8.2207791675809929</v>
      </c>
      <c r="F36" s="229">
        <f t="shared" ref="F36:F52" si="5">100*((C36/C24)-1)</f>
        <v>21.700305343511438</v>
      </c>
      <c r="G36" s="230">
        <f>+$C$383/C36</f>
        <v>5.2827890577738286</v>
      </c>
    </row>
    <row r="37" spans="1:7" ht="18" hidden="1" customHeight="1" x14ac:dyDescent="0.3">
      <c r="A37" s="225">
        <v>1996</v>
      </c>
      <c r="B37" s="226" t="s">
        <v>18</v>
      </c>
      <c r="C37" s="227">
        <f t="shared" ref="C37:C46" si="6">+C36*(1+D37/100)</f>
        <v>150.27142064703997</v>
      </c>
      <c r="D37" s="228">
        <v>1.57</v>
      </c>
      <c r="E37" s="228">
        <f t="shared" si="4"/>
        <v>9.9198454005120063</v>
      </c>
      <c r="F37" s="229">
        <f t="shared" si="5"/>
        <v>18.407864350358505</v>
      </c>
      <c r="G37" s="230">
        <f>+$C$383/C37</f>
        <v>5.2011312964200336</v>
      </c>
    </row>
    <row r="38" spans="1:7" ht="18" hidden="1" customHeight="1" x14ac:dyDescent="0.3">
      <c r="A38" s="225">
        <v>1996</v>
      </c>
      <c r="B38" s="226" t="s">
        <v>19</v>
      </c>
      <c r="C38" s="227">
        <f t="shared" si="6"/>
        <v>151.41348344395749</v>
      </c>
      <c r="D38" s="228">
        <v>0.76</v>
      </c>
      <c r="E38" s="228">
        <f t="shared" si="4"/>
        <v>10.755236225555898</v>
      </c>
      <c r="F38" s="229">
        <f t="shared" si="5"/>
        <v>16.254603659281109</v>
      </c>
      <c r="G38" s="230">
        <f>+$C$383/C38</f>
        <v>5.1619008499603352</v>
      </c>
    </row>
    <row r="39" spans="1:7" ht="18" hidden="1" customHeight="1" x14ac:dyDescent="0.3">
      <c r="A39" s="225">
        <v>1996</v>
      </c>
      <c r="B39" s="226" t="s">
        <v>20</v>
      </c>
      <c r="C39" s="227">
        <f t="shared" si="6"/>
        <v>151.42862479230189</v>
      </c>
      <c r="D39" s="228">
        <v>0.01</v>
      </c>
      <c r="E39" s="228">
        <f t="shared" si="4"/>
        <v>10.76631174917846</v>
      </c>
      <c r="F39" s="229">
        <f t="shared" si="5"/>
        <v>15.409362695146612</v>
      </c>
      <c r="G39" s="230">
        <f>+$C$383/C39</f>
        <v>5.1613847114891858</v>
      </c>
    </row>
    <row r="40" spans="1:7" ht="18" hidden="1" customHeight="1" x14ac:dyDescent="0.3">
      <c r="A40" s="225">
        <v>1996</v>
      </c>
      <c r="B40" s="226" t="s">
        <v>21</v>
      </c>
      <c r="C40" s="227">
        <f t="shared" si="6"/>
        <v>150.89862460552885</v>
      </c>
      <c r="D40" s="228">
        <v>-0.35</v>
      </c>
      <c r="E40" s="228">
        <f t="shared" si="4"/>
        <v>10.37862965805636</v>
      </c>
      <c r="F40" s="229">
        <f t="shared" si="5"/>
        <v>14.234925323084791</v>
      </c>
      <c r="G40" s="230">
        <f>+$C$383/C40</f>
        <v>5.1795130070137336</v>
      </c>
    </row>
    <row r="41" spans="1:7" ht="18" hidden="1" customHeight="1" x14ac:dyDescent="0.3">
      <c r="A41" s="225">
        <v>1996</v>
      </c>
      <c r="B41" s="226" t="s">
        <v>22</v>
      </c>
      <c r="C41" s="227">
        <f t="shared" si="6"/>
        <v>151.1702421298188</v>
      </c>
      <c r="D41" s="228">
        <v>0.18</v>
      </c>
      <c r="E41" s="228">
        <f t="shared" si="4"/>
        <v>10.577311191440852</v>
      </c>
      <c r="F41" s="229">
        <f t="shared" si="5"/>
        <v>13.71912326496718</v>
      </c>
      <c r="G41" s="230">
        <f>+$C$383/C41</f>
        <v>5.1702066350706062</v>
      </c>
    </row>
    <row r="42" spans="1:7" ht="18" hidden="1" customHeight="1" x14ac:dyDescent="0.3">
      <c r="A42" s="225">
        <v>1996</v>
      </c>
      <c r="B42" s="226" t="s">
        <v>23</v>
      </c>
      <c r="C42" s="227">
        <f t="shared" si="6"/>
        <v>151.54816773514335</v>
      </c>
      <c r="D42" s="228">
        <v>0.25</v>
      </c>
      <c r="E42" s="228">
        <f t="shared" si="4"/>
        <v>10.853754469419453</v>
      </c>
      <c r="F42" s="229">
        <f t="shared" si="5"/>
        <v>12.595689093312057</v>
      </c>
      <c r="G42" s="230">
        <f>+$C$383/C42</f>
        <v>5.1573133516913776</v>
      </c>
    </row>
    <row r="43" spans="1:7" ht="18" hidden="1" customHeight="1" x14ac:dyDescent="0.3">
      <c r="A43" s="225">
        <v>1996</v>
      </c>
      <c r="B43" s="226" t="s">
        <v>12</v>
      </c>
      <c r="C43" s="227">
        <v>152.22</v>
      </c>
      <c r="D43" s="228">
        <v>0.44</v>
      </c>
      <c r="E43" s="228">
        <f t="shared" si="4"/>
        <v>11.345183234584155</v>
      </c>
      <c r="F43" s="229">
        <f t="shared" si="5"/>
        <v>11.345183234584155</v>
      </c>
      <c r="G43" s="230">
        <f>+$C$383/C43</f>
        <v>5.1345512342978532</v>
      </c>
    </row>
    <row r="44" spans="1:7" ht="18" hidden="1" customHeight="1" x14ac:dyDescent="0.3">
      <c r="A44" s="225">
        <v>1997</v>
      </c>
      <c r="B44" s="226" t="s">
        <v>13</v>
      </c>
      <c r="C44" s="227">
        <f t="shared" si="6"/>
        <v>155.03607</v>
      </c>
      <c r="D44" s="228">
        <v>1.85</v>
      </c>
      <c r="E44" s="228">
        <f>100*(C44/C$43-1)</f>
        <v>1.8499999999999961</v>
      </c>
      <c r="F44" s="229">
        <f t="shared" si="5"/>
        <v>10.425337787306166</v>
      </c>
      <c r="G44" s="230">
        <f>+$C$383/C44</f>
        <v>5.0412874170818398</v>
      </c>
    </row>
    <row r="45" spans="1:7" ht="18" hidden="1" customHeight="1" x14ac:dyDescent="0.3">
      <c r="A45" s="225">
        <v>1997</v>
      </c>
      <c r="B45" s="226" t="s">
        <v>14</v>
      </c>
      <c r="C45" s="227">
        <f t="shared" si="6"/>
        <v>155.85776117100002</v>
      </c>
      <c r="D45" s="228">
        <v>0.53</v>
      </c>
      <c r="E45" s="228">
        <f>100*(C45/C$43-1)</f>
        <v>2.3898050000000115</v>
      </c>
      <c r="F45" s="229">
        <f t="shared" si="5"/>
        <v>9.4184026979402304</v>
      </c>
      <c r="G45" s="230">
        <f>+$C$383/C45</f>
        <v>5.0147094569599506</v>
      </c>
    </row>
    <row r="46" spans="1:7" ht="18" hidden="1" customHeight="1" x14ac:dyDescent="0.3">
      <c r="A46" s="225">
        <v>1997</v>
      </c>
      <c r="B46" s="226" t="s">
        <v>15</v>
      </c>
      <c r="C46" s="227">
        <f t="shared" si="6"/>
        <v>156.83966506637731</v>
      </c>
      <c r="D46" s="228">
        <v>0.63</v>
      </c>
      <c r="E46" s="228">
        <f>100*(C46/C$43-1)</f>
        <v>3.0348607715000142</v>
      </c>
      <c r="F46" s="229">
        <f t="shared" si="5"/>
        <v>9.6351534129133221</v>
      </c>
      <c r="G46" s="230">
        <f>+$C$383/C46</f>
        <v>4.9833145751365908</v>
      </c>
    </row>
    <row r="47" spans="1:7" ht="18" hidden="1" customHeight="1" x14ac:dyDescent="0.3">
      <c r="A47" s="225">
        <v>1997</v>
      </c>
      <c r="B47" s="226" t="s">
        <v>16</v>
      </c>
      <c r="C47" s="227">
        <v>158.09299999999999</v>
      </c>
      <c r="D47" s="228">
        <v>0.8</v>
      </c>
      <c r="E47" s="228">
        <f t="shared" ref="E47:E52" si="7">100*((C47/152.22)-1)</f>
        <v>3.8582315070292861</v>
      </c>
      <c r="F47" s="229">
        <f t="shared" si="5"/>
        <v>9.0793050629941909</v>
      </c>
      <c r="G47" s="230">
        <f>+$C$383/C47</f>
        <v>4.9438076884164337</v>
      </c>
    </row>
    <row r="48" spans="1:7" ht="18" hidden="1" customHeight="1" x14ac:dyDescent="0.3">
      <c r="A48" s="225">
        <v>1997</v>
      </c>
      <c r="B48" s="226" t="s">
        <v>17</v>
      </c>
      <c r="C48" s="227">
        <v>158.709</v>
      </c>
      <c r="D48" s="228">
        <f>100*((C48/C47)-1)</f>
        <v>0.38964407026245151</v>
      </c>
      <c r="E48" s="228">
        <f t="shared" si="7"/>
        <v>4.262908947575883</v>
      </c>
      <c r="F48" s="229">
        <f t="shared" si="5"/>
        <v>7.2730467349683137</v>
      </c>
      <c r="G48" s="230">
        <f>+$C$383/C48</f>
        <v>4.9246192017139494</v>
      </c>
    </row>
    <row r="49" spans="1:7" ht="18" hidden="1" customHeight="1" x14ac:dyDescent="0.3">
      <c r="A49" s="225">
        <v>1997</v>
      </c>
      <c r="B49" s="226" t="s">
        <v>18</v>
      </c>
      <c r="C49" s="227">
        <v>160.77000000000001</v>
      </c>
      <c r="D49" s="228">
        <f>100*((C49/C48)-1)</f>
        <v>1.2986031037937495</v>
      </c>
      <c r="E49" s="228">
        <f t="shared" si="7"/>
        <v>5.616870319274736</v>
      </c>
      <c r="F49" s="229">
        <f t="shared" si="5"/>
        <v>6.986411193662212</v>
      </c>
      <c r="G49" s="230">
        <f>+$C$383/C49</f>
        <v>4.8614877706339445</v>
      </c>
    </row>
    <row r="50" spans="1:7" ht="18" hidden="1" customHeight="1" x14ac:dyDescent="0.3">
      <c r="A50" s="225">
        <v>1997</v>
      </c>
      <c r="B50" s="226" t="s">
        <v>19</v>
      </c>
      <c r="C50" s="227">
        <v>161.15</v>
      </c>
      <c r="D50" s="228">
        <f>100*((C50/C49)-1)</f>
        <v>0.23636250544254445</v>
      </c>
      <c r="E50" s="228">
        <f t="shared" si="7"/>
        <v>5.8665090001313924</v>
      </c>
      <c r="F50" s="229">
        <f t="shared" si="5"/>
        <v>6.4304157955960894</v>
      </c>
      <c r="G50" s="230">
        <f>+$C$383/C50</f>
        <v>4.8500241320807893</v>
      </c>
    </row>
    <row r="51" spans="1:7" ht="18" hidden="1" customHeight="1" x14ac:dyDescent="0.3">
      <c r="A51" s="225">
        <v>1997</v>
      </c>
      <c r="B51" s="226" t="s">
        <v>20</v>
      </c>
      <c r="C51" s="227">
        <v>160.71</v>
      </c>
      <c r="D51" s="228">
        <f>100*((C51/C50)-1)</f>
        <v>-0.27303754266211344</v>
      </c>
      <c r="E51" s="228">
        <f t="shared" si="7"/>
        <v>5.5774536854552581</v>
      </c>
      <c r="F51" s="229">
        <f t="shared" si="5"/>
        <v>6.1292078828744323</v>
      </c>
      <c r="G51" s="230">
        <f>+$C$383/C51</f>
        <v>4.8633027744684165</v>
      </c>
    </row>
    <row r="52" spans="1:7" ht="18" hidden="1" customHeight="1" x14ac:dyDescent="0.3">
      <c r="A52" s="225">
        <v>1997</v>
      </c>
      <c r="B52" s="226" t="s">
        <v>21</v>
      </c>
      <c r="C52" s="227">
        <v>160.977</v>
      </c>
      <c r="D52" s="228">
        <f>100*((C52/C51)-1)</f>
        <v>0.16613776367369049</v>
      </c>
      <c r="E52" s="228">
        <f t="shared" si="7"/>
        <v>5.7528577059519082</v>
      </c>
      <c r="F52" s="229">
        <f t="shared" si="5"/>
        <v>6.6789047420528158</v>
      </c>
      <c r="G52" s="230">
        <f>+$C$383/C52</f>
        <v>4.8552363933035103</v>
      </c>
    </row>
    <row r="53" spans="1:7" ht="18" hidden="1" customHeight="1" x14ac:dyDescent="0.3">
      <c r="A53" s="225">
        <v>1997</v>
      </c>
      <c r="B53" s="226" t="s">
        <v>22</v>
      </c>
      <c r="C53" s="227">
        <v>161.47</v>
      </c>
      <c r="D53" s="228">
        <v>0.28999999999999998</v>
      </c>
      <c r="E53" s="228">
        <f>100*(($C$53/$C$43)-1)</f>
        <v>6.0767310471685709</v>
      </c>
      <c r="F53" s="229">
        <v>6.81</v>
      </c>
      <c r="G53" s="230">
        <f>+$C$383/C53</f>
        <v>4.8404123916815465</v>
      </c>
    </row>
    <row r="54" spans="1:7" ht="18" hidden="1" customHeight="1" x14ac:dyDescent="0.3">
      <c r="A54" s="225">
        <v>1997</v>
      </c>
      <c r="B54" s="226" t="s">
        <v>23</v>
      </c>
      <c r="C54" s="227">
        <v>162.32</v>
      </c>
      <c r="D54" s="228">
        <f>100*($C$54/$C$53-1)</f>
        <v>0.52641357527714039</v>
      </c>
      <c r="E54" s="228">
        <f>100*(($C$54/$C$43)-1)</f>
        <v>6.6351333596110784</v>
      </c>
      <c r="F54" s="229">
        <v>7.1</v>
      </c>
      <c r="G54" s="230">
        <f>+$C$383/C54</f>
        <v>4.8150652346280145</v>
      </c>
    </row>
    <row r="55" spans="1:7" ht="18" hidden="1" customHeight="1" x14ac:dyDescent="0.3">
      <c r="A55" s="225">
        <v>1997</v>
      </c>
      <c r="B55" s="226" t="s">
        <v>12</v>
      </c>
      <c r="C55" s="227">
        <v>163.22999999999999</v>
      </c>
      <c r="D55" s="228">
        <f>100*($C$55/$C$54-1)</f>
        <v>0.56062099556430933</v>
      </c>
      <c r="E55" s="228">
        <f>100*(($C$55/$C$43)-1)</f>
        <v>7.2329523058730638</v>
      </c>
      <c r="F55" s="229">
        <v>7.23</v>
      </c>
      <c r="G55" s="230">
        <f>+$C$383/C55</f>
        <v>4.7882214598102024</v>
      </c>
    </row>
    <row r="56" spans="1:7" ht="18" hidden="1" customHeight="1" x14ac:dyDescent="0.3">
      <c r="A56" s="225">
        <v>1998</v>
      </c>
      <c r="B56" s="226" t="s">
        <v>13</v>
      </c>
      <c r="C56" s="227">
        <v>165.29</v>
      </c>
      <c r="D56" s="228">
        <f>100*($C$56/$C$55-1)</f>
        <v>1.2620229124548299</v>
      </c>
      <c r="E56" s="228">
        <f>100*($C$56/$C$55-1)</f>
        <v>1.2620229124548299</v>
      </c>
      <c r="F56" s="229">
        <v>6.61</v>
      </c>
      <c r="G56" s="230">
        <f>+$C$383/C56</f>
        <v>4.7285461242955975</v>
      </c>
    </row>
    <row r="57" spans="1:7" ht="18" hidden="1" customHeight="1" x14ac:dyDescent="0.3">
      <c r="A57" s="225">
        <v>1998</v>
      </c>
      <c r="B57" s="226" t="s">
        <v>14</v>
      </c>
      <c r="C57" s="227">
        <v>165.52</v>
      </c>
      <c r="D57" s="228">
        <f>100*($C$57/$C$56-1)</f>
        <v>0.13914937382781822</v>
      </c>
      <c r="E57" s="228">
        <f>100*($C$57/$C$55-1)</f>
        <v>1.4029283832629025</v>
      </c>
      <c r="F57" s="229">
        <v>6.2</v>
      </c>
      <c r="G57" s="230">
        <f>+$C$383/C57</f>
        <v>4.7219755249203672</v>
      </c>
    </row>
    <row r="58" spans="1:7" ht="18" hidden="1" customHeight="1" x14ac:dyDescent="0.3">
      <c r="A58" s="225">
        <v>1998</v>
      </c>
      <c r="B58" s="226" t="s">
        <v>15</v>
      </c>
      <c r="C58" s="227">
        <v>166.07</v>
      </c>
      <c r="D58" s="228">
        <f>100*($C$58/$C$57-1)</f>
        <v>0.33228612856450734</v>
      </c>
      <c r="E58" s="228">
        <f>100*($C$58/$C$55-1)</f>
        <v>1.7398762482386809</v>
      </c>
      <c r="F58" s="229">
        <v>5.88</v>
      </c>
      <c r="G58" s="230">
        <f>+$C$383/C58</f>
        <v>4.7063370198399426</v>
      </c>
    </row>
    <row r="59" spans="1:7" ht="18" hidden="1" customHeight="1" x14ac:dyDescent="0.3">
      <c r="A59" s="225">
        <v>1998</v>
      </c>
      <c r="B59" s="226" t="s">
        <v>16</v>
      </c>
      <c r="C59" s="227">
        <v>166.45</v>
      </c>
      <c r="D59" s="228">
        <f>100*($C$59/$C$58-1)</f>
        <v>0.22881917263803953</v>
      </c>
      <c r="E59" s="228">
        <f>100*($C$59/$C$55-1)</f>
        <v>1.9726765913128608</v>
      </c>
      <c r="F59" s="229">
        <v>5.28</v>
      </c>
      <c r="G59" s="230">
        <f>+$C$383/C59</f>
        <v>4.6955926036937177</v>
      </c>
    </row>
    <row r="60" spans="1:7" ht="18" hidden="1" customHeight="1" x14ac:dyDescent="0.3">
      <c r="A60" s="225">
        <v>1998</v>
      </c>
      <c r="B60" s="226" t="s">
        <v>17</v>
      </c>
      <c r="C60" s="227">
        <v>166.68</v>
      </c>
      <c r="D60" s="228">
        <f>100*($C$60/$C$59-1)</f>
        <v>0.13817963352358298</v>
      </c>
      <c r="E60" s="228">
        <f>100*($C$60/$C$55-1)</f>
        <v>2.1135820621209334</v>
      </c>
      <c r="F60" s="229">
        <v>5.0199999999999996</v>
      </c>
      <c r="G60" s="230">
        <f>+$C$383/C60</f>
        <v>4.6891132042525756</v>
      </c>
    </row>
    <row r="61" spans="1:7" ht="18" hidden="1" customHeight="1" x14ac:dyDescent="0.3">
      <c r="A61" s="225">
        <v>1998</v>
      </c>
      <c r="B61" s="226" t="s">
        <v>18</v>
      </c>
      <c r="C61" s="227">
        <v>167.37</v>
      </c>
      <c r="D61" s="228">
        <f>100*($C$60/$C$59-1)</f>
        <v>0.13817963352358298</v>
      </c>
      <c r="E61" s="228">
        <f>100*($C$61/$C$55-1)</f>
        <v>2.5362984745451289</v>
      </c>
      <c r="F61" s="229">
        <v>4.0999999999999996</v>
      </c>
      <c r="G61" s="230">
        <f>+$C$383/C61</f>
        <v>4.6697818538855183</v>
      </c>
    </row>
    <row r="62" spans="1:7" ht="18" hidden="1" customHeight="1" x14ac:dyDescent="0.3">
      <c r="A62" s="225">
        <v>1998</v>
      </c>
      <c r="B62" s="226" t="s">
        <v>19</v>
      </c>
      <c r="C62" s="227">
        <v>166.95</v>
      </c>
      <c r="D62" s="228">
        <f>100*($C$61/$C$60-1)</f>
        <v>0.41396688264938586</v>
      </c>
      <c r="E62" s="228">
        <f>100*($C$62/$C$55-1)</f>
        <v>2.2789928321999664</v>
      </c>
      <c r="F62" s="229">
        <v>3.59</v>
      </c>
      <c r="G62" s="230">
        <f>+$C$383/C62</f>
        <v>4.6815297327632184</v>
      </c>
    </row>
    <row r="63" spans="1:7" ht="18" hidden="1" customHeight="1" x14ac:dyDescent="0.3">
      <c r="A63" s="225">
        <v>1998</v>
      </c>
      <c r="B63" s="226" t="s">
        <v>20</v>
      </c>
      <c r="C63" s="227">
        <v>166.08</v>
      </c>
      <c r="D63" s="228">
        <f>100*($C$62/$C$61-1)</f>
        <v>-0.25094102885823144</v>
      </c>
      <c r="E63" s="228">
        <f>100*($C$63/$C$55-1)</f>
        <v>1.7460025730564377</v>
      </c>
      <c r="F63" s="229">
        <v>3.33</v>
      </c>
      <c r="G63" s="230">
        <f>+$C$383/C63</f>
        <v>4.7060536421292101</v>
      </c>
    </row>
    <row r="64" spans="1:7" ht="18" hidden="1" customHeight="1" x14ac:dyDescent="0.3">
      <c r="A64" s="225">
        <v>1998</v>
      </c>
      <c r="B64" s="226" t="s">
        <v>21</v>
      </c>
      <c r="C64" s="227">
        <v>165.8</v>
      </c>
      <c r="D64" s="228">
        <f>100*($C$63/$C$62-1)</f>
        <v>-0.52111410601974884</v>
      </c>
      <c r="E64" s="228">
        <f>+$C$64/$C$55*100-100</f>
        <v>1.5744654781596665</v>
      </c>
      <c r="F64" s="229">
        <v>3.98</v>
      </c>
      <c r="G64" s="230">
        <f>+$C$383/C64</f>
        <v>4.7140011392329262</v>
      </c>
    </row>
    <row r="65" spans="1:7" ht="18" hidden="1" customHeight="1" x14ac:dyDescent="0.3">
      <c r="A65" s="225">
        <v>1998</v>
      </c>
      <c r="B65" s="226" t="s">
        <v>22</v>
      </c>
      <c r="C65" s="227">
        <v>166.13</v>
      </c>
      <c r="D65" s="228">
        <f>100*($C$65/$C$63-1)</f>
        <v>3.0105973025040811E-2</v>
      </c>
      <c r="E65" s="228">
        <f>+$C$65/$C$55*100-100</f>
        <v>1.7766341971451283</v>
      </c>
      <c r="F65" s="229">
        <v>2.16</v>
      </c>
      <c r="G65" s="230">
        <f>+$C$383/C65</f>
        <v>4.7046372653031918</v>
      </c>
    </row>
    <row r="66" spans="1:7" ht="18" hidden="1" customHeight="1" x14ac:dyDescent="0.3">
      <c r="A66" s="225">
        <v>1998</v>
      </c>
      <c r="B66" s="226" t="s">
        <v>23</v>
      </c>
      <c r="C66" s="227">
        <v>165.81</v>
      </c>
      <c r="D66" s="228">
        <f>100*($C$66/$C$65-1)</f>
        <v>-0.19262023716366539</v>
      </c>
      <c r="E66" s="228">
        <f>+$C$66/$C$55*100-100</f>
        <v>1.5805918029774091</v>
      </c>
      <c r="F66" s="229">
        <v>2.15</v>
      </c>
      <c r="G66" s="230">
        <f>+$C$383/C66</f>
        <v>4.7137168378554923</v>
      </c>
    </row>
    <row r="67" spans="1:7" ht="18" hidden="1" customHeight="1" x14ac:dyDescent="0.3">
      <c r="A67" s="225">
        <v>1998</v>
      </c>
      <c r="B67" s="226" t="s">
        <v>12</v>
      </c>
      <c r="C67" s="227">
        <v>165.96</v>
      </c>
      <c r="D67" s="228">
        <f>100*($C$67/$C$66-1)</f>
        <v>9.0464990048855221E-2</v>
      </c>
      <c r="E67" s="228">
        <f>+(($C$67/$C$55)-1)*100</f>
        <v>1.6724866752435341</v>
      </c>
      <c r="F67" s="229">
        <v>1.67</v>
      </c>
      <c r="G67" s="230">
        <f>+$C$383/C67</f>
        <v>4.7094564285660354</v>
      </c>
    </row>
    <row r="68" spans="1:7" ht="18" hidden="1" customHeight="1" x14ac:dyDescent="0.3">
      <c r="A68" s="225">
        <v>1999</v>
      </c>
      <c r="B68" s="226" t="s">
        <v>13</v>
      </c>
      <c r="C68" s="227">
        <v>167.03</v>
      </c>
      <c r="D68" s="228">
        <f>($C$68/$C$67-1)*100</f>
        <v>0.64473367076403054</v>
      </c>
      <c r="E68" s="228">
        <f>+(($C$68/$C$67)-1)*100</f>
        <v>0.64473367076403054</v>
      </c>
      <c r="F68" s="229">
        <f>+(($C$68/$C$56)-1)*100</f>
        <v>1.0526952628713282</v>
      </c>
      <c r="G68" s="230">
        <f>+$C$383/C68</f>
        <v>4.6792874865881533</v>
      </c>
    </row>
    <row r="69" spans="1:7" ht="18" hidden="1" customHeight="1" x14ac:dyDescent="0.3">
      <c r="A69" s="225">
        <v>1999</v>
      </c>
      <c r="B69" s="226" t="s">
        <v>14</v>
      </c>
      <c r="C69" s="227">
        <v>169.38</v>
      </c>
      <c r="D69" s="228">
        <f>($C$69/$C$68-1)*100</f>
        <v>1.4069328863078434</v>
      </c>
      <c r="E69" s="228">
        <f>+(($C$69/$C$67)-1)*100</f>
        <v>2.0607375271149531</v>
      </c>
      <c r="F69" s="229">
        <f>+(($C$69/$C$57)-1)*100</f>
        <v>2.3320444659255646</v>
      </c>
      <c r="G69" s="230">
        <f>+$C$383/C69</f>
        <v>4.6143664475429169</v>
      </c>
    </row>
    <row r="70" spans="1:7" ht="18" hidden="1" customHeight="1" x14ac:dyDescent="0.3">
      <c r="A70" s="225">
        <v>1999</v>
      </c>
      <c r="B70" s="226" t="s">
        <v>15</v>
      </c>
      <c r="C70" s="227">
        <v>170.99</v>
      </c>
      <c r="D70" s="228">
        <f>($C$70/$C$69-1)*100</f>
        <v>0.95052544574329989</v>
      </c>
      <c r="E70" s="228">
        <f>+(($C$70/$C$67)-1)*100</f>
        <v>3.0308508074234686</v>
      </c>
      <c r="F70" s="229">
        <f>+(($C$70/$C$58)-1)*100</f>
        <v>2.9626061299452111</v>
      </c>
      <c r="G70" s="230">
        <f>+$C$383/C70</f>
        <v>4.5709187021745086</v>
      </c>
    </row>
    <row r="71" spans="1:7" ht="18" hidden="1" customHeight="1" x14ac:dyDescent="0.3">
      <c r="A71" s="225">
        <v>1999</v>
      </c>
      <c r="B71" s="226" t="s">
        <v>16</v>
      </c>
      <c r="C71" s="227">
        <v>171.88</v>
      </c>
      <c r="D71" s="228">
        <f>($C$71/$C$70-1)*100</f>
        <v>0.52049827475291188</v>
      </c>
      <c r="E71" s="228">
        <f>+(($C$71/$C$67)-1)*100</f>
        <v>3.5671246083393449</v>
      </c>
      <c r="F71" s="229">
        <f>+(($C$71/$C$59)-1)*100</f>
        <v>3.2622409131871422</v>
      </c>
      <c r="G71" s="230">
        <f>+$C$383/C71</f>
        <v>4.5472503425926183</v>
      </c>
    </row>
    <row r="72" spans="1:7" ht="18" hidden="1" customHeight="1" x14ac:dyDescent="0.3">
      <c r="A72" s="225">
        <v>1999</v>
      </c>
      <c r="B72" s="226" t="s">
        <v>17</v>
      </c>
      <c r="C72" s="227">
        <v>172.02</v>
      </c>
      <c r="D72" s="228">
        <f>($C$72/$C$71-1)*100</f>
        <v>8.1452175936713722E-2</v>
      </c>
      <c r="E72" s="228">
        <f>+(($C$72/$C$67)-1)*100</f>
        <v>3.6514822848879191</v>
      </c>
      <c r="F72" s="229">
        <f>+(($C$72/$C$60)-1)*100</f>
        <v>3.2037437005039582</v>
      </c>
      <c r="G72" s="230">
        <f>+$C$383/C72</f>
        <v>4.5435495226416647</v>
      </c>
    </row>
    <row r="73" spans="1:7" ht="18" hidden="1" customHeight="1" x14ac:dyDescent="0.3">
      <c r="A73" s="225">
        <v>1999</v>
      </c>
      <c r="B73" s="226" t="s">
        <v>18</v>
      </c>
      <c r="C73" s="227">
        <v>173.13</v>
      </c>
      <c r="D73" s="228">
        <f>($C$73/$C$72-1)*100</f>
        <v>0.64527380537144907</v>
      </c>
      <c r="E73" s="228">
        <f>+(($C$73/$C$67)-1)*100</f>
        <v>4.3203181489515519</v>
      </c>
      <c r="F73" s="229">
        <f>+(($C$73/$C$61)-1)*100</f>
        <v>3.4414769671984091</v>
      </c>
      <c r="G73" s="230">
        <f>+$C$383/C73</f>
        <v>4.5144191583481739</v>
      </c>
    </row>
    <row r="74" spans="1:7" ht="18" hidden="1" customHeight="1" x14ac:dyDescent="0.3">
      <c r="A74" s="225">
        <v>1999</v>
      </c>
      <c r="B74" s="226" t="s">
        <v>19</v>
      </c>
      <c r="C74" s="227">
        <v>175.21</v>
      </c>
      <c r="D74" s="228">
        <f>($C$74/$C$73-1)*100</f>
        <v>1.2014093455784636</v>
      </c>
      <c r="E74" s="228">
        <f>+(($C$74/$C$67)-1)*100</f>
        <v>5.573632200530243</v>
      </c>
      <c r="F74" s="229">
        <f>+(($C$74/$C$62)-1)*100</f>
        <v>4.9475890985325011</v>
      </c>
      <c r="G74" s="230">
        <f>+$C$383/C74</f>
        <v>4.46082637340802</v>
      </c>
    </row>
    <row r="75" spans="1:7" ht="18" hidden="1" customHeight="1" x14ac:dyDescent="0.3">
      <c r="A75" s="225">
        <v>1999</v>
      </c>
      <c r="B75" s="226" t="s">
        <v>20</v>
      </c>
      <c r="C75" s="227">
        <v>176.05</v>
      </c>
      <c r="D75" s="228">
        <f>($C$75/$C$74-1)*100</f>
        <v>0.47942469037156599</v>
      </c>
      <c r="E75" s="228">
        <f>+(($C$75/$C$67)-1)*100</f>
        <v>6.0797782598216443</v>
      </c>
      <c r="F75" s="229">
        <f>+(($C$75/$C$63)-1)*100</f>
        <v>6.0031310211946076</v>
      </c>
      <c r="G75" s="230">
        <f>+$C$383/C75</f>
        <v>4.4395421123818188</v>
      </c>
    </row>
    <row r="76" spans="1:7" ht="18" hidden="1" customHeight="1" x14ac:dyDescent="0.3">
      <c r="A76" s="225">
        <v>1999</v>
      </c>
      <c r="B76" s="226" t="s">
        <v>21</v>
      </c>
      <c r="C76" s="227">
        <f>+$C$75*(1+$D$76/100)</f>
        <v>176.38449500000002</v>
      </c>
      <c r="D76" s="228">
        <v>0.19</v>
      </c>
      <c r="E76" s="228">
        <f>+(($C$76/$C$67)-1)*100</f>
        <v>6.2813298385153038</v>
      </c>
      <c r="F76" s="229">
        <f>+(($C$76/$C$64)-1)*100</f>
        <v>6.3838932448733399</v>
      </c>
      <c r="G76" s="230">
        <f>+$C$383/C76</f>
        <v>4.4311229787222466</v>
      </c>
    </row>
    <row r="77" spans="1:7" ht="18" hidden="1" customHeight="1" x14ac:dyDescent="0.3">
      <c r="A77" s="225">
        <v>1999</v>
      </c>
      <c r="B77" s="226" t="s">
        <v>22</v>
      </c>
      <c r="C77" s="227">
        <f>+$C$76*(1+$D$77/100)</f>
        <v>178.00723235400002</v>
      </c>
      <c r="D77" s="228">
        <v>0.92</v>
      </c>
      <c r="E77" s="228">
        <f>+(($C$77/$C$67)-1)*100</f>
        <v>7.2591180730296578</v>
      </c>
      <c r="F77" s="229">
        <f>+(($C$77/$C$65)-1)*100</f>
        <v>7.149360352735834</v>
      </c>
      <c r="G77" s="230">
        <f>+$C$383/C77</f>
        <v>4.3907282785594992</v>
      </c>
    </row>
    <row r="78" spans="1:7" ht="18" hidden="1" customHeight="1" x14ac:dyDescent="0.3">
      <c r="A78" s="225">
        <v>1999</v>
      </c>
      <c r="B78" s="226" t="s">
        <v>23</v>
      </c>
      <c r="C78" s="227">
        <f>+$C$77*(1+$D$78/100)</f>
        <v>180.00091335636483</v>
      </c>
      <c r="D78" s="228">
        <v>1.1200000000000001</v>
      </c>
      <c r="E78" s="228">
        <f>+(($C$78/$C$67)-1)*100</f>
        <v>8.4604201954475933</v>
      </c>
      <c r="F78" s="229">
        <f>+(($C$78/$C$66)-1)*100</f>
        <v>8.5585389037843527</v>
      </c>
      <c r="G78" s="230">
        <f>+$C$383/C78</f>
        <v>4.3420967944615292</v>
      </c>
    </row>
    <row r="79" spans="1:7" ht="18" hidden="1" customHeight="1" x14ac:dyDescent="0.3">
      <c r="A79" s="225">
        <v>1999</v>
      </c>
      <c r="B79" s="226" t="s">
        <v>12</v>
      </c>
      <c r="C79" s="227">
        <f>+$C$78*(1+$D$79/100)</f>
        <v>181.08091883650303</v>
      </c>
      <c r="D79" s="228">
        <v>0.6</v>
      </c>
      <c r="E79" s="228">
        <f>+(($C$79/$C$67)-1)*100</f>
        <v>9.1111827166202808</v>
      </c>
      <c r="F79" s="229">
        <f>+(($C$79/$C$67)-1)*100</f>
        <v>9.1111827166202808</v>
      </c>
      <c r="G79" s="230">
        <f>+$C$383/C79</f>
        <v>4.3161995968802476</v>
      </c>
    </row>
    <row r="80" spans="1:7" ht="18" hidden="1" customHeight="1" x14ac:dyDescent="0.3">
      <c r="A80" s="225">
        <v>2000</v>
      </c>
      <c r="B80" s="226" t="s">
        <v>13</v>
      </c>
      <c r="C80" s="227">
        <f>+$C$79*(1+$D$80/100)</f>
        <v>182.90983611675171</v>
      </c>
      <c r="D80" s="228">
        <v>1.01</v>
      </c>
      <c r="E80" s="228">
        <f>+(($C$80/$C$79)-1)*100</f>
        <v>1.0099999999999998</v>
      </c>
      <c r="F80" s="229">
        <f>+(($C$80/$C$68)-1)*100</f>
        <v>9.5071760263136582</v>
      </c>
      <c r="G80" s="230">
        <f>+$C$383/C80</f>
        <v>4.2730418739533196</v>
      </c>
    </row>
    <row r="81" spans="1:7" ht="18" hidden="1" customHeight="1" x14ac:dyDescent="0.3">
      <c r="A81" s="225">
        <v>2000</v>
      </c>
      <c r="B81" s="226" t="s">
        <v>14</v>
      </c>
      <c r="C81" s="227">
        <f>+$C$80*(1+$D$81/100)</f>
        <v>183.00129103481007</v>
      </c>
      <c r="D81" s="228">
        <v>0.05</v>
      </c>
      <c r="E81" s="228">
        <f>+(($C$81/$C$79)-1)*100</f>
        <v>1.0605049999999894</v>
      </c>
      <c r="F81" s="229">
        <f>+(($C$81/$C$69)-1)*100</f>
        <v>8.0418532499764162</v>
      </c>
      <c r="G81" s="230">
        <f>+$C$383/C81</f>
        <v>4.2709064207429481</v>
      </c>
    </row>
    <row r="82" spans="1:7" ht="18" hidden="1" customHeight="1" x14ac:dyDescent="0.3">
      <c r="A82" s="225">
        <v>2000</v>
      </c>
      <c r="B82" s="226" t="s">
        <v>15</v>
      </c>
      <c r="C82" s="227">
        <f>+$C$81*(1+$D$82/100)</f>
        <v>183.93459761908761</v>
      </c>
      <c r="D82" s="228">
        <v>0.51</v>
      </c>
      <c r="E82" s="228">
        <f>+(($C$82/$C$79)-1)*100</f>
        <v>1.5759135754999987</v>
      </c>
      <c r="F82" s="229">
        <f>+(($C$82/$C$70)-1)*100</f>
        <v>7.5703828405682128</v>
      </c>
      <c r="G82" s="230">
        <f>+$C$383/C82</f>
        <v>4.2492353206078484</v>
      </c>
    </row>
    <row r="83" spans="1:7" ht="18" hidden="1" customHeight="1" x14ac:dyDescent="0.3">
      <c r="A83" s="225">
        <v>2000</v>
      </c>
      <c r="B83" s="226" t="s">
        <v>16</v>
      </c>
      <c r="C83" s="227">
        <f>+$C$82*(1+$D$83/100)</f>
        <v>184.39443411313533</v>
      </c>
      <c r="D83" s="228">
        <v>0.25</v>
      </c>
      <c r="E83" s="228">
        <f>+(($C$83/$C$79)-1)*100</f>
        <v>1.8298533594387489</v>
      </c>
      <c r="F83" s="229">
        <f>+(($C$83/$C$71)-1)*100</f>
        <v>7.2809134937952935</v>
      </c>
      <c r="G83" s="230">
        <f>+$C$383/C83</f>
        <v>4.2386387237983518</v>
      </c>
    </row>
    <row r="84" spans="1:7" ht="18" hidden="1" customHeight="1" x14ac:dyDescent="0.3">
      <c r="A84" s="225">
        <v>2000</v>
      </c>
      <c r="B84" s="226" t="s">
        <v>17</v>
      </c>
      <c r="C84" s="227">
        <f>+$C$83*(1+$D$84/100)</f>
        <v>185.13201184958788</v>
      </c>
      <c r="D84" s="228">
        <v>0.4</v>
      </c>
      <c r="E84" s="228">
        <f>+(($C$84/$C$79)-1)*100</f>
        <v>2.2371727728765167</v>
      </c>
      <c r="F84" s="229">
        <f>+(($C$84/$C$72)-1)*100</f>
        <v>7.6223763804138311</v>
      </c>
      <c r="G84" s="230">
        <f>+$C$383/C84</f>
        <v>4.2217517169306298</v>
      </c>
    </row>
    <row r="85" spans="1:7" ht="18" hidden="1" customHeight="1" x14ac:dyDescent="0.3">
      <c r="A85" s="225">
        <v>2000</v>
      </c>
      <c r="B85" s="226" t="s">
        <v>18</v>
      </c>
      <c r="C85" s="227">
        <f>+$C$84*(1+$D$85/100)</f>
        <v>185.11349864840292</v>
      </c>
      <c r="D85" s="228">
        <v>-0.01</v>
      </c>
      <c r="E85" s="228">
        <f>+(($C$85/$C$79)-1)*100</f>
        <v>2.2269490555992144</v>
      </c>
      <c r="F85" s="229">
        <f>+(($C$85/$C$73)-1)*100</f>
        <v>6.921676571595281</v>
      </c>
      <c r="G85" s="230">
        <f>+$C$383/C85</f>
        <v>4.2221739343240614</v>
      </c>
    </row>
    <row r="86" spans="1:7" ht="18" hidden="1" customHeight="1" x14ac:dyDescent="0.3">
      <c r="A86" s="225">
        <v>2000</v>
      </c>
      <c r="B86" s="226" t="s">
        <v>19</v>
      </c>
      <c r="C86" s="227">
        <f>+$C$85*(1+$D$86/100)</f>
        <v>188.64916647258741</v>
      </c>
      <c r="D86" s="228">
        <v>1.91</v>
      </c>
      <c r="E86" s="228">
        <f>+(($C$86/$C$79)-1)*100</f>
        <v>4.1794837825611664</v>
      </c>
      <c r="F86" s="229">
        <f>+(($C$86/$C$74)-1)*100</f>
        <v>7.6703193154428417</v>
      </c>
      <c r="G86" s="230">
        <f>+$C$383/C86</f>
        <v>4.143041835270397</v>
      </c>
    </row>
    <row r="87" spans="1:7" ht="18" hidden="1" customHeight="1" x14ac:dyDescent="0.3">
      <c r="A87" s="225">
        <v>2000</v>
      </c>
      <c r="B87" s="226" t="s">
        <v>20</v>
      </c>
      <c r="C87" s="227">
        <f>+$C$86*(1+$D$87/100)</f>
        <v>190.27154930425166</v>
      </c>
      <c r="D87" s="228">
        <v>0.86</v>
      </c>
      <c r="E87" s="228">
        <f>+(($C$87/$C$79)-1)*100</f>
        <v>5.0754273430911878</v>
      </c>
      <c r="F87" s="229">
        <f>+(($C$87/$C$75)-1)*100</f>
        <v>8.0781308175243751</v>
      </c>
      <c r="G87" s="230">
        <f>+$C$383/C87</f>
        <v>4.1077154821241297</v>
      </c>
    </row>
    <row r="88" spans="1:7" ht="18" hidden="1" customHeight="1" x14ac:dyDescent="0.3">
      <c r="A88" s="225">
        <v>2000</v>
      </c>
      <c r="B88" s="226" t="s">
        <v>21</v>
      </c>
      <c r="C88" s="227">
        <f>+$C$87*(1+$D$88/100)</f>
        <v>190.34765792397334</v>
      </c>
      <c r="D88" s="228">
        <v>0.04</v>
      </c>
      <c r="E88" s="228">
        <f>+(($C$88/$C$79)-1)*100</f>
        <v>5.1174575140284118</v>
      </c>
      <c r="F88" s="229">
        <f>+(($C$88/$C$76)-1)*100</f>
        <v>7.9163210598376832</v>
      </c>
      <c r="G88" s="230">
        <f>+$C$383/C88</f>
        <v>4.1060730529029694</v>
      </c>
    </row>
    <row r="89" spans="1:7" ht="18" hidden="1" customHeight="1" x14ac:dyDescent="0.3">
      <c r="A89" s="225">
        <v>2000</v>
      </c>
      <c r="B89" s="226" t="s">
        <v>22</v>
      </c>
      <c r="C89" s="227">
        <f>+$C$88*(1+$D$89/100)</f>
        <v>190.38572745555814</v>
      </c>
      <c r="D89" s="228">
        <v>0.02</v>
      </c>
      <c r="E89" s="228">
        <f>+(($C$89/$C$79)-1)*100</f>
        <v>5.1384810055312258</v>
      </c>
      <c r="F89" s="229">
        <f>+(($C$89/$C$77)-1)*100</f>
        <v>6.9539281847499357</v>
      </c>
      <c r="G89" s="230">
        <f>+$C$383/C89</f>
        <v>4.1052520025024686</v>
      </c>
    </row>
    <row r="90" spans="1:7" ht="18" hidden="1" customHeight="1" x14ac:dyDescent="0.3">
      <c r="A90" s="225">
        <v>2000</v>
      </c>
      <c r="B90" s="226" t="s">
        <v>23</v>
      </c>
      <c r="C90" s="227">
        <f>+$C$89*(1+$D$90/100)</f>
        <v>191.14727036538036</v>
      </c>
      <c r="D90" s="228">
        <v>0.4</v>
      </c>
      <c r="E90" s="228">
        <f>+(($C$90/$C$79)-1)*100</f>
        <v>5.5590349295533414</v>
      </c>
      <c r="F90" s="229">
        <f>+(($C$90/$C$78)-1)*100</f>
        <v>6.1923891391306718</v>
      </c>
      <c r="G90" s="230">
        <f>+$C$383/C90</f>
        <v>4.0888964168351283</v>
      </c>
    </row>
    <row r="91" spans="1:7" ht="18" hidden="1" customHeight="1" x14ac:dyDescent="0.3">
      <c r="A91" s="225">
        <v>2000</v>
      </c>
      <c r="B91" s="226" t="s">
        <v>12</v>
      </c>
      <c r="C91" s="227">
        <f>+$C$90*(1+$D$91/100)</f>
        <v>192.33238344164573</v>
      </c>
      <c r="D91" s="228">
        <v>0.62</v>
      </c>
      <c r="E91" s="228">
        <f>+(($C$91/$C$79)-1)*100</f>
        <v>6.213500946116568</v>
      </c>
      <c r="F91" s="229">
        <f>+(($C$91/$C$79)-1)*100</f>
        <v>6.213500946116568</v>
      </c>
      <c r="G91" s="230">
        <f>+$C$383/C91</f>
        <v>4.0637014677351697</v>
      </c>
    </row>
    <row r="92" spans="1:7" ht="18" hidden="1" customHeight="1" x14ac:dyDescent="0.3">
      <c r="A92" s="225">
        <v>2001</v>
      </c>
      <c r="B92" s="226" t="s">
        <v>13</v>
      </c>
      <c r="C92" s="227">
        <f>+$C$91*(1+$D$92/100)</f>
        <v>193.56331069567224</v>
      </c>
      <c r="D92" s="228">
        <v>0.64</v>
      </c>
      <c r="E92" s="228">
        <f>+(($C$92/$C$91)-1)*100</f>
        <v>0.63999999999999613</v>
      </c>
      <c r="F92" s="229">
        <f>+(($C$92/$C$80)-1)*100</f>
        <v>5.8244405030905</v>
      </c>
      <c r="G92" s="230">
        <f>+$C$383/C92</f>
        <v>4.0378591690532302</v>
      </c>
    </row>
    <row r="93" spans="1:7" ht="18" hidden="1" customHeight="1" x14ac:dyDescent="0.3">
      <c r="A93" s="225">
        <v>2001</v>
      </c>
      <c r="B93" s="226" t="s">
        <v>14</v>
      </c>
      <c r="C93" s="227">
        <f>+$C$92*(1+$D$93/100)</f>
        <v>194.33756393845493</v>
      </c>
      <c r="D93" s="228">
        <v>0.4</v>
      </c>
      <c r="E93" s="228">
        <f>+(($C$93/$C$91)-1)*100</f>
        <v>1.0425599999999813</v>
      </c>
      <c r="F93" s="229">
        <f>+(($C$93/$C$81)-1)*100</f>
        <v>6.1946409446305584</v>
      </c>
      <c r="G93" s="230">
        <f>+$C$383/C93</f>
        <v>4.0217720807303081</v>
      </c>
    </row>
    <row r="94" spans="1:7" ht="18" hidden="1" customHeight="1" x14ac:dyDescent="0.3">
      <c r="A94" s="225">
        <v>2001</v>
      </c>
      <c r="B94" s="226" t="s">
        <v>15</v>
      </c>
      <c r="C94" s="227">
        <f>+$C$93*(1+$D$94/100)</f>
        <v>195.42585429651029</v>
      </c>
      <c r="D94" s="228">
        <v>0.56000000000000005</v>
      </c>
      <c r="E94" s="228">
        <f>+(($C$94/$C$91)-1)*100</f>
        <v>1.6083983359999943</v>
      </c>
      <c r="F94" s="229">
        <f>+(($C$94/$C$82)-1)*100</f>
        <v>6.2474688428221015</v>
      </c>
      <c r="G94" s="230">
        <f>+$C$383/C94</f>
        <v>3.9993755774963287</v>
      </c>
    </row>
    <row r="95" spans="1:7" ht="18" hidden="1" customHeight="1" x14ac:dyDescent="0.3">
      <c r="A95" s="225">
        <v>2001</v>
      </c>
      <c r="B95" s="226" t="s">
        <v>16</v>
      </c>
      <c r="C95" s="227">
        <f t="shared" ref="C95:C123" si="8">+C94*(1+D95/100)</f>
        <v>197.10651664346028</v>
      </c>
      <c r="D95" s="228">
        <v>0.86</v>
      </c>
      <c r="E95" s="228">
        <f t="shared" ref="E95:E100" si="9">+((C95/$C$91)-1)*100</f>
        <v>2.4822305616895912</v>
      </c>
      <c r="F95" s="229">
        <f t="shared" ref="F95:F145" si="10">+((C95/C83)-1)*100</f>
        <v>6.8939621694467323</v>
      </c>
      <c r="G95" s="230">
        <f>+$C$383/C95</f>
        <v>3.9652742192111132</v>
      </c>
    </row>
    <row r="96" spans="1:7" ht="18" hidden="1" customHeight="1" x14ac:dyDescent="0.3">
      <c r="A96" s="225">
        <v>2001</v>
      </c>
      <c r="B96" s="226" t="s">
        <v>17</v>
      </c>
      <c r="C96" s="227">
        <f t="shared" si="8"/>
        <v>197.91465336169847</v>
      </c>
      <c r="D96" s="228">
        <v>0.41</v>
      </c>
      <c r="E96" s="228">
        <f t="shared" si="9"/>
        <v>2.9024077069925269</v>
      </c>
      <c r="F96" s="229">
        <f t="shared" si="10"/>
        <v>6.9046089784277509</v>
      </c>
      <c r="G96" s="230">
        <f>+$C$383/C96</f>
        <v>3.9490829789972244</v>
      </c>
    </row>
    <row r="97" spans="1:7" ht="18" hidden="1" customHeight="1" x14ac:dyDescent="0.3">
      <c r="A97" s="225">
        <v>2001</v>
      </c>
      <c r="B97" s="226" t="s">
        <v>18</v>
      </c>
      <c r="C97" s="227">
        <f t="shared" si="8"/>
        <v>198.94380955917933</v>
      </c>
      <c r="D97" s="228">
        <v>0.52</v>
      </c>
      <c r="E97" s="228">
        <f t="shared" si="9"/>
        <v>3.4375002270689015</v>
      </c>
      <c r="F97" s="229">
        <f t="shared" si="10"/>
        <v>7.4712600711227095</v>
      </c>
      <c r="G97" s="230">
        <f>+$C$383/C97</f>
        <v>3.9286539783100118</v>
      </c>
    </row>
    <row r="98" spans="1:7" ht="18" hidden="1" customHeight="1" x14ac:dyDescent="0.3">
      <c r="A98" s="225">
        <v>2001</v>
      </c>
      <c r="B98" s="226" t="s">
        <v>19</v>
      </c>
      <c r="C98" s="227">
        <f t="shared" si="8"/>
        <v>201.64944536918418</v>
      </c>
      <c r="D98" s="228">
        <v>1.36</v>
      </c>
      <c r="E98" s="228">
        <f t="shared" si="9"/>
        <v>4.8442502301570434</v>
      </c>
      <c r="F98" s="229">
        <f t="shared" si="10"/>
        <v>6.8912464018153097</v>
      </c>
      <c r="G98" s="230">
        <f>+$C$383/C98</f>
        <v>3.8759411782853315</v>
      </c>
    </row>
    <row r="99" spans="1:7" ht="18" hidden="1" customHeight="1" x14ac:dyDescent="0.3">
      <c r="A99" s="225">
        <v>2001</v>
      </c>
      <c r="B99" s="226" t="s">
        <v>20</v>
      </c>
      <c r="C99" s="227">
        <f>+C98*(1+D99/100)</f>
        <v>202.73835237417779</v>
      </c>
      <c r="D99" s="228">
        <v>0.54</v>
      </c>
      <c r="E99" s="228">
        <f t="shared" si="9"/>
        <v>5.4104091813999</v>
      </c>
      <c r="F99" s="229">
        <f t="shared" si="10"/>
        <v>6.5521109779745457</v>
      </c>
      <c r="G99" s="230">
        <f>+$C$383/C99</f>
        <v>3.8551235113241802</v>
      </c>
    </row>
    <row r="100" spans="1:7" ht="18" hidden="1" customHeight="1" x14ac:dyDescent="0.3">
      <c r="A100" s="225">
        <v>2001</v>
      </c>
      <c r="B100" s="226" t="s">
        <v>21</v>
      </c>
      <c r="C100" s="227">
        <f t="shared" si="8"/>
        <v>202.98163839702681</v>
      </c>
      <c r="D100" s="228">
        <v>0.12</v>
      </c>
      <c r="E100" s="228">
        <f t="shared" si="9"/>
        <v>5.5369016724175824</v>
      </c>
      <c r="F100" s="229">
        <f t="shared" si="10"/>
        <v>6.6373185837146575</v>
      </c>
      <c r="G100" s="230">
        <f>+$C$383/C100</f>
        <v>3.8505029078347786</v>
      </c>
    </row>
    <row r="101" spans="1:7" ht="18" hidden="1" customHeight="1" x14ac:dyDescent="0.3">
      <c r="A101" s="225">
        <v>2001</v>
      </c>
      <c r="B101" s="226" t="s">
        <v>22</v>
      </c>
      <c r="C101" s="227">
        <f t="shared" si="8"/>
        <v>204.42280802964572</v>
      </c>
      <c r="D101" s="228">
        <v>0.71</v>
      </c>
      <c r="E101" s="228">
        <f>+((C101/$C$91)-1)*100</f>
        <v>6.2862136742917629</v>
      </c>
      <c r="F101" s="229">
        <f t="shared" si="10"/>
        <v>7.3729689518686525</v>
      </c>
      <c r="G101" s="230">
        <f>+$C$383/C101</f>
        <v>3.8233570726191819</v>
      </c>
    </row>
    <row r="102" spans="1:7" ht="18" hidden="1" customHeight="1" x14ac:dyDescent="0.3">
      <c r="A102" s="225">
        <v>2001</v>
      </c>
      <c r="B102" s="226" t="s">
        <v>23</v>
      </c>
      <c r="C102" s="227">
        <f t="shared" si="8"/>
        <v>206.16040189789771</v>
      </c>
      <c r="D102" s="228">
        <v>0.85</v>
      </c>
      <c r="E102" s="228">
        <f>+((C102/$C$91)-1)*100</f>
        <v>7.1896464905232493</v>
      </c>
      <c r="F102" s="229">
        <f t="shared" si="10"/>
        <v>7.8542222987644905</v>
      </c>
      <c r="G102" s="230">
        <f>+$C$383/C102</f>
        <v>3.7911324468212015</v>
      </c>
    </row>
    <row r="103" spans="1:7" ht="18" hidden="1" customHeight="1" x14ac:dyDescent="0.3">
      <c r="A103" s="225">
        <v>2001</v>
      </c>
      <c r="B103" s="226" t="s">
        <v>12</v>
      </c>
      <c r="C103" s="227">
        <f t="shared" si="8"/>
        <v>207.60352471118298</v>
      </c>
      <c r="D103" s="228">
        <v>0.7</v>
      </c>
      <c r="E103" s="228">
        <f>+((C103/$C$91)-1)*100</f>
        <v>7.9399740159568966</v>
      </c>
      <c r="F103" s="229">
        <f t="shared" si="10"/>
        <v>7.9399740159568966</v>
      </c>
      <c r="G103" s="230">
        <f>+$C$383/C103</f>
        <v>3.7647789938641529</v>
      </c>
    </row>
    <row r="104" spans="1:7" ht="18" hidden="1" customHeight="1" x14ac:dyDescent="0.3">
      <c r="A104" s="225">
        <v>2002</v>
      </c>
      <c r="B104" s="226" t="s">
        <v>13</v>
      </c>
      <c r="C104" s="227">
        <f>+C103*(1+D104/100)</f>
        <v>209.24359255640132</v>
      </c>
      <c r="D104" s="228">
        <v>0.79</v>
      </c>
      <c r="E104" s="228">
        <f>+((C104/$C$103)-1)*100</f>
        <v>0.79000000000000181</v>
      </c>
      <c r="F104" s="229">
        <f t="shared" si="10"/>
        <v>8.1008543428884749</v>
      </c>
      <c r="G104" s="230">
        <f>+$C$383/C104</f>
        <v>3.7352703580356712</v>
      </c>
    </row>
    <row r="105" spans="1:7" ht="18" hidden="1" customHeight="1" x14ac:dyDescent="0.3">
      <c r="A105" s="225">
        <v>2002</v>
      </c>
      <c r="B105" s="226" t="s">
        <v>14</v>
      </c>
      <c r="C105" s="227">
        <f>+C104*(1+D105/100)</f>
        <v>209.53653358598029</v>
      </c>
      <c r="D105" s="228">
        <v>0.14000000000000001</v>
      </c>
      <c r="E105" s="228">
        <f t="shared" ref="E105:E115" si="11">+((C105/$C$103)-1)*100</f>
        <v>0.93110599999999266</v>
      </c>
      <c r="F105" s="229">
        <f t="shared" si="10"/>
        <v>7.8209118914029041</v>
      </c>
      <c r="G105" s="230">
        <f>+$C$383/C105</f>
        <v>3.7300482904290702</v>
      </c>
    </row>
    <row r="106" spans="1:7" ht="18" hidden="1" customHeight="1" x14ac:dyDescent="0.3">
      <c r="A106" s="225">
        <v>2002</v>
      </c>
      <c r="B106" s="226" t="s">
        <v>15</v>
      </c>
      <c r="C106" s="227">
        <f t="shared" si="8"/>
        <v>210.4165870270414</v>
      </c>
      <c r="D106" s="228">
        <v>0.42</v>
      </c>
      <c r="E106" s="228">
        <f t="shared" si="11"/>
        <v>1.3550166451999912</v>
      </c>
      <c r="F106" s="229">
        <f t="shared" si="10"/>
        <v>7.6708032232963408</v>
      </c>
      <c r="G106" s="230">
        <f>+$C$383/C106</f>
        <v>3.714447610465117</v>
      </c>
    </row>
    <row r="107" spans="1:7" ht="18" hidden="1" customHeight="1" x14ac:dyDescent="0.3">
      <c r="A107" s="225">
        <v>2002</v>
      </c>
      <c r="B107" s="226" t="s">
        <v>16</v>
      </c>
      <c r="C107" s="227">
        <f t="shared" si="8"/>
        <v>211.91054479493343</v>
      </c>
      <c r="D107" s="228">
        <v>0.71</v>
      </c>
      <c r="E107" s="228">
        <f t="shared" si="11"/>
        <v>2.0746372633809296</v>
      </c>
      <c r="F107" s="229">
        <f t="shared" si="10"/>
        <v>7.5106741286751433</v>
      </c>
      <c r="G107" s="230">
        <f>+$C$383/C107</f>
        <v>3.68826095766569</v>
      </c>
    </row>
    <row r="108" spans="1:7" ht="18" hidden="1" customHeight="1" x14ac:dyDescent="0.3">
      <c r="A108" s="225">
        <v>2002</v>
      </c>
      <c r="B108" s="226" t="s">
        <v>17</v>
      </c>
      <c r="C108" s="227">
        <f t="shared" si="8"/>
        <v>212.50389432035922</v>
      </c>
      <c r="D108" s="228">
        <v>0.28000000000000003</v>
      </c>
      <c r="E108" s="228">
        <f t="shared" si="11"/>
        <v>2.3604462477183841</v>
      </c>
      <c r="F108" s="229">
        <f t="shared" si="10"/>
        <v>7.3714809443635287</v>
      </c>
      <c r="G108" s="230">
        <f>+$C$383/C108</f>
        <v>3.677962662211498</v>
      </c>
    </row>
    <row r="109" spans="1:7" ht="18" hidden="1" customHeight="1" x14ac:dyDescent="0.3">
      <c r="A109" s="225">
        <v>2002</v>
      </c>
      <c r="B109" s="226" t="s">
        <v>18</v>
      </c>
      <c r="C109" s="227">
        <f t="shared" si="8"/>
        <v>213.67266573912121</v>
      </c>
      <c r="D109" s="228">
        <v>0.55000000000000004</v>
      </c>
      <c r="E109" s="228">
        <f t="shared" si="11"/>
        <v>2.9234287020808436</v>
      </c>
      <c r="F109" s="229">
        <f t="shared" si="10"/>
        <v>7.4035257556282597</v>
      </c>
      <c r="G109" s="230">
        <f>+$C$383/C109</f>
        <v>3.657844517365985</v>
      </c>
    </row>
    <row r="110" spans="1:7" ht="18" hidden="1" customHeight="1" x14ac:dyDescent="0.3">
      <c r="A110" s="225">
        <v>2002</v>
      </c>
      <c r="B110" s="226" t="s">
        <v>19</v>
      </c>
      <c r="C110" s="227">
        <f t="shared" si="8"/>
        <v>215.87349419623416</v>
      </c>
      <c r="D110" s="228">
        <v>1.03</v>
      </c>
      <c r="E110" s="228">
        <f t="shared" si="11"/>
        <v>3.9835400177122837</v>
      </c>
      <c r="F110" s="229">
        <f t="shared" si="10"/>
        <v>7.0538497147900836</v>
      </c>
      <c r="G110" s="230">
        <f>+$C$383/C110</f>
        <v>3.6205528232861379</v>
      </c>
    </row>
    <row r="111" spans="1:7" ht="18" hidden="1" customHeight="1" x14ac:dyDescent="0.3">
      <c r="A111" s="225">
        <v>2002</v>
      </c>
      <c r="B111" s="226" t="s">
        <v>20</v>
      </c>
      <c r="C111" s="227">
        <f t="shared" si="8"/>
        <v>217.51413275212556</v>
      </c>
      <c r="D111" s="228">
        <v>0.76</v>
      </c>
      <c r="E111" s="228">
        <f t="shared" si="11"/>
        <v>4.7738149218468973</v>
      </c>
      <c r="F111" s="229">
        <f t="shared" si="10"/>
        <v>7.2881032152600778</v>
      </c>
      <c r="G111" s="230">
        <f>+$C$383/C111</f>
        <v>3.5932441676122839</v>
      </c>
    </row>
    <row r="112" spans="1:7" ht="18" hidden="1" customHeight="1" x14ac:dyDescent="0.3">
      <c r="A112" s="225">
        <v>2002</v>
      </c>
      <c r="B112" s="226" t="s">
        <v>21</v>
      </c>
      <c r="C112" s="227">
        <f t="shared" si="8"/>
        <v>218.94972602828958</v>
      </c>
      <c r="D112" s="228">
        <v>0.66</v>
      </c>
      <c r="E112" s="228">
        <f t="shared" si="11"/>
        <v>5.4653221003310826</v>
      </c>
      <c r="F112" s="229">
        <f t="shared" si="10"/>
        <v>7.8667645789860075</v>
      </c>
      <c r="G112" s="230">
        <f>+$C$383/C112</f>
        <v>3.5696842515520406</v>
      </c>
    </row>
    <row r="113" spans="1:7" ht="18" hidden="1" customHeight="1" x14ac:dyDescent="0.3">
      <c r="A113" s="225">
        <v>2002</v>
      </c>
      <c r="B113" s="226" t="s">
        <v>22</v>
      </c>
      <c r="C113" s="227">
        <f t="shared" si="8"/>
        <v>221.44575290501209</v>
      </c>
      <c r="D113" s="228">
        <v>1.1399999999999999</v>
      </c>
      <c r="E113" s="228">
        <f t="shared" si="11"/>
        <v>6.6676267722748594</v>
      </c>
      <c r="F113" s="229">
        <f t="shared" si="10"/>
        <v>8.3273217110380706</v>
      </c>
      <c r="G113" s="230">
        <f>+$C$383/C113</f>
        <v>3.5294485382163741</v>
      </c>
    </row>
    <row r="114" spans="1:7" ht="18" hidden="1" customHeight="1" x14ac:dyDescent="0.3">
      <c r="A114" s="225">
        <v>2002</v>
      </c>
      <c r="B114" s="226" t="s">
        <v>23</v>
      </c>
      <c r="C114" s="227">
        <f t="shared" si="8"/>
        <v>228.39914954622949</v>
      </c>
      <c r="D114" s="228">
        <v>3.14</v>
      </c>
      <c r="E114" s="228">
        <f t="shared" si="11"/>
        <v>10.016990252924307</v>
      </c>
      <c r="F114" s="229">
        <f t="shared" si="10"/>
        <v>10.787109184694765</v>
      </c>
      <c r="G114" s="230">
        <f>+$C$383/C114</f>
        <v>3.4219978070742423</v>
      </c>
    </row>
    <row r="115" spans="1:7" ht="18" hidden="1" customHeight="1" x14ac:dyDescent="0.3">
      <c r="A115" s="225">
        <v>2002</v>
      </c>
      <c r="B115" s="226" t="s">
        <v>12</v>
      </c>
      <c r="C115" s="227">
        <f t="shared" si="8"/>
        <v>232.83009304742637</v>
      </c>
      <c r="D115" s="228">
        <v>1.94</v>
      </c>
      <c r="E115" s="228">
        <f t="shared" si="11"/>
        <v>12.151319863831045</v>
      </c>
      <c r="F115" s="229">
        <f t="shared" si="10"/>
        <v>12.151319863831045</v>
      </c>
      <c r="G115" s="230">
        <f>+$C$383/C115</f>
        <v>3.3568744428823249</v>
      </c>
    </row>
    <row r="116" spans="1:7" ht="18" hidden="1" customHeight="1" x14ac:dyDescent="0.3">
      <c r="A116" s="225">
        <v>2003</v>
      </c>
      <c r="B116" s="226" t="s">
        <v>13</v>
      </c>
      <c r="C116" s="227">
        <f t="shared" si="8"/>
        <v>238.23175120612669</v>
      </c>
      <c r="D116" s="228">
        <v>2.3199999999999998</v>
      </c>
      <c r="E116" s="228">
        <f t="shared" ref="E116:E127" si="12">+((C116/$C$115)-1)*100</f>
        <v>2.3200000000000109</v>
      </c>
      <c r="F116" s="229">
        <f t="shared" si="10"/>
        <v>13.853785578600997</v>
      </c>
      <c r="G116" s="230">
        <f>+$C$383/C116</f>
        <v>3.280760792496408</v>
      </c>
    </row>
    <row r="117" spans="1:7" ht="18" hidden="1" customHeight="1" x14ac:dyDescent="0.3">
      <c r="A117" s="225">
        <v>2003</v>
      </c>
      <c r="B117" s="226" t="s">
        <v>14</v>
      </c>
      <c r="C117" s="227">
        <f t="shared" si="8"/>
        <v>241.49552619765063</v>
      </c>
      <c r="D117" s="228">
        <v>1.37</v>
      </c>
      <c r="E117" s="228">
        <f t="shared" si="12"/>
        <v>3.7217840000000058</v>
      </c>
      <c r="F117" s="229">
        <f t="shared" si="10"/>
        <v>15.252229319979872</v>
      </c>
      <c r="G117" s="230">
        <f>+$C$383/C117</f>
        <v>3.236421813649411</v>
      </c>
    </row>
    <row r="118" spans="1:7" ht="18" hidden="1" customHeight="1" x14ac:dyDescent="0.3">
      <c r="A118" s="225">
        <v>2003</v>
      </c>
      <c r="B118" s="226" t="s">
        <v>15</v>
      </c>
      <c r="C118" s="227">
        <f t="shared" si="8"/>
        <v>244.05537877534573</v>
      </c>
      <c r="D118" s="228">
        <v>1.06</v>
      </c>
      <c r="E118" s="228">
        <f t="shared" si="12"/>
        <v>4.8212349104000074</v>
      </c>
      <c r="F118" s="229">
        <f t="shared" si="10"/>
        <v>15.986758564799498</v>
      </c>
      <c r="G118" s="230">
        <f>+$C$383/C118</f>
        <v>3.2024755725800622</v>
      </c>
    </row>
    <row r="119" spans="1:7" ht="18" hidden="1" customHeight="1" x14ac:dyDescent="0.3">
      <c r="A119" s="225">
        <v>2003</v>
      </c>
      <c r="B119" s="226" t="s">
        <v>16</v>
      </c>
      <c r="C119" s="227">
        <f t="shared" si="8"/>
        <v>246.78879901762963</v>
      </c>
      <c r="D119" s="228">
        <v>1.1200000000000001</v>
      </c>
      <c r="E119" s="228">
        <f t="shared" si="12"/>
        <v>5.9952327413965056</v>
      </c>
      <c r="F119" s="229">
        <f t="shared" si="10"/>
        <v>16.458951703629477</v>
      </c>
      <c r="G119" s="230">
        <f>+$C$383/C119</f>
        <v>3.167005115288827</v>
      </c>
    </row>
    <row r="120" spans="1:7" ht="18" hidden="1" customHeight="1" x14ac:dyDescent="0.3">
      <c r="A120" s="225">
        <v>2003</v>
      </c>
      <c r="B120" s="226" t="s">
        <v>17</v>
      </c>
      <c r="C120" s="227">
        <f t="shared" si="8"/>
        <v>248.49164173085126</v>
      </c>
      <c r="D120" s="228">
        <v>0.69</v>
      </c>
      <c r="E120" s="228">
        <f t="shared" si="12"/>
        <v>6.7265998473121424</v>
      </c>
      <c r="F120" s="229">
        <f t="shared" si="10"/>
        <v>16.935100189852935</v>
      </c>
      <c r="G120" s="230">
        <f>+$C$383/C120</f>
        <v>3.1453025278466851</v>
      </c>
    </row>
    <row r="121" spans="1:7" ht="18" hidden="1" customHeight="1" x14ac:dyDescent="0.3">
      <c r="A121" s="225">
        <v>2003</v>
      </c>
      <c r="B121" s="226" t="s">
        <v>18</v>
      </c>
      <c r="C121" s="227">
        <f t="shared" si="8"/>
        <v>248.09405510408189</v>
      </c>
      <c r="D121" s="228">
        <v>-0.16</v>
      </c>
      <c r="E121" s="228">
        <f t="shared" si="12"/>
        <v>6.555837287556443</v>
      </c>
      <c r="F121" s="229">
        <f t="shared" si="10"/>
        <v>16.10940231680673</v>
      </c>
      <c r="G121" s="230">
        <f>+$C$383/C121</f>
        <v>3.1503430767695164</v>
      </c>
    </row>
    <row r="122" spans="1:7" ht="18" hidden="1" customHeight="1" x14ac:dyDescent="0.3">
      <c r="A122" s="225">
        <v>2003</v>
      </c>
      <c r="B122" s="226" t="s">
        <v>19</v>
      </c>
      <c r="C122" s="227">
        <f t="shared" si="8"/>
        <v>248.93757489143579</v>
      </c>
      <c r="D122" s="228">
        <v>0.34</v>
      </c>
      <c r="E122" s="228">
        <f t="shared" si="12"/>
        <v>6.9181271343341288</v>
      </c>
      <c r="F122" s="229">
        <f t="shared" si="10"/>
        <v>15.316415208041057</v>
      </c>
      <c r="G122" s="230">
        <f>+$C$383/C122</f>
        <v>3.1396682048729478</v>
      </c>
    </row>
    <row r="123" spans="1:7" ht="18" hidden="1" customHeight="1" x14ac:dyDescent="0.3">
      <c r="A123" s="225">
        <v>2003</v>
      </c>
      <c r="B123" s="226" t="s">
        <v>20</v>
      </c>
      <c r="C123" s="227">
        <f t="shared" si="8"/>
        <v>249.26119373879467</v>
      </c>
      <c r="D123" s="228">
        <v>0.13</v>
      </c>
      <c r="E123" s="228">
        <f t="shared" si="12"/>
        <v>7.0571206996087765</v>
      </c>
      <c r="F123" s="229">
        <f t="shared" si="10"/>
        <v>14.595401496438566</v>
      </c>
      <c r="G123" s="230">
        <f>+$C$383/C123</f>
        <v>3.1355919353569837</v>
      </c>
    </row>
    <row r="124" spans="1:7" ht="18" hidden="1" customHeight="1" x14ac:dyDescent="0.3">
      <c r="A124" s="225">
        <v>2003</v>
      </c>
      <c r="B124" s="226" t="s">
        <v>21</v>
      </c>
      <c r="C124" s="227">
        <f>+C123*(1+D124/100)</f>
        <v>251.15557881120952</v>
      </c>
      <c r="D124" s="228">
        <v>0.76</v>
      </c>
      <c r="E124" s="228">
        <f t="shared" si="12"/>
        <v>7.8707548169258068</v>
      </c>
      <c r="F124" s="229">
        <f t="shared" si="10"/>
        <v>14.709245527331127</v>
      </c>
      <c r="G124" s="230">
        <f>+$C$383/C124</f>
        <v>3.1119411823709644</v>
      </c>
    </row>
    <row r="125" spans="1:7" ht="18" hidden="1" customHeight="1" x14ac:dyDescent="0.3">
      <c r="A125" s="225">
        <v>2003</v>
      </c>
      <c r="B125" s="226" t="s">
        <v>22</v>
      </c>
      <c r="C125" s="227">
        <f>+C124*(1+D125/100)</f>
        <v>251.68300552671306</v>
      </c>
      <c r="D125" s="228">
        <v>0.21</v>
      </c>
      <c r="E125" s="228">
        <f t="shared" si="12"/>
        <v>8.0972834020413451</v>
      </c>
      <c r="F125" s="229">
        <f t="shared" si="10"/>
        <v>13.65447394002226</v>
      </c>
      <c r="G125" s="230">
        <f>+$C$383/C125</f>
        <v>3.1054198007893068</v>
      </c>
    </row>
    <row r="126" spans="1:7" ht="18" hidden="1" customHeight="1" x14ac:dyDescent="0.3">
      <c r="A126" s="225">
        <v>2003</v>
      </c>
      <c r="B126" s="226" t="s">
        <v>23</v>
      </c>
      <c r="C126" s="227">
        <f>+C125*(1+D126/100)</f>
        <v>252.51355944495123</v>
      </c>
      <c r="D126" s="228">
        <v>0.33</v>
      </c>
      <c r="E126" s="228">
        <f t="shared" si="12"/>
        <v>8.4540044372680931</v>
      </c>
      <c r="F126" s="229">
        <f t="shared" si="10"/>
        <v>10.558012123351102</v>
      </c>
      <c r="G126" s="230">
        <f>+$C$383/C126</f>
        <v>3.0952056222359281</v>
      </c>
    </row>
    <row r="127" spans="1:7" ht="18" hidden="1" customHeight="1" x14ac:dyDescent="0.3">
      <c r="A127" s="225">
        <v>2003</v>
      </c>
      <c r="B127" s="226" t="s">
        <v>12</v>
      </c>
      <c r="C127" s="227">
        <f>+C126*(1+D127/100)</f>
        <v>253.59936775056451</v>
      </c>
      <c r="D127" s="228">
        <v>0.43</v>
      </c>
      <c r="E127" s="228">
        <f t="shared" si="12"/>
        <v>8.9203566563483392</v>
      </c>
      <c r="F127" s="229">
        <f t="shared" si="10"/>
        <v>8.9203566563483392</v>
      </c>
      <c r="G127" s="230">
        <f>+$C$383/C127</f>
        <v>3.0819532233754137</v>
      </c>
    </row>
    <row r="128" spans="1:7" ht="18" hidden="1" customHeight="1" x14ac:dyDescent="0.3">
      <c r="A128" s="225">
        <v>2004</v>
      </c>
      <c r="B128" s="226" t="s">
        <v>13</v>
      </c>
      <c r="C128" s="227">
        <f>+C127*(1+D128/100)</f>
        <v>256.33824092227059</v>
      </c>
      <c r="D128" s="228">
        <v>1.08</v>
      </c>
      <c r="E128" s="228">
        <f t="shared" ref="E128:E139" si="13">+((C128/$C$127)-1)*100</f>
        <v>1.0799999999999921</v>
      </c>
      <c r="F128" s="229">
        <f t="shared" si="10"/>
        <v>7.6003679713026573</v>
      </c>
      <c r="G128" s="230">
        <f>+$C$383/C128</f>
        <v>3.049023766695107</v>
      </c>
    </row>
    <row r="129" spans="1:7" ht="18" hidden="1" customHeight="1" x14ac:dyDescent="0.3">
      <c r="A129" s="225">
        <v>2004</v>
      </c>
      <c r="B129" s="226" t="s">
        <v>14</v>
      </c>
      <c r="C129" s="227">
        <f t="shared" ref="C129:C192" si="14">+C128*(1+D129/100)</f>
        <v>257.05598799685293</v>
      </c>
      <c r="D129" s="228">
        <v>0.28000000000000003</v>
      </c>
      <c r="E129" s="228">
        <f t="shared" si="13"/>
        <v>1.3630239999999905</v>
      </c>
      <c r="F129" s="229">
        <f t="shared" si="10"/>
        <v>6.4433747673101616</v>
      </c>
      <c r="G129" s="230">
        <f>+$C$383/C129</f>
        <v>3.0405103377494087</v>
      </c>
    </row>
    <row r="130" spans="1:7" ht="18" hidden="1" customHeight="1" x14ac:dyDescent="0.3">
      <c r="A130" s="225">
        <v>2004</v>
      </c>
      <c r="B130" s="226" t="s">
        <v>15</v>
      </c>
      <c r="C130" s="227">
        <f t="shared" si="14"/>
        <v>258.23844554163844</v>
      </c>
      <c r="D130" s="228">
        <v>0.46</v>
      </c>
      <c r="E130" s="228">
        <f t="shared" si="13"/>
        <v>1.8292939103999872</v>
      </c>
      <c r="F130" s="229">
        <f t="shared" si="10"/>
        <v>5.8114133101521581</v>
      </c>
      <c r="G130" s="230">
        <f>+$C$383/C130</f>
        <v>3.0265880327985357</v>
      </c>
    </row>
    <row r="131" spans="1:7" ht="18" hidden="1" customHeight="1" x14ac:dyDescent="0.3">
      <c r="A131" s="225">
        <v>2004</v>
      </c>
      <c r="B131" s="226" t="s">
        <v>16</v>
      </c>
      <c r="C131" s="227">
        <f t="shared" si="14"/>
        <v>259.03898472281753</v>
      </c>
      <c r="D131" s="228">
        <v>0.31</v>
      </c>
      <c r="E131" s="228">
        <f t="shared" si="13"/>
        <v>2.1449647215222356</v>
      </c>
      <c r="F131" s="229">
        <f t="shared" si="10"/>
        <v>4.9638337533758126</v>
      </c>
      <c r="G131" s="230">
        <f>+$C$383/C131</f>
        <v>3.017234605521419</v>
      </c>
    </row>
    <row r="132" spans="1:7" ht="18" hidden="1" customHeight="1" x14ac:dyDescent="0.3">
      <c r="A132" s="225">
        <v>2004</v>
      </c>
      <c r="B132" s="226" t="s">
        <v>17</v>
      </c>
      <c r="C132" s="227">
        <f t="shared" si="14"/>
        <v>260.87816151434959</v>
      </c>
      <c r="D132" s="228">
        <v>0.71</v>
      </c>
      <c r="E132" s="228">
        <f t="shared" si="13"/>
        <v>2.870193971045043</v>
      </c>
      <c r="F132" s="229">
        <f t="shared" si="10"/>
        <v>4.9846826626525065</v>
      </c>
      <c r="G132" s="230">
        <f>+$C$383/C132</f>
        <v>2.9959632663304721</v>
      </c>
    </row>
    <row r="133" spans="1:7" ht="18" hidden="1" customHeight="1" x14ac:dyDescent="0.3">
      <c r="A133" s="225">
        <v>2004</v>
      </c>
      <c r="B133" s="226" t="s">
        <v>18</v>
      </c>
      <c r="C133" s="227">
        <f t="shared" si="14"/>
        <v>262.91301117416151</v>
      </c>
      <c r="D133" s="228">
        <v>0.78</v>
      </c>
      <c r="E133" s="228">
        <f t="shared" si="13"/>
        <v>3.6725814840192106</v>
      </c>
      <c r="F133" s="229">
        <f t="shared" si="10"/>
        <v>5.9731201797087241</v>
      </c>
      <c r="G133" s="230">
        <f>+$C$383/C133</f>
        <v>2.9727756165216035</v>
      </c>
    </row>
    <row r="134" spans="1:7" ht="18" hidden="1" customHeight="1" x14ac:dyDescent="0.3">
      <c r="A134" s="225">
        <v>2004</v>
      </c>
      <c r="B134" s="226" t="s">
        <v>33</v>
      </c>
      <c r="C134" s="227">
        <f t="shared" si="14"/>
        <v>264.46419794008909</v>
      </c>
      <c r="D134" s="228">
        <v>0.59</v>
      </c>
      <c r="E134" s="228">
        <f t="shared" si="13"/>
        <v>4.2842497147749237</v>
      </c>
      <c r="F134" s="229">
        <f t="shared" si="10"/>
        <v>6.2371552608820213</v>
      </c>
      <c r="G134" s="230">
        <f>+$C$383/C134</f>
        <v>2.9553391157387447</v>
      </c>
    </row>
    <row r="135" spans="1:7" ht="18" hidden="1" customHeight="1" x14ac:dyDescent="0.3">
      <c r="A135" s="225">
        <v>2004</v>
      </c>
      <c r="B135" s="226" t="s">
        <v>34</v>
      </c>
      <c r="C135" s="227">
        <f t="shared" si="14"/>
        <v>266.55346510381582</v>
      </c>
      <c r="D135" s="228">
        <v>0.79</v>
      </c>
      <c r="E135" s="228">
        <f t="shared" si="13"/>
        <v>5.1080952875216523</v>
      </c>
      <c r="F135" s="229">
        <f t="shared" si="10"/>
        <v>6.9374101542424738</v>
      </c>
      <c r="G135" s="230">
        <f>+$C$383/C135</f>
        <v>2.9321749337620244</v>
      </c>
    </row>
    <row r="136" spans="1:7" ht="18" hidden="1" customHeight="1" x14ac:dyDescent="0.3">
      <c r="A136" s="225">
        <v>2004</v>
      </c>
      <c r="B136" s="226" t="s">
        <v>36</v>
      </c>
      <c r="C136" s="227">
        <f t="shared" si="14"/>
        <v>267.2998148061065</v>
      </c>
      <c r="D136" s="228">
        <v>0.28000000000000003</v>
      </c>
      <c r="E136" s="228">
        <f t="shared" si="13"/>
        <v>5.4023979543267098</v>
      </c>
      <c r="F136" s="229">
        <f t="shared" si="10"/>
        <v>6.4279822376680729</v>
      </c>
      <c r="G136" s="230">
        <f>+$C$383/C136</f>
        <v>2.923987768011592</v>
      </c>
    </row>
    <row r="137" spans="1:7" ht="18" hidden="1" customHeight="1" x14ac:dyDescent="0.3">
      <c r="A137" s="225">
        <v>2004</v>
      </c>
      <c r="B137" s="226" t="s">
        <v>35</v>
      </c>
      <c r="C137" s="227">
        <f t="shared" si="14"/>
        <v>267.56711462091255</v>
      </c>
      <c r="D137" s="228">
        <v>0.1</v>
      </c>
      <c r="E137" s="228">
        <f t="shared" si="13"/>
        <v>5.5078003522810226</v>
      </c>
      <c r="F137" s="229">
        <f t="shared" si="10"/>
        <v>6.3111567906453558</v>
      </c>
      <c r="G137" s="230">
        <f>+$C$383/C137</f>
        <v>2.9210667013102825</v>
      </c>
    </row>
    <row r="138" spans="1:7" ht="18" hidden="1" customHeight="1" x14ac:dyDescent="0.3">
      <c r="A138" s="225">
        <v>2004</v>
      </c>
      <c r="B138" s="226" t="s">
        <v>25</v>
      </c>
      <c r="C138" s="227">
        <f t="shared" si="14"/>
        <v>268.55711294500992</v>
      </c>
      <c r="D138" s="228">
        <v>0.37</v>
      </c>
      <c r="E138" s="228">
        <f t="shared" si="13"/>
        <v>5.8981792135844646</v>
      </c>
      <c r="F138" s="229">
        <f t="shared" si="10"/>
        <v>6.3535413842028765</v>
      </c>
      <c r="G138" s="230">
        <f>+$C$383/C138</f>
        <v>2.9102985965032206</v>
      </c>
    </row>
    <row r="139" spans="1:7" ht="18" hidden="1" customHeight="1" x14ac:dyDescent="0.3">
      <c r="A139" s="225">
        <v>2004</v>
      </c>
      <c r="B139" s="226" t="s">
        <v>26</v>
      </c>
      <c r="C139" s="227">
        <f t="shared" si="14"/>
        <v>270.24902275656348</v>
      </c>
      <c r="D139" s="228">
        <v>0.63</v>
      </c>
      <c r="E139" s="228">
        <f t="shared" si="13"/>
        <v>6.5653377426300397</v>
      </c>
      <c r="F139" s="229">
        <f t="shared" si="10"/>
        <v>6.5653377426300397</v>
      </c>
      <c r="G139" s="230">
        <f>+$C$383/C139</f>
        <v>2.8920785019409925</v>
      </c>
    </row>
    <row r="140" spans="1:7" ht="18" hidden="1" customHeight="1" x14ac:dyDescent="0.3">
      <c r="A140" s="225">
        <v>2005</v>
      </c>
      <c r="B140" s="226" t="s">
        <v>27</v>
      </c>
      <c r="C140" s="227">
        <f t="shared" si="14"/>
        <v>272.54613944999426</v>
      </c>
      <c r="D140" s="228">
        <v>0.85</v>
      </c>
      <c r="E140" s="228">
        <f t="shared" ref="E140:E151" si="15">100*(C140/C$139-1)</f>
        <v>0.8499999999999952</v>
      </c>
      <c r="F140" s="229">
        <f t="shared" si="10"/>
        <v>6.3228562657720699</v>
      </c>
      <c r="G140" s="230">
        <f>+$C$383/C140</f>
        <v>2.8677030262181384</v>
      </c>
    </row>
    <row r="141" spans="1:7" ht="18" hidden="1" customHeight="1" x14ac:dyDescent="0.3">
      <c r="A141" s="225">
        <v>2005</v>
      </c>
      <c r="B141" s="226" t="s">
        <v>14</v>
      </c>
      <c r="C141" s="227">
        <f t="shared" si="14"/>
        <v>273.71808784962923</v>
      </c>
      <c r="D141" s="228">
        <v>0.43</v>
      </c>
      <c r="E141" s="228">
        <f t="shared" si="15"/>
        <v>1.2836550000000058</v>
      </c>
      <c r="F141" s="229">
        <f t="shared" si="10"/>
        <v>6.4818952410399699</v>
      </c>
      <c r="G141" s="230">
        <f>+$C$383/C141</f>
        <v>2.8554247000081037</v>
      </c>
    </row>
    <row r="142" spans="1:7" ht="18" hidden="1" customHeight="1" x14ac:dyDescent="0.3">
      <c r="A142" s="225">
        <v>2005</v>
      </c>
      <c r="B142" s="226" t="s">
        <v>15</v>
      </c>
      <c r="C142" s="227">
        <f t="shared" si="14"/>
        <v>275.63411446457661</v>
      </c>
      <c r="D142" s="228">
        <v>0.7</v>
      </c>
      <c r="E142" s="228">
        <f t="shared" si="15"/>
        <v>1.992640584999994</v>
      </c>
      <c r="F142" s="229">
        <f t="shared" si="10"/>
        <v>6.7362816123106128</v>
      </c>
      <c r="G142" s="230">
        <f>+$C$383/C142</f>
        <v>2.8355756703158925</v>
      </c>
    </row>
    <row r="143" spans="1:7" ht="18" hidden="1" customHeight="1" x14ac:dyDescent="0.3">
      <c r="A143" s="225">
        <v>2005</v>
      </c>
      <c r="B143" s="226" t="s">
        <v>16</v>
      </c>
      <c r="C143" s="227">
        <f t="shared" si="14"/>
        <v>278.05969467186486</v>
      </c>
      <c r="D143" s="228">
        <v>0.88</v>
      </c>
      <c r="E143" s="228">
        <f t="shared" si="15"/>
        <v>2.8901758221479668</v>
      </c>
      <c r="F143" s="229">
        <f t="shared" si="10"/>
        <v>7.342798216029256</v>
      </c>
      <c r="G143" s="230">
        <f>+$C$383/C143</f>
        <v>2.8108402758880775</v>
      </c>
    </row>
    <row r="144" spans="1:7" ht="18" hidden="1" customHeight="1" x14ac:dyDescent="0.3">
      <c r="A144" s="225">
        <v>2005</v>
      </c>
      <c r="B144" s="226" t="s">
        <v>17</v>
      </c>
      <c r="C144" s="227">
        <f t="shared" si="14"/>
        <v>280.25636625977262</v>
      </c>
      <c r="D144" s="228">
        <v>0.79</v>
      </c>
      <c r="E144" s="228">
        <f t="shared" si="15"/>
        <v>3.7030082111429552</v>
      </c>
      <c r="F144" s="229">
        <f t="shared" si="10"/>
        <v>7.428067045909903</v>
      </c>
      <c r="G144" s="230">
        <f>+$C$383/C144</f>
        <v>2.7888086872587334</v>
      </c>
    </row>
    <row r="145" spans="1:7" ht="18" hidden="1" customHeight="1" x14ac:dyDescent="0.3">
      <c r="A145" s="225">
        <v>2005</v>
      </c>
      <c r="B145" s="226" t="s">
        <v>18</v>
      </c>
      <c r="C145" s="227">
        <f t="shared" si="14"/>
        <v>280.11623807664273</v>
      </c>
      <c r="D145" s="228">
        <v>-0.05</v>
      </c>
      <c r="E145" s="228">
        <f t="shared" si="15"/>
        <v>3.6511567070373729</v>
      </c>
      <c r="F145" s="229">
        <f t="shared" si="10"/>
        <v>6.5433151541843149</v>
      </c>
      <c r="G145" s="230">
        <f>+$C$383/C145</f>
        <v>2.7902037891533102</v>
      </c>
    </row>
    <row r="146" spans="1:7" ht="18" hidden="1" customHeight="1" x14ac:dyDescent="0.3">
      <c r="A146" s="225">
        <v>2005</v>
      </c>
      <c r="B146" s="226" t="s">
        <v>19</v>
      </c>
      <c r="C146" s="227">
        <f t="shared" si="14"/>
        <v>280.48038918614236</v>
      </c>
      <c r="D146" s="228">
        <v>0.13</v>
      </c>
      <c r="E146" s="228">
        <f t="shared" si="15"/>
        <v>3.785903210756536</v>
      </c>
      <c r="F146" s="229">
        <f>+((C146/C134)-1)*100</f>
        <v>6.0560905297591727</v>
      </c>
      <c r="G146" s="230">
        <f>+$C$383/C146</f>
        <v>2.7865812335496956</v>
      </c>
    </row>
    <row r="147" spans="1:7" ht="18" hidden="1" customHeight="1" x14ac:dyDescent="0.3">
      <c r="A147" s="225">
        <v>2005</v>
      </c>
      <c r="B147" s="226" t="s">
        <v>20</v>
      </c>
      <c r="C147" s="227">
        <f t="shared" si="14"/>
        <v>279.24627547372336</v>
      </c>
      <c r="D147" s="228">
        <v>-0.44</v>
      </c>
      <c r="E147" s="228">
        <f t="shared" si="15"/>
        <v>3.329245236629208</v>
      </c>
      <c r="F147" s="229">
        <f>+((C147/C135)-1)*100</f>
        <v>4.7618253114676268</v>
      </c>
      <c r="G147" s="230">
        <f>+$C$383/C147</f>
        <v>2.7988963776111846</v>
      </c>
    </row>
    <row r="148" spans="1:7" ht="18" hidden="1" customHeight="1" x14ac:dyDescent="0.3">
      <c r="A148" s="225">
        <v>2005</v>
      </c>
      <c r="B148" s="226" t="s">
        <v>21</v>
      </c>
      <c r="C148" s="227">
        <f t="shared" si="14"/>
        <v>279.49759712164968</v>
      </c>
      <c r="D148" s="228">
        <v>0.09</v>
      </c>
      <c r="E148" s="228">
        <f t="shared" si="15"/>
        <v>3.422241557342165</v>
      </c>
      <c r="F148" s="229">
        <f>+((C148/C136)-1)*100</f>
        <v>4.5633336201116315</v>
      </c>
      <c r="G148" s="230">
        <f>+$C$383/C148</f>
        <v>2.7963796359388398</v>
      </c>
    </row>
    <row r="149" spans="1:7" ht="18" hidden="1" customHeight="1" x14ac:dyDescent="0.3">
      <c r="A149" s="225">
        <v>2005</v>
      </c>
      <c r="B149" s="226" t="s">
        <v>35</v>
      </c>
      <c r="C149" s="227">
        <f t="shared" si="14"/>
        <v>280.67148702956058</v>
      </c>
      <c r="D149" s="228">
        <v>0.42</v>
      </c>
      <c r="E149" s="228">
        <f t="shared" si="15"/>
        <v>3.8566149718829879</v>
      </c>
      <c r="F149" s="229">
        <f>+((C149/C137)-1)*100</f>
        <v>4.8976020192968095</v>
      </c>
      <c r="G149" s="230">
        <f>+$C$383/C149</f>
        <v>2.7846839632930096</v>
      </c>
    </row>
    <row r="150" spans="1:7" ht="18" hidden="1" customHeight="1" x14ac:dyDescent="0.3">
      <c r="A150" s="225">
        <v>2005</v>
      </c>
      <c r="B150" s="226" t="s">
        <v>25</v>
      </c>
      <c r="C150" s="227">
        <f t="shared" si="14"/>
        <v>282.27131450562911</v>
      </c>
      <c r="D150" s="228">
        <v>0.56999999999999995</v>
      </c>
      <c r="E150" s="228">
        <f t="shared" si="15"/>
        <v>4.4485976772227431</v>
      </c>
      <c r="F150" s="229">
        <f>+((C150/C138)-1)*100</f>
        <v>5.1066238425892418</v>
      </c>
      <c r="G150" s="230">
        <f>+$C$383/C150</f>
        <v>2.7689012263030817</v>
      </c>
    </row>
    <row r="151" spans="1:7" ht="18" hidden="1" customHeight="1" x14ac:dyDescent="0.3">
      <c r="A151" s="225">
        <v>2005</v>
      </c>
      <c r="B151" s="226" t="s">
        <v>26</v>
      </c>
      <c r="C151" s="227">
        <f t="shared" si="14"/>
        <v>283.56976255235497</v>
      </c>
      <c r="D151" s="228">
        <v>0.46</v>
      </c>
      <c r="E151" s="228">
        <f t="shared" si="15"/>
        <v>4.9290612265379563</v>
      </c>
      <c r="F151" s="229">
        <f t="shared" ref="F151:F214" si="16">+((C151/C139)-1)*100</f>
        <v>4.9290612265379563</v>
      </c>
      <c r="G151" s="230">
        <f>+$C$383/C151</f>
        <v>2.7562226023323531</v>
      </c>
    </row>
    <row r="152" spans="1:7" ht="18" hidden="1" customHeight="1" x14ac:dyDescent="0.3">
      <c r="A152" s="225">
        <v>2006</v>
      </c>
      <c r="B152" s="226" t="s">
        <v>27</v>
      </c>
      <c r="C152" s="227">
        <f t="shared" si="14"/>
        <v>285.41296600894526</v>
      </c>
      <c r="D152" s="228">
        <v>0.65</v>
      </c>
      <c r="E152" s="228">
        <f>100*(C152/C$151-1)</f>
        <v>0.64999999999999503</v>
      </c>
      <c r="F152" s="229">
        <f t="shared" si="16"/>
        <v>4.7209718636692655</v>
      </c>
      <c r="G152" s="230">
        <f>+$C$383/C152</f>
        <v>2.7384228537827653</v>
      </c>
    </row>
    <row r="153" spans="1:7" ht="18" hidden="1" customHeight="1" x14ac:dyDescent="0.3">
      <c r="A153" s="225">
        <v>2006</v>
      </c>
      <c r="B153" s="226" t="s">
        <v>14</v>
      </c>
      <c r="C153" s="227">
        <f t="shared" si="14"/>
        <v>285.44150730554617</v>
      </c>
      <c r="D153" s="228">
        <v>0.01</v>
      </c>
      <c r="E153" s="228">
        <f t="shared" ref="E153:E158" si="17">100*(C153/C$151-1)</f>
        <v>0.66006499999999857</v>
      </c>
      <c r="F153" s="229">
        <f t="shared" si="16"/>
        <v>4.2830269449921632</v>
      </c>
      <c r="G153" s="230">
        <f>+$C$383/C153</f>
        <v>2.7381490388788774</v>
      </c>
    </row>
    <row r="154" spans="1:7" ht="18" hidden="1" customHeight="1" x14ac:dyDescent="0.3">
      <c r="A154" s="225">
        <v>2006</v>
      </c>
      <c r="B154" s="226" t="s">
        <v>15</v>
      </c>
      <c r="C154" s="227">
        <f t="shared" si="14"/>
        <v>286.06947862161837</v>
      </c>
      <c r="D154" s="228">
        <v>0.22</v>
      </c>
      <c r="E154" s="228">
        <f t="shared" si="17"/>
        <v>0.88151714299999906</v>
      </c>
      <c r="F154" s="229">
        <f t="shared" si="16"/>
        <v>3.7859479684917208</v>
      </c>
      <c r="G154" s="230">
        <f>+$C$383/C154</f>
        <v>2.7321383345428827</v>
      </c>
    </row>
    <row r="155" spans="1:7" ht="18" hidden="1" customHeight="1" x14ac:dyDescent="0.3">
      <c r="A155" s="225">
        <v>2006</v>
      </c>
      <c r="B155" s="226" t="s">
        <v>30</v>
      </c>
      <c r="C155" s="227">
        <f t="shared" si="14"/>
        <v>287.04211484893187</v>
      </c>
      <c r="D155" s="228">
        <v>0.34</v>
      </c>
      <c r="E155" s="228">
        <f t="shared" si="17"/>
        <v>1.2245143012862059</v>
      </c>
      <c r="F155" s="229">
        <f t="shared" si="16"/>
        <v>3.2303927355120887</v>
      </c>
      <c r="G155" s="230">
        <f>+$C$383/C155</f>
        <v>2.7228805407044878</v>
      </c>
    </row>
    <row r="156" spans="1:7" ht="18" hidden="1" customHeight="1" x14ac:dyDescent="0.3">
      <c r="A156" s="225">
        <v>2006</v>
      </c>
      <c r="B156" s="226" t="s">
        <v>31</v>
      </c>
      <c r="C156" s="227">
        <f t="shared" si="14"/>
        <v>286.49673483071888</v>
      </c>
      <c r="D156" s="228">
        <v>-0.19</v>
      </c>
      <c r="E156" s="228">
        <f t="shared" si="17"/>
        <v>1.0321877241137534</v>
      </c>
      <c r="F156" s="229">
        <f t="shared" si="16"/>
        <v>2.2266643410205234</v>
      </c>
      <c r="G156" s="230">
        <f>+$C$383/C156</f>
        <v>2.7280638620423683</v>
      </c>
    </row>
    <row r="157" spans="1:7" ht="18" hidden="1" customHeight="1" x14ac:dyDescent="0.3">
      <c r="A157" s="225">
        <v>2006</v>
      </c>
      <c r="B157" s="226" t="s">
        <v>32</v>
      </c>
      <c r="C157" s="227">
        <f t="shared" si="14"/>
        <v>285.350747891396</v>
      </c>
      <c r="D157" s="228">
        <v>-0.4</v>
      </c>
      <c r="E157" s="228">
        <f t="shared" si="17"/>
        <v>0.62805897321729365</v>
      </c>
      <c r="F157" s="229">
        <f t="shared" si="16"/>
        <v>1.8686920296712817</v>
      </c>
      <c r="G157" s="230">
        <f>+$C$383/C157</f>
        <v>2.7390199418096071</v>
      </c>
    </row>
    <row r="158" spans="1:7" ht="18" hidden="1" customHeight="1" x14ac:dyDescent="0.3">
      <c r="A158" s="225">
        <v>2006</v>
      </c>
      <c r="B158" s="226" t="s">
        <v>33</v>
      </c>
      <c r="C158" s="227">
        <f t="shared" si="14"/>
        <v>285.52195834013082</v>
      </c>
      <c r="D158" s="228">
        <v>0.06</v>
      </c>
      <c r="E158" s="228">
        <f t="shared" si="17"/>
        <v>0.68843580860120657</v>
      </c>
      <c r="F158" s="229">
        <f t="shared" si="16"/>
        <v>1.7974765254060499</v>
      </c>
      <c r="G158" s="230">
        <f>+$C$383/C158</f>
        <v>2.7373775153004267</v>
      </c>
    </row>
    <row r="159" spans="1:7" ht="18" hidden="1" customHeight="1" x14ac:dyDescent="0.3">
      <c r="A159" s="225">
        <v>2006</v>
      </c>
      <c r="B159" s="226" t="s">
        <v>34</v>
      </c>
      <c r="C159" s="227">
        <f t="shared" si="14"/>
        <v>285.97879347347504</v>
      </c>
      <c r="D159" s="228">
        <v>0.16</v>
      </c>
      <c r="E159" s="228">
        <f>100*(C159/C$151-1)</f>
        <v>0.84953730589498733</v>
      </c>
      <c r="F159" s="229">
        <f t="shared" si="16"/>
        <v>2.4109607149926715</v>
      </c>
      <c r="G159" s="230">
        <f>+$C$383/C159</f>
        <v>2.7330047077679978</v>
      </c>
    </row>
    <row r="160" spans="1:7" ht="18" hidden="1" customHeight="1" x14ac:dyDescent="0.3">
      <c r="A160" s="225">
        <v>2006</v>
      </c>
      <c r="B160" s="226" t="s">
        <v>21</v>
      </c>
      <c r="C160" s="227">
        <f t="shared" si="14"/>
        <v>286.52215318107466</v>
      </c>
      <c r="D160" s="228">
        <v>0.19</v>
      </c>
      <c r="E160" s="228">
        <f>100*(C160/C$151-1)</f>
        <v>1.0411514267761879</v>
      </c>
      <c r="F160" s="229">
        <f t="shared" si="16"/>
        <v>2.5132795887213177</v>
      </c>
      <c r="G160" s="230">
        <f>+$C$383/C160</f>
        <v>2.7278218462601034</v>
      </c>
    </row>
    <row r="161" spans="1:7" ht="18" hidden="1" customHeight="1" x14ac:dyDescent="0.3">
      <c r="A161" s="225">
        <v>2006</v>
      </c>
      <c r="B161" s="226" t="s">
        <v>35</v>
      </c>
      <c r="C161" s="227">
        <f t="shared" si="14"/>
        <v>286.9232841955282</v>
      </c>
      <c r="D161" s="228">
        <v>0.14000000000000001</v>
      </c>
      <c r="E161" s="228">
        <f>100*(C161/C$151-1)</f>
        <v>1.1826090387736743</v>
      </c>
      <c r="F161" s="229">
        <f t="shared" si="16"/>
        <v>2.2274429198820611</v>
      </c>
      <c r="G161" s="230">
        <f>+$C$383/C161</f>
        <v>2.7240082347314791</v>
      </c>
    </row>
    <row r="162" spans="1:7" ht="18" hidden="1" customHeight="1" x14ac:dyDescent="0.3">
      <c r="A162" s="225">
        <v>2006</v>
      </c>
      <c r="B162" s="226" t="s">
        <v>25</v>
      </c>
      <c r="C162" s="227">
        <f t="shared" si="14"/>
        <v>287.61190007759745</v>
      </c>
      <c r="D162" s="228">
        <v>0.24</v>
      </c>
      <c r="E162" s="228">
        <f>100*(C162/C$151-1)</f>
        <v>1.4254473004667423</v>
      </c>
      <c r="F162" s="229">
        <f t="shared" si="16"/>
        <v>1.8920043580488821</v>
      </c>
      <c r="G162" s="230">
        <f>+$C$383/C162</f>
        <v>2.7174862676890257</v>
      </c>
    </row>
    <row r="163" spans="1:7" ht="18" hidden="1" customHeight="1" x14ac:dyDescent="0.3">
      <c r="A163" s="225">
        <v>2006</v>
      </c>
      <c r="B163" s="226" t="s">
        <v>12</v>
      </c>
      <c r="C163" s="227">
        <f t="shared" si="14"/>
        <v>289.4238550480863</v>
      </c>
      <c r="D163" s="228">
        <v>0.63</v>
      </c>
      <c r="E163" s="228">
        <f>100*(C163/C$151-1)</f>
        <v>2.0644276184596633</v>
      </c>
      <c r="F163" s="229">
        <f t="shared" si="16"/>
        <v>2.0644276184596633</v>
      </c>
      <c r="G163" s="230">
        <f>+$C$383/C163</f>
        <v>2.7004732859873055</v>
      </c>
    </row>
    <row r="164" spans="1:7" ht="18" hidden="1" customHeight="1" x14ac:dyDescent="0.3">
      <c r="A164" s="225">
        <v>2007</v>
      </c>
      <c r="B164" s="226" t="s">
        <v>27</v>
      </c>
      <c r="C164" s="227">
        <f t="shared" si="14"/>
        <v>291.42087964791807</v>
      </c>
      <c r="D164" s="228">
        <v>0.69</v>
      </c>
      <c r="E164" s="228">
        <f t="shared" ref="E164:E175" si="18">100*(C164/C$163-1)</f>
        <v>0.68999999999999062</v>
      </c>
      <c r="F164" s="229">
        <f t="shared" si="16"/>
        <v>2.1049897357447112</v>
      </c>
      <c r="G164" s="230">
        <f>+$C$383/C164</f>
        <v>2.6819677087966092</v>
      </c>
    </row>
    <row r="165" spans="1:7" ht="18" hidden="1" customHeight="1" x14ac:dyDescent="0.3">
      <c r="A165" s="225">
        <v>2007</v>
      </c>
      <c r="B165" s="226" t="s">
        <v>14</v>
      </c>
      <c r="C165" s="227">
        <f t="shared" si="14"/>
        <v>292.41171063872099</v>
      </c>
      <c r="D165" s="228">
        <v>0.34</v>
      </c>
      <c r="E165" s="228">
        <f t="shared" si="18"/>
        <v>1.0323459999999951</v>
      </c>
      <c r="F165" s="229">
        <f t="shared" si="16"/>
        <v>2.441902510595173</v>
      </c>
      <c r="G165" s="230">
        <f>+$C$383/C165</f>
        <v>2.6728799170785424</v>
      </c>
    </row>
    <row r="166" spans="1:7" ht="18" hidden="1" customHeight="1" x14ac:dyDescent="0.3">
      <c r="A166" s="225">
        <v>2007</v>
      </c>
      <c r="B166" s="226" t="s">
        <v>29</v>
      </c>
      <c r="C166" s="227">
        <f t="shared" si="14"/>
        <v>293.81528684978684</v>
      </c>
      <c r="D166" s="228">
        <v>0.48</v>
      </c>
      <c r="E166" s="228">
        <f t="shared" si="18"/>
        <v>1.5173012607999858</v>
      </c>
      <c r="F166" s="229">
        <f t="shared" si="16"/>
        <v>2.7076667757393924</v>
      </c>
      <c r="G166" s="230">
        <f>+$C$383/C166</f>
        <v>2.6601113824428166</v>
      </c>
    </row>
    <row r="167" spans="1:7" ht="18" hidden="1" customHeight="1" x14ac:dyDescent="0.3">
      <c r="A167" s="225">
        <v>2007</v>
      </c>
      <c r="B167" s="226" t="s">
        <v>30</v>
      </c>
      <c r="C167" s="227">
        <f t="shared" si="14"/>
        <v>294.72611423902123</v>
      </c>
      <c r="D167" s="228">
        <v>0.31</v>
      </c>
      <c r="E167" s="228">
        <f t="shared" si="18"/>
        <v>1.8320048947084944</v>
      </c>
      <c r="F167" s="229">
        <f t="shared" si="16"/>
        <v>2.6769588825435564</v>
      </c>
      <c r="G167" s="230">
        <f>+$C$383/C167</f>
        <v>2.6518905218251585</v>
      </c>
    </row>
    <row r="168" spans="1:7" ht="18" hidden="1" customHeight="1" x14ac:dyDescent="0.3">
      <c r="A168" s="225">
        <v>2007</v>
      </c>
      <c r="B168" s="226" t="s">
        <v>31</v>
      </c>
      <c r="C168" s="227">
        <f t="shared" si="14"/>
        <v>295.46292952461874</v>
      </c>
      <c r="D168" s="228">
        <v>0.25</v>
      </c>
      <c r="E168" s="228">
        <f t="shared" si="18"/>
        <v>2.0865849069452436</v>
      </c>
      <c r="F168" s="229">
        <f t="shared" si="16"/>
        <v>3.1295975150284594</v>
      </c>
      <c r="G168" s="230">
        <f>+$C$383/C168</f>
        <v>2.6452773285038989</v>
      </c>
    </row>
    <row r="169" spans="1:7" ht="18" hidden="1" customHeight="1" x14ac:dyDescent="0.3">
      <c r="A169" s="225">
        <v>2007</v>
      </c>
      <c r="B169" s="226" t="s">
        <v>32</v>
      </c>
      <c r="C169" s="227">
        <f t="shared" si="14"/>
        <v>296.70387382862214</v>
      </c>
      <c r="D169" s="228">
        <v>0.42</v>
      </c>
      <c r="E169" s="228">
        <f t="shared" si="18"/>
        <v>2.5153485635544204</v>
      </c>
      <c r="F169" s="229">
        <f t="shared" si="16"/>
        <v>3.9786564503931476</v>
      </c>
      <c r="G169" s="230">
        <f>+$C$383/C169</f>
        <v>2.6342136312526381</v>
      </c>
    </row>
    <row r="170" spans="1:7" ht="18" hidden="1" customHeight="1" x14ac:dyDescent="0.3">
      <c r="A170" s="225">
        <v>2007</v>
      </c>
      <c r="B170" s="226" t="s">
        <v>33</v>
      </c>
      <c r="C170" s="227">
        <f t="shared" si="14"/>
        <v>297.53464467534224</v>
      </c>
      <c r="D170" s="228">
        <v>0.28000000000000003</v>
      </c>
      <c r="E170" s="228">
        <f t="shared" si="18"/>
        <v>2.8023915395323451</v>
      </c>
      <c r="F170" s="229">
        <f t="shared" si="16"/>
        <v>4.2072723250592192</v>
      </c>
      <c r="G170" s="230">
        <f>+$C$383/C170</f>
        <v>2.6268584276552036</v>
      </c>
    </row>
    <row r="171" spans="1:7" ht="18" hidden="1" customHeight="1" x14ac:dyDescent="0.3">
      <c r="A171" s="225">
        <v>2007</v>
      </c>
      <c r="B171" s="226" t="s">
        <v>34</v>
      </c>
      <c r="C171" s="227">
        <f t="shared" si="14"/>
        <v>298.78429018297868</v>
      </c>
      <c r="D171" s="228">
        <v>0.42</v>
      </c>
      <c r="E171" s="228">
        <f t="shared" si="18"/>
        <v>3.234161583998385</v>
      </c>
      <c r="F171" s="229">
        <f t="shared" si="16"/>
        <v>4.4777784233471118</v>
      </c>
      <c r="G171" s="230">
        <f>+$C$383/C171</f>
        <v>2.6158717662370083</v>
      </c>
    </row>
    <row r="172" spans="1:7" ht="18" hidden="1" customHeight="1" x14ac:dyDescent="0.3">
      <c r="A172" s="225">
        <v>2007</v>
      </c>
      <c r="B172" s="226" t="s">
        <v>36</v>
      </c>
      <c r="C172" s="227">
        <f t="shared" si="14"/>
        <v>299.47149405039954</v>
      </c>
      <c r="D172" s="228">
        <v>0.23</v>
      </c>
      <c r="E172" s="228">
        <f t="shared" si="18"/>
        <v>3.4716001556415854</v>
      </c>
      <c r="F172" s="229">
        <f t="shared" si="16"/>
        <v>4.5194902821846572</v>
      </c>
      <c r="G172" s="230">
        <f>+$C$383/C172</f>
        <v>2.6098690673820295</v>
      </c>
    </row>
    <row r="173" spans="1:7" ht="18" hidden="1" customHeight="1" x14ac:dyDescent="0.3">
      <c r="A173" s="225">
        <v>2007</v>
      </c>
      <c r="B173" s="226" t="s">
        <v>35</v>
      </c>
      <c r="C173" s="227">
        <f t="shared" si="14"/>
        <v>299.86080699266506</v>
      </c>
      <c r="D173" s="228">
        <v>0.13</v>
      </c>
      <c r="E173" s="228">
        <f t="shared" si="18"/>
        <v>3.6061132358439218</v>
      </c>
      <c r="F173" s="229">
        <f t="shared" si="16"/>
        <v>4.5090529454278716</v>
      </c>
      <c r="G173" s="230">
        <f>+$C$383/C173</f>
        <v>2.6064806425467189</v>
      </c>
    </row>
    <row r="174" spans="1:7" ht="18" hidden="1" customHeight="1" x14ac:dyDescent="0.3">
      <c r="A174" s="225">
        <v>2007</v>
      </c>
      <c r="B174" s="226" t="s">
        <v>25</v>
      </c>
      <c r="C174" s="227">
        <f t="shared" si="14"/>
        <v>300.67043117154526</v>
      </c>
      <c r="D174" s="228">
        <v>0.27</v>
      </c>
      <c r="E174" s="228">
        <f t="shared" si="18"/>
        <v>3.8858497415807047</v>
      </c>
      <c r="F174" s="229">
        <f t="shared" si="16"/>
        <v>4.5403305949526462</v>
      </c>
      <c r="G174" s="230">
        <f>+$C$383/C174</f>
        <v>2.5994620948905145</v>
      </c>
    </row>
    <row r="175" spans="1:7" ht="18" hidden="1" customHeight="1" x14ac:dyDescent="0.3">
      <c r="A175" s="225">
        <v>2007</v>
      </c>
      <c r="B175" s="226" t="s">
        <v>26</v>
      </c>
      <c r="C175" s="227">
        <f t="shared" si="14"/>
        <v>302.77512418974607</v>
      </c>
      <c r="D175" s="228">
        <v>0.7</v>
      </c>
      <c r="E175" s="228">
        <f t="shared" si="18"/>
        <v>4.6130506897717583</v>
      </c>
      <c r="F175" s="229">
        <f t="shared" si="16"/>
        <v>4.6130506897717583</v>
      </c>
      <c r="G175" s="230">
        <f>+$C$383/C175</f>
        <v>2.581392348451355</v>
      </c>
    </row>
    <row r="176" spans="1:7" ht="18" hidden="1" customHeight="1" x14ac:dyDescent="0.3">
      <c r="A176" s="225">
        <v>2008</v>
      </c>
      <c r="B176" s="226" t="s">
        <v>27</v>
      </c>
      <c r="C176" s="227">
        <f t="shared" si="14"/>
        <v>305.71204289438663</v>
      </c>
      <c r="D176" s="228">
        <v>0.97</v>
      </c>
      <c r="E176" s="228">
        <f t="shared" ref="E176:E187" si="19">100*(C176/C$175-1)</f>
        <v>0.97000000000000419</v>
      </c>
      <c r="F176" s="229">
        <f t="shared" si="16"/>
        <v>4.903959957754056</v>
      </c>
      <c r="G176" s="230">
        <f>+$C$383/C176</f>
        <v>2.556593392543681</v>
      </c>
    </row>
    <row r="177" spans="1:7" ht="18" hidden="1" customHeight="1" x14ac:dyDescent="0.3">
      <c r="A177" s="225">
        <v>2008</v>
      </c>
      <c r="B177" s="226" t="s">
        <v>28</v>
      </c>
      <c r="C177" s="227">
        <f t="shared" si="14"/>
        <v>305.72732849653136</v>
      </c>
      <c r="D177" s="228">
        <v>5.0000000000000001E-3</v>
      </c>
      <c r="E177" s="228">
        <f t="shared" si="19"/>
        <v>0.97504850000000864</v>
      </c>
      <c r="F177" s="229">
        <f t="shared" si="16"/>
        <v>4.5537224992544978</v>
      </c>
      <c r="G177" s="230">
        <f>+$C$383/C177</f>
        <v>2.5564655692652178</v>
      </c>
    </row>
    <row r="178" spans="1:7" ht="18" hidden="1" customHeight="1" x14ac:dyDescent="0.3">
      <c r="A178" s="225">
        <v>2008</v>
      </c>
      <c r="B178" s="226" t="s">
        <v>29</v>
      </c>
      <c r="C178" s="227">
        <f t="shared" si="14"/>
        <v>307.10310147476571</v>
      </c>
      <c r="D178" s="228">
        <v>0.45</v>
      </c>
      <c r="E178" s="228">
        <f t="shared" si="19"/>
        <v>1.429436218250002</v>
      </c>
      <c r="F178" s="229">
        <f t="shared" si="16"/>
        <v>4.5225062206420308</v>
      </c>
      <c r="G178" s="230">
        <f>+$C$383/C178</f>
        <v>2.5450130107169917</v>
      </c>
    </row>
    <row r="179" spans="1:7" ht="18" hidden="1" customHeight="1" x14ac:dyDescent="0.3">
      <c r="A179" s="225">
        <v>2008</v>
      </c>
      <c r="B179" s="226" t="s">
        <v>30</v>
      </c>
      <c r="C179" s="227">
        <f t="shared" si="14"/>
        <v>309.31424380538402</v>
      </c>
      <c r="D179" s="228">
        <v>0.72</v>
      </c>
      <c r="E179" s="228">
        <f t="shared" si="19"/>
        <v>2.1597281590213901</v>
      </c>
      <c r="F179" s="229">
        <f t="shared" si="16"/>
        <v>4.9497241206566178</v>
      </c>
      <c r="G179" s="230">
        <f>+$C$383/C179</f>
        <v>2.5268199073838282</v>
      </c>
    </row>
    <row r="180" spans="1:7" ht="18" hidden="1" customHeight="1" x14ac:dyDescent="0.3">
      <c r="A180" s="225">
        <v>2008</v>
      </c>
      <c r="B180" s="226" t="s">
        <v>31</v>
      </c>
      <c r="C180" s="227">
        <f t="shared" si="14"/>
        <v>312.00527772649082</v>
      </c>
      <c r="D180" s="228">
        <v>0.87</v>
      </c>
      <c r="E180" s="228">
        <f t="shared" si="19"/>
        <v>3.0485177940048791</v>
      </c>
      <c r="F180" s="229">
        <f t="shared" si="16"/>
        <v>5.5987897461409641</v>
      </c>
      <c r="G180" s="230">
        <f>+$C$383/C180</f>
        <v>2.5050261796211246</v>
      </c>
    </row>
    <row r="181" spans="1:7" ht="18" hidden="1" customHeight="1" x14ac:dyDescent="0.3">
      <c r="A181" s="225">
        <v>2008</v>
      </c>
      <c r="B181" s="226" t="s">
        <v>32</v>
      </c>
      <c r="C181" s="227">
        <f t="shared" si="14"/>
        <v>314.40771836498482</v>
      </c>
      <c r="D181" s="228">
        <v>0.77</v>
      </c>
      <c r="E181" s="228">
        <f t="shared" si="19"/>
        <v>3.8419913810187056</v>
      </c>
      <c r="F181" s="229">
        <f t="shared" si="16"/>
        <v>5.966839700444404</v>
      </c>
      <c r="G181" s="230">
        <f>+$C$383/C181</f>
        <v>2.4858848661517561</v>
      </c>
    </row>
    <row r="182" spans="1:7" ht="18" hidden="1" customHeight="1" x14ac:dyDescent="0.3">
      <c r="A182" s="225">
        <v>2008</v>
      </c>
      <c r="B182" s="226" t="s">
        <v>33</v>
      </c>
      <c r="C182" s="227">
        <f t="shared" si="14"/>
        <v>316.07407927231924</v>
      </c>
      <c r="D182" s="228">
        <v>0.53</v>
      </c>
      <c r="E182" s="228">
        <f t="shared" si="19"/>
        <v>4.3923539353381225</v>
      </c>
      <c r="F182" s="229">
        <f t="shared" si="16"/>
        <v>6.2310171029684502</v>
      </c>
      <c r="G182" s="230">
        <f>+$C$383/C182</f>
        <v>2.4727791367271021</v>
      </c>
    </row>
    <row r="183" spans="1:7" ht="18" hidden="1" customHeight="1" x14ac:dyDescent="0.3">
      <c r="A183" s="225">
        <v>2008</v>
      </c>
      <c r="B183" s="226" t="s">
        <v>34</v>
      </c>
      <c r="C183" s="227">
        <f t="shared" si="14"/>
        <v>316.51658298330051</v>
      </c>
      <c r="D183" s="228">
        <v>0.14000000000000001</v>
      </c>
      <c r="E183" s="228">
        <f t="shared" si="19"/>
        <v>4.5385032308475903</v>
      </c>
      <c r="F183" s="229">
        <f t="shared" si="16"/>
        <v>5.9348143068239656</v>
      </c>
      <c r="G183" s="230">
        <f>+$C$383/C183</f>
        <v>2.4693220858069722</v>
      </c>
    </row>
    <row r="184" spans="1:7" ht="18" hidden="1" customHeight="1" x14ac:dyDescent="0.3">
      <c r="A184" s="225">
        <v>2008</v>
      </c>
      <c r="B184" s="226" t="s">
        <v>36</v>
      </c>
      <c r="C184" s="227">
        <f t="shared" si="14"/>
        <v>316.23171805861551</v>
      </c>
      <c r="D184" s="228">
        <v>-0.09</v>
      </c>
      <c r="E184" s="228">
        <f t="shared" si="19"/>
        <v>4.4444185779398238</v>
      </c>
      <c r="F184" s="229">
        <f t="shared" si="16"/>
        <v>5.5966007921259164</v>
      </c>
      <c r="G184" s="230">
        <f>+$C$383/C184</f>
        <v>2.4715464776368457</v>
      </c>
    </row>
    <row r="185" spans="1:7" ht="18" hidden="1" customHeight="1" x14ac:dyDescent="0.3">
      <c r="A185" s="225">
        <v>2008</v>
      </c>
      <c r="B185" s="226" t="s">
        <v>35</v>
      </c>
      <c r="C185" s="227">
        <f t="shared" si="14"/>
        <v>317.71800713349097</v>
      </c>
      <c r="D185" s="228">
        <v>0.47</v>
      </c>
      <c r="E185" s="228">
        <f t="shared" si="19"/>
        <v>4.9353073452561347</v>
      </c>
      <c r="F185" s="229">
        <f t="shared" si="16"/>
        <v>5.955163103813943</v>
      </c>
      <c r="G185" s="230">
        <f>+$C$383/C185</f>
        <v>2.4599845502506676</v>
      </c>
    </row>
    <row r="186" spans="1:7" ht="18" hidden="1" customHeight="1" x14ac:dyDescent="0.3">
      <c r="A186" s="225">
        <v>2008</v>
      </c>
      <c r="B186" s="226" t="s">
        <v>25</v>
      </c>
      <c r="C186" s="227">
        <f t="shared" si="14"/>
        <v>319.49722797343856</v>
      </c>
      <c r="D186" s="228">
        <v>0.56000000000000005</v>
      </c>
      <c r="E186" s="228">
        <f t="shared" si="19"/>
        <v>5.5229450663895729</v>
      </c>
      <c r="F186" s="229">
        <f t="shared" si="16"/>
        <v>6.2616056818542987</v>
      </c>
      <c r="G186" s="230">
        <f>+$C$383/C186</f>
        <v>2.4462853522779113</v>
      </c>
    </row>
    <row r="187" spans="1:7" ht="18" hidden="1" customHeight="1" x14ac:dyDescent="0.3">
      <c r="A187" s="225">
        <v>2008</v>
      </c>
      <c r="B187" s="226" t="s">
        <v>26</v>
      </c>
      <c r="C187" s="227">
        <f t="shared" si="14"/>
        <v>321.15861355890047</v>
      </c>
      <c r="D187" s="228">
        <v>0.52</v>
      </c>
      <c r="E187" s="228">
        <f t="shared" si="19"/>
        <v>6.0716643807348092</v>
      </c>
      <c r="F187" s="229">
        <f t="shared" si="16"/>
        <v>6.0716643807348092</v>
      </c>
      <c r="G187" s="230">
        <f>+$C$383/C187</f>
        <v>2.4336304738140777</v>
      </c>
    </row>
    <row r="188" spans="1:7" ht="18" hidden="1" customHeight="1" x14ac:dyDescent="0.3">
      <c r="A188" s="225">
        <v>2009</v>
      </c>
      <c r="B188" s="226" t="s">
        <v>27</v>
      </c>
      <c r="C188" s="227">
        <f t="shared" si="14"/>
        <v>323.82423005143932</v>
      </c>
      <c r="D188" s="228">
        <v>0.83</v>
      </c>
      <c r="E188" s="228">
        <f t="shared" ref="E188:E199" si="20">100*(C188/C$187-1)</f>
        <v>0.82999999999999741</v>
      </c>
      <c r="F188" s="229">
        <f t="shared" si="16"/>
        <v>5.9245906656381964</v>
      </c>
      <c r="G188" s="230">
        <f>+$C$383/C188</f>
        <v>2.4135976136210235</v>
      </c>
    </row>
    <row r="189" spans="1:7" ht="18" hidden="1" customHeight="1" x14ac:dyDescent="0.3">
      <c r="A189" s="225">
        <v>2009</v>
      </c>
      <c r="B189" s="226" t="s">
        <v>14</v>
      </c>
      <c r="C189" s="227">
        <f t="shared" si="14"/>
        <v>324.50426093454735</v>
      </c>
      <c r="D189" s="228">
        <v>0.21</v>
      </c>
      <c r="E189" s="228">
        <f t="shared" si="20"/>
        <v>1.041742999999995</v>
      </c>
      <c r="F189" s="229">
        <f t="shared" si="16"/>
        <v>6.1417252197750516</v>
      </c>
      <c r="G189" s="230">
        <f>+$C$383/C189</f>
        <v>2.4085396802924093</v>
      </c>
    </row>
    <row r="190" spans="1:7" ht="18" hidden="1" customHeight="1" x14ac:dyDescent="0.3">
      <c r="A190" s="225">
        <v>2009</v>
      </c>
      <c r="B190" s="226" t="s">
        <v>29</v>
      </c>
      <c r="C190" s="227">
        <f t="shared" si="14"/>
        <v>326.48373692624807</v>
      </c>
      <c r="D190" s="228">
        <v>0.61</v>
      </c>
      <c r="E190" s="228">
        <f t="shared" si="20"/>
        <v>1.6580976322999819</v>
      </c>
      <c r="F190" s="229">
        <f t="shared" si="16"/>
        <v>6.3107911832908758</v>
      </c>
      <c r="G190" s="230">
        <f>+$C$383/C190</f>
        <v>2.3939366666259909</v>
      </c>
    </row>
    <row r="191" spans="1:7" ht="18" hidden="1" customHeight="1" x14ac:dyDescent="0.3">
      <c r="A191" s="225">
        <v>2009</v>
      </c>
      <c r="B191" s="226" t="s">
        <v>30</v>
      </c>
      <c r="C191" s="227">
        <f t="shared" si="14"/>
        <v>328.01821048980139</v>
      </c>
      <c r="D191" s="228">
        <v>0.47</v>
      </c>
      <c r="E191" s="228">
        <f t="shared" si="20"/>
        <v>2.1358906911717934</v>
      </c>
      <c r="F191" s="229">
        <f t="shared" si="16"/>
        <v>6.0469141201869858</v>
      </c>
      <c r="G191" s="230">
        <f>+$C$383/C191</f>
        <v>2.3827377989708283</v>
      </c>
    </row>
    <row r="192" spans="1:7" ht="18" hidden="1" customHeight="1" x14ac:dyDescent="0.3">
      <c r="A192" s="225">
        <v>2009</v>
      </c>
      <c r="B192" s="226" t="s">
        <v>31</v>
      </c>
      <c r="C192" s="227">
        <f t="shared" si="14"/>
        <v>329.29748151071163</v>
      </c>
      <c r="D192" s="228">
        <v>0.39</v>
      </c>
      <c r="E192" s="228">
        <f t="shared" si="20"/>
        <v>2.5342206648673704</v>
      </c>
      <c r="F192" s="229">
        <f t="shared" si="16"/>
        <v>5.5422792557308753</v>
      </c>
      <c r="G192" s="230">
        <f>+$C$383/C192</f>
        <v>2.3734812222042319</v>
      </c>
    </row>
    <row r="193" spans="1:7" ht="18" hidden="1" customHeight="1" x14ac:dyDescent="0.3">
      <c r="A193" s="225">
        <v>2009</v>
      </c>
      <c r="B193" s="226" t="s">
        <v>32</v>
      </c>
      <c r="C193" s="227">
        <f t="shared" ref="C193:C256" si="21">+C192*(1+D193/100)</f>
        <v>329.69263848852449</v>
      </c>
      <c r="D193" s="228">
        <v>0.12</v>
      </c>
      <c r="E193" s="228">
        <f t="shared" si="20"/>
        <v>2.6572617296652057</v>
      </c>
      <c r="F193" s="229">
        <f t="shared" si="16"/>
        <v>4.8614964680338879</v>
      </c>
      <c r="G193" s="230">
        <f>+$C$383/C193</f>
        <v>2.3706364584540869</v>
      </c>
    </row>
    <row r="194" spans="1:7" ht="18" hidden="1" customHeight="1" x14ac:dyDescent="0.3">
      <c r="A194" s="225">
        <v>2009</v>
      </c>
      <c r="B194" s="226" t="s">
        <v>33</v>
      </c>
      <c r="C194" s="227">
        <f t="shared" si="21"/>
        <v>330.81359345938552</v>
      </c>
      <c r="D194" s="228">
        <v>0.34</v>
      </c>
      <c r="E194" s="228">
        <f t="shared" si="20"/>
        <v>3.006296419546084</v>
      </c>
      <c r="F194" s="229">
        <f t="shared" si="16"/>
        <v>4.6633100129565452</v>
      </c>
      <c r="G194" s="230">
        <f>+$C$383/C194</f>
        <v>2.3626036061930304</v>
      </c>
    </row>
    <row r="195" spans="1:7" ht="18" hidden="1" customHeight="1" x14ac:dyDescent="0.3">
      <c r="A195" s="225">
        <v>2009</v>
      </c>
      <c r="B195" s="226" t="s">
        <v>34</v>
      </c>
      <c r="C195" s="227">
        <f t="shared" si="21"/>
        <v>331.47522064630431</v>
      </c>
      <c r="D195" s="228">
        <v>0.2</v>
      </c>
      <c r="E195" s="228">
        <f t="shared" si="20"/>
        <v>3.2123090123851838</v>
      </c>
      <c r="F195" s="229">
        <f t="shared" si="16"/>
        <v>4.7260202046958799</v>
      </c>
      <c r="G195" s="230">
        <f>+$C$383/C195</f>
        <v>2.3578878305319662</v>
      </c>
    </row>
    <row r="196" spans="1:7" ht="18" hidden="1" customHeight="1" x14ac:dyDescent="0.3">
      <c r="A196" s="225">
        <v>2009</v>
      </c>
      <c r="B196" s="226" t="s">
        <v>21</v>
      </c>
      <c r="C196" s="227">
        <f t="shared" si="21"/>
        <v>332.07187604346768</v>
      </c>
      <c r="D196" s="228">
        <v>0.18</v>
      </c>
      <c r="E196" s="228">
        <f t="shared" si="20"/>
        <v>3.3980911686074755</v>
      </c>
      <c r="F196" s="229">
        <f t="shared" si="16"/>
        <v>5.0090351727198001</v>
      </c>
      <c r="G196" s="230">
        <f>+$C$383/C196</f>
        <v>2.3536512582670852</v>
      </c>
    </row>
    <row r="197" spans="1:7" ht="18" hidden="1" customHeight="1" x14ac:dyDescent="0.3">
      <c r="A197" s="225">
        <v>2009</v>
      </c>
      <c r="B197" s="226" t="s">
        <v>35</v>
      </c>
      <c r="C197" s="227">
        <f t="shared" si="21"/>
        <v>332.105083231072</v>
      </c>
      <c r="D197" s="228">
        <v>0.01</v>
      </c>
      <c r="E197" s="228">
        <f t="shared" si="20"/>
        <v>3.4084309777243194</v>
      </c>
      <c r="F197" s="229">
        <f t="shared" si="16"/>
        <v>4.5282532857938484</v>
      </c>
      <c r="G197" s="230">
        <f>+$C$383/C197</f>
        <v>2.3534159166754178</v>
      </c>
    </row>
    <row r="198" spans="1:7" ht="18" hidden="1" customHeight="1" x14ac:dyDescent="0.3">
      <c r="A198" s="225">
        <v>2009</v>
      </c>
      <c r="B198" s="226" t="s">
        <v>25</v>
      </c>
      <c r="C198" s="227">
        <f t="shared" si="21"/>
        <v>332.96855644747279</v>
      </c>
      <c r="D198" s="228">
        <v>0.26</v>
      </c>
      <c r="E198" s="228">
        <f t="shared" si="20"/>
        <v>3.6772928982664155</v>
      </c>
      <c r="F198" s="229">
        <f t="shared" si="16"/>
        <v>4.2164148213374109</v>
      </c>
      <c r="G198" s="230">
        <f>+$C$383/C198</f>
        <v>2.3473129031272868</v>
      </c>
    </row>
    <row r="199" spans="1:7" ht="18" hidden="1" customHeight="1" x14ac:dyDescent="0.3">
      <c r="A199" s="225">
        <v>2009</v>
      </c>
      <c r="B199" s="226" t="s">
        <v>12</v>
      </c>
      <c r="C199" s="227">
        <f t="shared" si="21"/>
        <v>333.76768098294673</v>
      </c>
      <c r="D199" s="228">
        <v>0.24</v>
      </c>
      <c r="E199" s="228">
        <f t="shared" si="20"/>
        <v>3.9261184012222561</v>
      </c>
      <c r="F199" s="229">
        <f t="shared" si="16"/>
        <v>3.9261184012222561</v>
      </c>
      <c r="G199" s="230">
        <f>+$C$383/C199</f>
        <v>2.3416928403105417</v>
      </c>
    </row>
    <row r="200" spans="1:7" ht="18" hidden="1" customHeight="1" x14ac:dyDescent="0.3">
      <c r="A200" s="225">
        <v>2010</v>
      </c>
      <c r="B200" s="226" t="s">
        <v>13</v>
      </c>
      <c r="C200" s="227">
        <f t="shared" si="21"/>
        <v>338.07328406762673</v>
      </c>
      <c r="D200" s="228">
        <v>1.29</v>
      </c>
      <c r="E200" s="228">
        <f t="shared" ref="E200:E211" si="22">100*(C200/C$199-1)</f>
        <v>1.2899999999999912</v>
      </c>
      <c r="F200" s="229">
        <f t="shared" si="16"/>
        <v>4.4002433091322235</v>
      </c>
      <c r="G200" s="230">
        <f>+$C$383/C200</f>
        <v>2.3118697209107926</v>
      </c>
    </row>
    <row r="201" spans="1:7" ht="18" hidden="1" customHeight="1" x14ac:dyDescent="0.3">
      <c r="A201" s="225">
        <v>2010</v>
      </c>
      <c r="B201" s="226" t="s">
        <v>14</v>
      </c>
      <c r="C201" s="227">
        <f t="shared" si="21"/>
        <v>340.37218239928654</v>
      </c>
      <c r="D201" s="228">
        <v>0.68</v>
      </c>
      <c r="E201" s="228">
        <f t="shared" si="22"/>
        <v>1.9787719999999842</v>
      </c>
      <c r="F201" s="229">
        <f t="shared" si="16"/>
        <v>4.8898961816528308</v>
      </c>
      <c r="G201" s="230">
        <f>+$C$383/C201</f>
        <v>2.2962551856483837</v>
      </c>
    </row>
    <row r="202" spans="1:7" ht="18" hidden="1" customHeight="1" x14ac:dyDescent="0.3">
      <c r="A202" s="225">
        <v>2010</v>
      </c>
      <c r="B202" s="226" t="s">
        <v>15</v>
      </c>
      <c r="C202" s="227">
        <f t="shared" si="21"/>
        <v>343.29938316792038</v>
      </c>
      <c r="D202" s="228">
        <v>0.86</v>
      </c>
      <c r="E202" s="228">
        <f t="shared" si="22"/>
        <v>2.8557894391999739</v>
      </c>
      <c r="F202" s="229">
        <f t="shared" si="16"/>
        <v>5.1505310494136314</v>
      </c>
      <c r="G202" s="230">
        <f>+$C$383/C202</f>
        <v>2.2766757739920522</v>
      </c>
    </row>
    <row r="203" spans="1:7" ht="18" hidden="1" customHeight="1" x14ac:dyDescent="0.3">
      <c r="A203" s="225">
        <v>2010</v>
      </c>
      <c r="B203" s="226" t="s">
        <v>16</v>
      </c>
      <c r="C203" s="227">
        <f t="shared" si="21"/>
        <v>345.90845847999657</v>
      </c>
      <c r="D203" s="228">
        <v>0.76</v>
      </c>
      <c r="E203" s="228">
        <f t="shared" si="22"/>
        <v>3.6374934389378888</v>
      </c>
      <c r="F203" s="229">
        <f t="shared" si="16"/>
        <v>5.4540410922555793</v>
      </c>
      <c r="G203" s="230">
        <f>+$C$383/C203</f>
        <v>2.2595035470345897</v>
      </c>
    </row>
    <row r="204" spans="1:7" ht="18" hidden="1" customHeight="1" x14ac:dyDescent="0.3">
      <c r="A204" s="225">
        <v>2010</v>
      </c>
      <c r="B204" s="226" t="s">
        <v>17</v>
      </c>
      <c r="C204" s="227">
        <f t="shared" si="21"/>
        <v>346.63486624280455</v>
      </c>
      <c r="D204" s="228">
        <v>0.21</v>
      </c>
      <c r="E204" s="228">
        <f t="shared" si="22"/>
        <v>3.8551321751596479</v>
      </c>
      <c r="F204" s="229">
        <f t="shared" si="16"/>
        <v>5.2649612297532622</v>
      </c>
      <c r="G204" s="230">
        <f>+$C$383/C204</f>
        <v>2.254768533115048</v>
      </c>
    </row>
    <row r="205" spans="1:7" ht="18" hidden="1" customHeight="1" x14ac:dyDescent="0.3">
      <c r="A205" s="225">
        <v>2010</v>
      </c>
      <c r="B205" s="226" t="s">
        <v>18</v>
      </c>
      <c r="C205" s="227">
        <f t="shared" si="21"/>
        <v>345.90693302369465</v>
      </c>
      <c r="D205" s="228">
        <v>-0.21</v>
      </c>
      <c r="E205" s="228">
        <f t="shared" si="22"/>
        <v>3.6370363975918085</v>
      </c>
      <c r="F205" s="229">
        <f t="shared" si="16"/>
        <v>4.9180032073220081</v>
      </c>
      <c r="G205" s="230">
        <f>+$C$383/C205</f>
        <v>2.2595135114891751</v>
      </c>
    </row>
    <row r="206" spans="1:7" ht="18" hidden="1" customHeight="1" x14ac:dyDescent="0.3">
      <c r="A206" s="225">
        <v>2010</v>
      </c>
      <c r="B206" s="226" t="s">
        <v>19</v>
      </c>
      <c r="C206" s="227">
        <f t="shared" si="21"/>
        <v>345.18052846434489</v>
      </c>
      <c r="D206" s="228">
        <v>-0.21</v>
      </c>
      <c r="E206" s="228">
        <f t="shared" si="22"/>
        <v>3.4193986211568772</v>
      </c>
      <c r="F206" s="229">
        <f t="shared" si="16"/>
        <v>4.3429095082585301</v>
      </c>
      <c r="G206" s="230">
        <f>+$C$383/C206</f>
        <v>2.2642684752872784</v>
      </c>
    </row>
    <row r="207" spans="1:7" ht="18" hidden="1" customHeight="1" x14ac:dyDescent="0.3">
      <c r="A207" s="225">
        <v>2010</v>
      </c>
      <c r="B207" s="226" t="s">
        <v>20</v>
      </c>
      <c r="C207" s="227">
        <f t="shared" si="21"/>
        <v>344.90438404157339</v>
      </c>
      <c r="D207" s="228">
        <v>-0.08</v>
      </c>
      <c r="E207" s="228">
        <f t="shared" si="22"/>
        <v>3.3366631022599513</v>
      </c>
      <c r="F207" s="229">
        <f t="shared" si="16"/>
        <v>4.0513325156206648</v>
      </c>
      <c r="G207" s="230">
        <f>+$C$383/C207</f>
        <v>2.2660813403595665</v>
      </c>
    </row>
    <row r="208" spans="1:7" ht="18" hidden="1" customHeight="1" x14ac:dyDescent="0.3">
      <c r="A208" s="225">
        <v>2010</v>
      </c>
      <c r="B208" s="226" t="s">
        <v>21</v>
      </c>
      <c r="C208" s="227">
        <f t="shared" si="21"/>
        <v>346.49094420816459</v>
      </c>
      <c r="D208" s="228">
        <v>0.46</v>
      </c>
      <c r="E208" s="228">
        <f t="shared" si="22"/>
        <v>3.8120117525303199</v>
      </c>
      <c r="F208" s="229">
        <f t="shared" si="16"/>
        <v>4.3421527702061313</v>
      </c>
      <c r="G208" s="230">
        <f>+$C$383/C208</f>
        <v>2.2557050969137631</v>
      </c>
    </row>
    <row r="209" spans="1:7" ht="18" hidden="1" customHeight="1" x14ac:dyDescent="0.3">
      <c r="A209" s="225">
        <v>2010</v>
      </c>
      <c r="B209" s="226" t="s">
        <v>22</v>
      </c>
      <c r="C209" s="227">
        <f t="shared" si="21"/>
        <v>348.53524077899277</v>
      </c>
      <c r="D209" s="228">
        <v>0.59</v>
      </c>
      <c r="E209" s="228">
        <f t="shared" si="22"/>
        <v>4.4245026218702632</v>
      </c>
      <c r="F209" s="229">
        <f t="shared" si="16"/>
        <v>4.9472767438759835</v>
      </c>
      <c r="G209" s="230">
        <f>+$C$383/C209</f>
        <v>2.2424744973792259</v>
      </c>
    </row>
    <row r="210" spans="1:7" ht="18" hidden="1" customHeight="1" x14ac:dyDescent="0.3">
      <c r="A210" s="225">
        <v>2010</v>
      </c>
      <c r="B210" s="226" t="s">
        <v>23</v>
      </c>
      <c r="C210" s="227">
        <f t="shared" si="21"/>
        <v>352.02059318678272</v>
      </c>
      <c r="D210" s="228">
        <v>1</v>
      </c>
      <c r="E210" s="228">
        <f t="shared" si="22"/>
        <v>5.4687476480889785</v>
      </c>
      <c r="F210" s="229">
        <f t="shared" si="16"/>
        <v>5.7218726424443922</v>
      </c>
      <c r="G210" s="230">
        <f>+$C$383/C210</f>
        <v>2.2202717795833919</v>
      </c>
    </row>
    <row r="211" spans="1:7" ht="18" hidden="1" customHeight="1" x14ac:dyDescent="0.3">
      <c r="A211" s="231">
        <v>2010</v>
      </c>
      <c r="B211" s="232" t="s">
        <v>12</v>
      </c>
      <c r="C211" s="233">
        <f t="shared" si="21"/>
        <v>354.55514145772759</v>
      </c>
      <c r="D211" s="234">
        <v>0.72</v>
      </c>
      <c r="E211" s="234">
        <f t="shared" si="22"/>
        <v>6.2281226311552196</v>
      </c>
      <c r="F211" s="235">
        <f t="shared" si="16"/>
        <v>6.2281226311552196</v>
      </c>
      <c r="G211" s="230">
        <f>+$C$383/C211</f>
        <v>2.2044000988715164</v>
      </c>
    </row>
    <row r="212" spans="1:7" ht="18" customHeight="1" x14ac:dyDescent="0.25">
      <c r="A212" s="236">
        <v>2011</v>
      </c>
      <c r="B212" s="237" t="s">
        <v>13</v>
      </c>
      <c r="C212" s="238">
        <f t="shared" si="21"/>
        <v>359.05799175424073</v>
      </c>
      <c r="D212" s="239">
        <v>1.27</v>
      </c>
      <c r="E212" s="239">
        <f t="shared" ref="E212:E223" si="23">100*(C212/C$211-1)</f>
        <v>1.2699999999999934</v>
      </c>
      <c r="F212" s="240">
        <f t="shared" si="16"/>
        <v>6.2071475847279123</v>
      </c>
      <c r="G212" s="241">
        <f>+$C$383/C212</f>
        <v>2.1767553064792304</v>
      </c>
    </row>
    <row r="213" spans="1:7" ht="18" customHeight="1" x14ac:dyDescent="0.25">
      <c r="A213" s="242">
        <v>2011</v>
      </c>
      <c r="B213" s="243" t="s">
        <v>14</v>
      </c>
      <c r="C213" s="244">
        <f t="shared" si="21"/>
        <v>360.81737591383649</v>
      </c>
      <c r="D213" s="37">
        <v>0.49</v>
      </c>
      <c r="E213" s="37">
        <f t="shared" si="23"/>
        <v>1.7662230000000001</v>
      </c>
      <c r="F213" s="245">
        <f t="shared" si="16"/>
        <v>6.0067169327503667</v>
      </c>
      <c r="G213" s="246">
        <f>+$C$383/C213</f>
        <v>2.166141214528043</v>
      </c>
    </row>
    <row r="214" spans="1:7" ht="18" customHeight="1" x14ac:dyDescent="0.25">
      <c r="A214" s="242">
        <v>2011</v>
      </c>
      <c r="B214" s="243" t="s">
        <v>15</v>
      </c>
      <c r="C214" s="244">
        <f t="shared" si="21"/>
        <v>363.37917928282474</v>
      </c>
      <c r="D214" s="37">
        <v>0.71</v>
      </c>
      <c r="E214" s="37">
        <f t="shared" si="23"/>
        <v>2.4887631833000023</v>
      </c>
      <c r="F214" s="245">
        <f t="shared" si="16"/>
        <v>5.8490626838914483</v>
      </c>
      <c r="G214" s="246">
        <f t="shared" ref="G214:G277" si="24">+$C$383/C214</f>
        <v>2.1508700372634726</v>
      </c>
    </row>
    <row r="215" spans="1:7" ht="18" customHeight="1" x14ac:dyDescent="0.25">
      <c r="A215" s="242">
        <v>2011</v>
      </c>
      <c r="B215" s="243" t="s">
        <v>16</v>
      </c>
      <c r="C215" s="244">
        <f t="shared" si="21"/>
        <v>366.83128148601162</v>
      </c>
      <c r="D215" s="37">
        <v>0.95</v>
      </c>
      <c r="E215" s="37">
        <f t="shared" si="23"/>
        <v>3.4624064335413651</v>
      </c>
      <c r="F215" s="245">
        <f t="shared" ref="F215:F278" si="25">+((C215/C203)-1)*100</f>
        <v>6.0486589712072547</v>
      </c>
      <c r="G215" s="246">
        <f t="shared" si="24"/>
        <v>2.1306290611822409</v>
      </c>
    </row>
    <row r="216" spans="1:7" ht="18" customHeight="1" x14ac:dyDescent="0.25">
      <c r="A216" s="242">
        <v>2011</v>
      </c>
      <c r="B216" s="243" t="s">
        <v>17</v>
      </c>
      <c r="C216" s="244">
        <f t="shared" si="21"/>
        <v>368.7021210215903</v>
      </c>
      <c r="D216" s="37">
        <v>0.51</v>
      </c>
      <c r="E216" s="37">
        <f t="shared" si="23"/>
        <v>3.9900647063524364</v>
      </c>
      <c r="F216" s="245">
        <f t="shared" si="25"/>
        <v>6.3661382416529522</v>
      </c>
      <c r="G216" s="246">
        <f t="shared" si="24"/>
        <v>2.1198179894361164</v>
      </c>
    </row>
    <row r="217" spans="1:7" ht="18" customHeight="1" x14ac:dyDescent="0.25">
      <c r="A217" s="242">
        <v>2011</v>
      </c>
      <c r="B217" s="243" t="s">
        <v>18</v>
      </c>
      <c r="C217" s="244">
        <f t="shared" si="21"/>
        <v>368.03845720375142</v>
      </c>
      <c r="D217" s="37">
        <v>-0.18</v>
      </c>
      <c r="E217" s="37">
        <f t="shared" si="23"/>
        <v>3.8028825898809959</v>
      </c>
      <c r="F217" s="245">
        <f t="shared" si="25"/>
        <v>6.3981152348110859</v>
      </c>
      <c r="G217" s="246">
        <f t="shared" si="24"/>
        <v>2.1236405424124589</v>
      </c>
    </row>
    <row r="218" spans="1:7" ht="18" customHeight="1" x14ac:dyDescent="0.25">
      <c r="A218" s="242">
        <v>2011</v>
      </c>
      <c r="B218" s="243" t="s">
        <v>19</v>
      </c>
      <c r="C218" s="244">
        <f t="shared" si="21"/>
        <v>367.89124182086994</v>
      </c>
      <c r="D218" s="37">
        <v>-0.04</v>
      </c>
      <c r="E218" s="37">
        <f t="shared" si="23"/>
        <v>3.7613614368450454</v>
      </c>
      <c r="F218" s="245">
        <f t="shared" si="25"/>
        <v>6.5793726713269551</v>
      </c>
      <c r="G218" s="246">
        <f t="shared" si="24"/>
        <v>2.1244903385478779</v>
      </c>
    </row>
    <row r="219" spans="1:7" ht="18" customHeight="1" x14ac:dyDescent="0.25">
      <c r="A219" s="242">
        <v>2011</v>
      </c>
      <c r="B219" s="243" t="s">
        <v>20</v>
      </c>
      <c r="C219" s="244">
        <f t="shared" si="21"/>
        <v>369.36280678815342</v>
      </c>
      <c r="D219" s="37">
        <v>0.4</v>
      </c>
      <c r="E219" s="37">
        <f t="shared" si="23"/>
        <v>4.1764068825924205</v>
      </c>
      <c r="F219" s="245">
        <f t="shared" si="25"/>
        <v>7.0913632526143466</v>
      </c>
      <c r="G219" s="246">
        <f t="shared" si="24"/>
        <v>2.1160262336134243</v>
      </c>
    </row>
    <row r="220" spans="1:7" ht="18" customHeight="1" x14ac:dyDescent="0.25">
      <c r="A220" s="242">
        <v>2011</v>
      </c>
      <c r="B220" s="243" t="s">
        <v>21</v>
      </c>
      <c r="C220" s="244">
        <f t="shared" si="21"/>
        <v>371.20962082209417</v>
      </c>
      <c r="D220" s="37">
        <v>0.5</v>
      </c>
      <c r="E220" s="37">
        <f t="shared" si="23"/>
        <v>4.6972889170053822</v>
      </c>
      <c r="F220" s="245">
        <f t="shared" si="25"/>
        <v>7.1340036520778805</v>
      </c>
      <c r="G220" s="246">
        <f t="shared" si="24"/>
        <v>2.1054987399138554</v>
      </c>
    </row>
    <row r="221" spans="1:7" ht="18" customHeight="1" x14ac:dyDescent="0.25">
      <c r="A221" s="242">
        <v>2011</v>
      </c>
      <c r="B221" s="243" t="s">
        <v>22</v>
      </c>
      <c r="C221" s="244">
        <f t="shared" si="21"/>
        <v>372.17476583623159</v>
      </c>
      <c r="D221" s="37">
        <v>0.26</v>
      </c>
      <c r="E221" s="37">
        <f t="shared" si="23"/>
        <v>4.9695018681895853</v>
      </c>
      <c r="F221" s="245">
        <f t="shared" si="25"/>
        <v>6.7825351044569659</v>
      </c>
      <c r="G221" s="246">
        <f t="shared" si="24"/>
        <v>2.1000386394512822</v>
      </c>
    </row>
    <row r="222" spans="1:7" ht="18" customHeight="1" x14ac:dyDescent="0.25">
      <c r="A222" s="242">
        <v>2011</v>
      </c>
      <c r="B222" s="243" t="s">
        <v>23</v>
      </c>
      <c r="C222" s="244">
        <f t="shared" si="21"/>
        <v>374.14729209516366</v>
      </c>
      <c r="D222" s="37">
        <v>0.53</v>
      </c>
      <c r="E222" s="37">
        <f t="shared" si="23"/>
        <v>5.5258402280909946</v>
      </c>
      <c r="F222" s="245">
        <f t="shared" si="25"/>
        <v>6.2856262777332583</v>
      </c>
      <c r="G222" s="246">
        <f t="shared" si="24"/>
        <v>2.0889671137484154</v>
      </c>
    </row>
    <row r="223" spans="1:7" ht="18" customHeight="1" x14ac:dyDescent="0.25">
      <c r="A223" s="242">
        <v>2011</v>
      </c>
      <c r="B223" s="243" t="s">
        <v>12</v>
      </c>
      <c r="C223" s="244">
        <f t="shared" si="21"/>
        <v>377.10305570271544</v>
      </c>
      <c r="D223" s="37">
        <v>0.79</v>
      </c>
      <c r="E223" s="37">
        <f t="shared" si="23"/>
        <v>6.3594943658929148</v>
      </c>
      <c r="F223" s="245">
        <f t="shared" si="25"/>
        <v>6.3594943658929148</v>
      </c>
      <c r="G223" s="246">
        <f t="shared" si="24"/>
        <v>2.0725936241178839</v>
      </c>
    </row>
    <row r="224" spans="1:7" ht="18" customHeight="1" x14ac:dyDescent="0.25">
      <c r="A224" s="242">
        <f>2012</f>
        <v>2012</v>
      </c>
      <c r="B224" s="243" t="s">
        <v>13</v>
      </c>
      <c r="C224" s="244">
        <f t="shared" si="21"/>
        <v>380.1575904539074</v>
      </c>
      <c r="D224" s="37">
        <v>0.81</v>
      </c>
      <c r="E224" s="37">
        <f t="shared" ref="E224:E235" si="26">100*(C224/C$223-1)</f>
        <v>0.80999999999999961</v>
      </c>
      <c r="F224" s="245">
        <f t="shared" si="25"/>
        <v>5.8763762913564221</v>
      </c>
      <c r="G224" s="246">
        <f t="shared" si="24"/>
        <v>2.0559405060191294</v>
      </c>
    </row>
    <row r="225" spans="1:7" ht="18" customHeight="1" x14ac:dyDescent="0.25">
      <c r="A225" s="242">
        <f>2012</f>
        <v>2012</v>
      </c>
      <c r="B225" s="243" t="s">
        <v>14</v>
      </c>
      <c r="C225" s="244">
        <f t="shared" si="21"/>
        <v>381.06996867099679</v>
      </c>
      <c r="D225" s="37">
        <v>0.24</v>
      </c>
      <c r="E225" s="37">
        <f t="shared" si="26"/>
        <v>1.0519439999999936</v>
      </c>
      <c r="F225" s="245">
        <f t="shared" si="25"/>
        <v>5.6129760119968841</v>
      </c>
      <c r="G225" s="246">
        <f t="shared" si="24"/>
        <v>2.0510180626687244</v>
      </c>
    </row>
    <row r="226" spans="1:7" ht="18" customHeight="1" x14ac:dyDescent="0.25">
      <c r="A226" s="242">
        <f>2012</f>
        <v>2012</v>
      </c>
      <c r="B226" s="243" t="s">
        <v>15</v>
      </c>
      <c r="C226" s="244">
        <f t="shared" si="21"/>
        <v>383.35638848302278</v>
      </c>
      <c r="D226" s="37">
        <v>0.6</v>
      </c>
      <c r="E226" s="37">
        <f t="shared" si="26"/>
        <v>1.6582556639999968</v>
      </c>
      <c r="F226" s="245">
        <f t="shared" si="25"/>
        <v>5.4976207606681315</v>
      </c>
      <c r="G226" s="246">
        <f t="shared" si="24"/>
        <v>2.0387853505653322</v>
      </c>
    </row>
    <row r="227" spans="1:7" ht="18" customHeight="1" x14ac:dyDescent="0.25">
      <c r="A227" s="242">
        <f>2012</f>
        <v>2012</v>
      </c>
      <c r="B227" s="243" t="s">
        <v>16</v>
      </c>
      <c r="C227" s="244">
        <f t="shared" si="21"/>
        <v>385.34984170313453</v>
      </c>
      <c r="D227" s="37">
        <v>0.52</v>
      </c>
      <c r="E227" s="37">
        <f t="shared" si="26"/>
        <v>2.1868785934528123</v>
      </c>
      <c r="F227" s="245">
        <f t="shared" si="25"/>
        <v>5.0482500134954034</v>
      </c>
      <c r="G227" s="246">
        <f t="shared" si="24"/>
        <v>2.0282385103117111</v>
      </c>
    </row>
    <row r="228" spans="1:7" ht="18" customHeight="1" x14ac:dyDescent="0.25">
      <c r="A228" s="242">
        <f>2012</f>
        <v>2012</v>
      </c>
      <c r="B228" s="243" t="s">
        <v>17</v>
      </c>
      <c r="C228" s="244">
        <f t="shared" si="21"/>
        <v>387.35366087999085</v>
      </c>
      <c r="D228" s="37">
        <v>0.52</v>
      </c>
      <c r="E228" s="37">
        <f t="shared" si="26"/>
        <v>2.7182503621387744</v>
      </c>
      <c r="F228" s="245">
        <f t="shared" si="25"/>
        <v>5.0587015357333343</v>
      </c>
      <c r="G228" s="246">
        <f t="shared" si="24"/>
        <v>2.0177462299161468</v>
      </c>
    </row>
    <row r="229" spans="1:7" ht="18" customHeight="1" x14ac:dyDescent="0.25">
      <c r="A229" s="242">
        <f>2012</f>
        <v>2012</v>
      </c>
      <c r="B229" s="243" t="s">
        <v>18</v>
      </c>
      <c r="C229" s="244">
        <f t="shared" si="21"/>
        <v>387.7797499069589</v>
      </c>
      <c r="D229" s="37">
        <v>0.11</v>
      </c>
      <c r="E229" s="37">
        <f t="shared" si="26"/>
        <v>2.8312404375371303</v>
      </c>
      <c r="F229" s="245">
        <f t="shared" si="25"/>
        <v>5.3639211655206021</v>
      </c>
      <c r="G229" s="246">
        <f t="shared" si="24"/>
        <v>2.015529147853508</v>
      </c>
    </row>
    <row r="230" spans="1:7" ht="18" customHeight="1" x14ac:dyDescent="0.25">
      <c r="A230" s="242">
        <f>2012</f>
        <v>2012</v>
      </c>
      <c r="B230" s="243" t="s">
        <v>19</v>
      </c>
      <c r="C230" s="244">
        <f t="shared" si="21"/>
        <v>388.63286535675422</v>
      </c>
      <c r="D230" s="37">
        <v>0.22</v>
      </c>
      <c r="E230" s="37">
        <f t="shared" si="26"/>
        <v>3.0574691664997156</v>
      </c>
      <c r="F230" s="245">
        <f t="shared" si="25"/>
        <v>5.6379769828778903</v>
      </c>
      <c r="G230" s="246">
        <f t="shared" si="24"/>
        <v>2.0111047174750625</v>
      </c>
    </row>
    <row r="231" spans="1:7" ht="18" customHeight="1" x14ac:dyDescent="0.25">
      <c r="A231" s="242">
        <f>2012</f>
        <v>2012</v>
      </c>
      <c r="B231" s="243" t="s">
        <v>20</v>
      </c>
      <c r="C231" s="244">
        <f t="shared" si="21"/>
        <v>390.34284996432393</v>
      </c>
      <c r="D231" s="37">
        <v>0.44</v>
      </c>
      <c r="E231" s="37">
        <f t="shared" si="26"/>
        <v>3.5109220308323197</v>
      </c>
      <c r="F231" s="245">
        <f t="shared" si="25"/>
        <v>5.6800638262973546</v>
      </c>
      <c r="G231" s="246">
        <f t="shared" si="24"/>
        <v>2.0022946211420378</v>
      </c>
    </row>
    <row r="232" spans="1:7" ht="18" customHeight="1" x14ac:dyDescent="0.25">
      <c r="A232" s="242">
        <f>2012</f>
        <v>2012</v>
      </c>
      <c r="B232" s="243" t="s">
        <v>21</v>
      </c>
      <c r="C232" s="244">
        <f t="shared" si="21"/>
        <v>392.4507013541313</v>
      </c>
      <c r="D232" s="37">
        <v>0.54</v>
      </c>
      <c r="E232" s="37">
        <f t="shared" si="26"/>
        <v>4.0698810097988147</v>
      </c>
      <c r="F232" s="245">
        <f t="shared" si="25"/>
        <v>5.7221255432431617</v>
      </c>
      <c r="G232" s="246">
        <f t="shared" si="24"/>
        <v>1.9915403035031207</v>
      </c>
    </row>
    <row r="233" spans="1:7" ht="18" customHeight="1" x14ac:dyDescent="0.25">
      <c r="A233" s="242">
        <f>2012</f>
        <v>2012</v>
      </c>
      <c r="B233" s="243" t="s">
        <v>22</v>
      </c>
      <c r="C233" s="244">
        <f t="shared" si="21"/>
        <v>394.3344647206311</v>
      </c>
      <c r="D233" s="37">
        <v>0.48</v>
      </c>
      <c r="E233" s="37">
        <f t="shared" si="26"/>
        <v>4.5694164386458347</v>
      </c>
      <c r="F233" s="245">
        <f t="shared" si="25"/>
        <v>5.9541110571022626</v>
      </c>
      <c r="G233" s="246">
        <f t="shared" si="24"/>
        <v>1.9820265759386155</v>
      </c>
    </row>
    <row r="234" spans="1:7" ht="18" customHeight="1" x14ac:dyDescent="0.25">
      <c r="A234" s="242">
        <f>2012</f>
        <v>2012</v>
      </c>
      <c r="B234" s="243" t="s">
        <v>23</v>
      </c>
      <c r="C234" s="244">
        <f t="shared" si="21"/>
        <v>396.10896981187392</v>
      </c>
      <c r="D234" s="37">
        <v>0.45</v>
      </c>
      <c r="E234" s="37">
        <f t="shared" si="26"/>
        <v>5.0399788126197498</v>
      </c>
      <c r="F234" s="245">
        <f t="shared" si="25"/>
        <v>5.8697946452394234</v>
      </c>
      <c r="G234" s="246">
        <f t="shared" si="24"/>
        <v>1.9731474125819968</v>
      </c>
    </row>
    <row r="235" spans="1:7" ht="18" customHeight="1" x14ac:dyDescent="0.25">
      <c r="A235" s="242">
        <f>2012</f>
        <v>2012</v>
      </c>
      <c r="B235" s="243" t="s">
        <v>12</v>
      </c>
      <c r="C235" s="244">
        <f t="shared" si="21"/>
        <v>398.72328901263228</v>
      </c>
      <c r="D235" s="37">
        <v>0.66</v>
      </c>
      <c r="E235" s="37">
        <f t="shared" si="26"/>
        <v>5.7332426727830343</v>
      </c>
      <c r="F235" s="245">
        <f t="shared" si="25"/>
        <v>5.7332426727830343</v>
      </c>
      <c r="G235" s="246">
        <f t="shared" si="24"/>
        <v>1.9602100264077058</v>
      </c>
    </row>
    <row r="236" spans="1:7" ht="18" customHeight="1" x14ac:dyDescent="0.25">
      <c r="A236" s="242">
        <f>2013</f>
        <v>2013</v>
      </c>
      <c r="B236" s="243" t="s">
        <v>13</v>
      </c>
      <c r="C236" s="244">
        <f t="shared" si="21"/>
        <v>402.75039423165987</v>
      </c>
      <c r="D236" s="37">
        <v>1.01</v>
      </c>
      <c r="E236" s="37">
        <f t="shared" ref="E236:E242" si="27">100*(C236/C$235-1)</f>
        <v>1.0099999999999998</v>
      </c>
      <c r="F236" s="245">
        <f t="shared" si="25"/>
        <v>5.9430100424344268</v>
      </c>
      <c r="G236" s="246">
        <f t="shared" si="24"/>
        <v>1.9406098667534954</v>
      </c>
    </row>
    <row r="237" spans="1:7" ht="18" customHeight="1" x14ac:dyDescent="0.25">
      <c r="A237" s="242">
        <f>2013</f>
        <v>2013</v>
      </c>
      <c r="B237" s="243" t="s">
        <v>14</v>
      </c>
      <c r="C237" s="244">
        <f t="shared" si="21"/>
        <v>404.07947053262438</v>
      </c>
      <c r="D237" s="37">
        <v>0.33</v>
      </c>
      <c r="E237" s="37">
        <f t="shared" si="27"/>
        <v>1.3433330000000021</v>
      </c>
      <c r="F237" s="245">
        <f t="shared" si="25"/>
        <v>6.0381304624645527</v>
      </c>
      <c r="G237" s="246">
        <f t="shared" si="24"/>
        <v>1.934226917924345</v>
      </c>
    </row>
    <row r="238" spans="1:7" ht="18" customHeight="1" x14ac:dyDescent="0.25">
      <c r="A238" s="242">
        <f>2013</f>
        <v>2013</v>
      </c>
      <c r="B238" s="243" t="s">
        <v>15</v>
      </c>
      <c r="C238" s="244">
        <f t="shared" si="21"/>
        <v>406.98884272045933</v>
      </c>
      <c r="D238" s="37">
        <v>0.72</v>
      </c>
      <c r="E238" s="37">
        <f t="shared" si="27"/>
        <v>2.0730049976000142</v>
      </c>
      <c r="F238" s="245">
        <f t="shared" si="25"/>
        <v>6.1646172980062808</v>
      </c>
      <c r="G238" s="246">
        <f t="shared" si="24"/>
        <v>1.9204000376532415</v>
      </c>
    </row>
    <row r="239" spans="1:7" ht="18" customHeight="1" x14ac:dyDescent="0.25">
      <c r="A239" s="242">
        <f>2013</f>
        <v>2013</v>
      </c>
      <c r="B239" s="243" t="s">
        <v>16</v>
      </c>
      <c r="C239" s="244">
        <f t="shared" si="21"/>
        <v>409.10518470260575</v>
      </c>
      <c r="D239" s="37">
        <v>0.52</v>
      </c>
      <c r="E239" s="37">
        <f t="shared" si="27"/>
        <v>2.6037846235875461</v>
      </c>
      <c r="F239" s="245">
        <f t="shared" si="25"/>
        <v>6.1646172980062808</v>
      </c>
      <c r="G239" s="246">
        <f t="shared" si="24"/>
        <v>1.9104656164477132</v>
      </c>
    </row>
    <row r="240" spans="1:7" ht="18" customHeight="1" x14ac:dyDescent="0.25">
      <c r="A240" s="242">
        <f>2013</f>
        <v>2013</v>
      </c>
      <c r="B240" s="243" t="s">
        <v>17</v>
      </c>
      <c r="C240" s="244">
        <f t="shared" si="21"/>
        <v>410.41432129365415</v>
      </c>
      <c r="D240" s="37">
        <v>0.32</v>
      </c>
      <c r="E240" s="37">
        <f t="shared" si="27"/>
        <v>2.9321167343830501</v>
      </c>
      <c r="F240" s="245">
        <f t="shared" si="25"/>
        <v>5.9533864637484113</v>
      </c>
      <c r="G240" s="246">
        <f t="shared" si="24"/>
        <v>1.9043716272405431</v>
      </c>
    </row>
    <row r="241" spans="1:7" ht="18" customHeight="1" x14ac:dyDescent="0.25">
      <c r="A241" s="242">
        <f>2013</f>
        <v>2013</v>
      </c>
      <c r="B241" s="243" t="s">
        <v>18</v>
      </c>
      <c r="C241" s="244">
        <f t="shared" si="21"/>
        <v>411.85077141818198</v>
      </c>
      <c r="D241" s="37">
        <v>0.35</v>
      </c>
      <c r="E241" s="37">
        <f t="shared" si="27"/>
        <v>3.2923791429533944</v>
      </c>
      <c r="F241" s="245">
        <f t="shared" si="25"/>
        <v>6.2073951816716821</v>
      </c>
      <c r="G241" s="246">
        <f t="shared" si="24"/>
        <v>1.8977295737324793</v>
      </c>
    </row>
    <row r="242" spans="1:7" ht="18" customHeight="1" x14ac:dyDescent="0.25">
      <c r="A242" s="242">
        <f>2013</f>
        <v>2013</v>
      </c>
      <c r="B242" s="243" t="s">
        <v>19</v>
      </c>
      <c r="C242" s="244">
        <f t="shared" si="21"/>
        <v>411.15062510677103</v>
      </c>
      <c r="D242" s="37">
        <v>-0.17</v>
      </c>
      <c r="E242" s="37">
        <f t="shared" si="27"/>
        <v>3.1167820984103756</v>
      </c>
      <c r="F242" s="245">
        <f t="shared" si="25"/>
        <v>5.7940955995438248</v>
      </c>
      <c r="G242" s="246">
        <f t="shared" si="24"/>
        <v>1.9009612077857152</v>
      </c>
    </row>
    <row r="243" spans="1:7" ht="18" customHeight="1" x14ac:dyDescent="0.25">
      <c r="A243" s="242">
        <f>2013</f>
        <v>2013</v>
      </c>
      <c r="B243" s="243" t="s">
        <v>20</v>
      </c>
      <c r="C243" s="244">
        <f t="shared" si="21"/>
        <v>411.9729263569846</v>
      </c>
      <c r="D243" s="37">
        <v>0.2</v>
      </c>
      <c r="E243" s="37">
        <f>100*(C243/C$235-1)</f>
        <v>3.3230156626071983</v>
      </c>
      <c r="F243" s="245">
        <f t="shared" si="25"/>
        <v>5.5413020616715825</v>
      </c>
      <c r="G243" s="246">
        <f t="shared" si="24"/>
        <v>1.8971668740376397</v>
      </c>
    </row>
    <row r="244" spans="1:7" ht="18" customHeight="1" x14ac:dyDescent="0.25">
      <c r="A244" s="242">
        <f>2013</f>
        <v>2013</v>
      </c>
      <c r="B244" s="243" t="s">
        <v>21</v>
      </c>
      <c r="C244" s="244">
        <f t="shared" si="21"/>
        <v>413.20884513605552</v>
      </c>
      <c r="D244" s="37">
        <v>0.3</v>
      </c>
      <c r="E244" s="37">
        <f>100*(C244/C$235-1)</f>
        <v>3.6329847095950107</v>
      </c>
      <c r="F244" s="245">
        <f t="shared" si="25"/>
        <v>5.2893634054670624</v>
      </c>
      <c r="G244" s="246">
        <f t="shared" si="24"/>
        <v>1.8914923968470987</v>
      </c>
    </row>
    <row r="245" spans="1:7" ht="18" customHeight="1" x14ac:dyDescent="0.25">
      <c r="A245" s="242">
        <f>2013</f>
        <v>2013</v>
      </c>
      <c r="B245" s="243" t="s">
        <v>22</v>
      </c>
      <c r="C245" s="244">
        <f t="shared" si="21"/>
        <v>415.48149378430384</v>
      </c>
      <c r="D245" s="37">
        <v>0.55000000000000004</v>
      </c>
      <c r="E245" s="37">
        <f>100*(C245/C$235-1)</f>
        <v>4.2029661254977757</v>
      </c>
      <c r="F245" s="245">
        <f t="shared" si="25"/>
        <v>5.3627138775847349</v>
      </c>
      <c r="G245" s="246">
        <f t="shared" si="24"/>
        <v>1.8811460933337629</v>
      </c>
    </row>
    <row r="246" spans="1:7" ht="18" customHeight="1" x14ac:dyDescent="0.25">
      <c r="A246" s="242">
        <f>2013</f>
        <v>2013</v>
      </c>
      <c r="B246" s="243" t="s">
        <v>23</v>
      </c>
      <c r="C246" s="244">
        <f t="shared" si="21"/>
        <v>418.30676794203708</v>
      </c>
      <c r="D246" s="37">
        <v>0.68</v>
      </c>
      <c r="E246" s="37">
        <f>100*(C246/C$235-1)</f>
        <v>4.911546295151159</v>
      </c>
      <c r="F246" s="245">
        <f t="shared" si="25"/>
        <v>5.6039625006991667</v>
      </c>
      <c r="G246" s="246">
        <f t="shared" si="24"/>
        <v>1.868440696596904</v>
      </c>
    </row>
    <row r="247" spans="1:7" ht="18" customHeight="1" x14ac:dyDescent="0.25">
      <c r="A247" s="242">
        <f>2013</f>
        <v>2013</v>
      </c>
      <c r="B247" s="243" t="s">
        <v>12</v>
      </c>
      <c r="C247" s="244">
        <f t="shared" si="21"/>
        <v>421.19308464083713</v>
      </c>
      <c r="D247" s="37">
        <v>0.69</v>
      </c>
      <c r="E247" s="37">
        <f>100*(C247/C$235-1)</f>
        <v>5.6354359645877095</v>
      </c>
      <c r="F247" s="245">
        <f t="shared" si="25"/>
        <v>5.6354359645877095</v>
      </c>
      <c r="G247" s="246">
        <f t="shared" si="24"/>
        <v>1.8556368026585601</v>
      </c>
    </row>
    <row r="248" spans="1:7" ht="18" customHeight="1" x14ac:dyDescent="0.25">
      <c r="A248" s="242">
        <f>2014</f>
        <v>2014</v>
      </c>
      <c r="B248" s="243" t="s">
        <v>13</v>
      </c>
      <c r="C248" s="244">
        <f t="shared" si="21"/>
        <v>425.3628961787814</v>
      </c>
      <c r="D248" s="37">
        <v>0.99</v>
      </c>
      <c r="E248" s="37">
        <f t="shared" ref="E248:E259" si="28">100*(C248/C$247-1)</f>
        <v>0.99000000000000199</v>
      </c>
      <c r="F248" s="245">
        <f t="shared" si="25"/>
        <v>5.6145201273508638</v>
      </c>
      <c r="G248" s="246">
        <f t="shared" si="24"/>
        <v>1.8374460864031688</v>
      </c>
    </row>
    <row r="249" spans="1:7" ht="18" customHeight="1" x14ac:dyDescent="0.25">
      <c r="A249" s="242">
        <f>2014</f>
        <v>2014</v>
      </c>
      <c r="B249" s="243" t="s">
        <v>14</v>
      </c>
      <c r="C249" s="244">
        <f t="shared" si="21"/>
        <v>428.14992592583411</v>
      </c>
      <c r="D249" s="37">
        <v>0.65521223691342723</v>
      </c>
      <c r="E249" s="37">
        <f t="shared" si="28"/>
        <v>1.6516988380588682</v>
      </c>
      <c r="F249" s="245">
        <f t="shared" si="25"/>
        <v>5.9568617434293314</v>
      </c>
      <c r="G249" s="246">
        <f t="shared" si="24"/>
        <v>1.8254852834429967</v>
      </c>
    </row>
    <row r="250" spans="1:7" ht="18" customHeight="1" x14ac:dyDescent="0.25">
      <c r="A250" s="242">
        <f>2014</f>
        <v>2014</v>
      </c>
      <c r="B250" s="243" t="s">
        <v>15</v>
      </c>
      <c r="C250" s="244">
        <f t="shared" si="21"/>
        <v>431.78008229780465</v>
      </c>
      <c r="D250" s="37">
        <v>0.84787037253846176</v>
      </c>
      <c r="E250" s="37">
        <f t="shared" si="28"/>
        <v>2.5135734756887906</v>
      </c>
      <c r="F250" s="245">
        <f t="shared" si="25"/>
        <v>6.0913806412067117</v>
      </c>
      <c r="G250" s="246">
        <f t="shared" si="24"/>
        <v>1.8101376625004946</v>
      </c>
    </row>
    <row r="251" spans="1:7" ht="18" customHeight="1" x14ac:dyDescent="0.25">
      <c r="A251" s="242">
        <f>2014</f>
        <v>2014</v>
      </c>
      <c r="B251" s="243" t="s">
        <v>16</v>
      </c>
      <c r="C251" s="244">
        <f t="shared" si="21"/>
        <v>435.12251293689599</v>
      </c>
      <c r="D251" s="37">
        <v>0.77410486868776385</v>
      </c>
      <c r="E251" s="37">
        <f t="shared" si="28"/>
        <v>3.3071360390299009</v>
      </c>
      <c r="F251" s="245">
        <f t="shared" si="25"/>
        <v>6.3595694230087041</v>
      </c>
      <c r="G251" s="246">
        <f t="shared" si="24"/>
        <v>1.7962329358907907</v>
      </c>
    </row>
    <row r="252" spans="1:7" ht="18" customHeight="1" x14ac:dyDescent="0.25">
      <c r="A252" s="242">
        <f>2014</f>
        <v>2014</v>
      </c>
      <c r="B252" s="243" t="s">
        <v>17</v>
      </c>
      <c r="C252" s="244">
        <f t="shared" si="21"/>
        <v>437.40025811146575</v>
      </c>
      <c r="D252" s="37">
        <v>0.52347215022177096</v>
      </c>
      <c r="E252" s="37">
        <f t="shared" si="28"/>
        <v>3.8479201253859507</v>
      </c>
      <c r="F252" s="245">
        <f t="shared" si="25"/>
        <v>6.5752912161422872</v>
      </c>
      <c r="G252" s="246">
        <f t="shared" si="24"/>
        <v>1.7868791213324877</v>
      </c>
    </row>
    <row r="253" spans="1:7" ht="18" customHeight="1" x14ac:dyDescent="0.25">
      <c r="A253" s="242">
        <f>2014</f>
        <v>2014</v>
      </c>
      <c r="B253" s="243" t="s">
        <v>18</v>
      </c>
      <c r="C253" s="244">
        <f t="shared" si="21"/>
        <v>438.86595505038338</v>
      </c>
      <c r="D253" s="37">
        <v>0.33509283813548674</v>
      </c>
      <c r="E253" s="37">
        <f t="shared" si="28"/>
        <v>4.1959070682787702</v>
      </c>
      <c r="F253" s="245">
        <f t="shared" si="25"/>
        <v>6.5594592767609372</v>
      </c>
      <c r="G253" s="246">
        <f t="shared" si="24"/>
        <v>1.7809114147281964</v>
      </c>
    </row>
    <row r="254" spans="1:7" ht="18" customHeight="1" x14ac:dyDescent="0.25">
      <c r="A254" s="242">
        <f>2014</f>
        <v>2014</v>
      </c>
      <c r="B254" s="243" t="s">
        <v>19</v>
      </c>
      <c r="C254" s="244">
        <f t="shared" si="21"/>
        <v>439.31809548776494</v>
      </c>
      <c r="D254" s="37">
        <v>0.10302472364931425</v>
      </c>
      <c r="E254" s="37">
        <f t="shared" si="28"/>
        <v>4.3032546135897576</v>
      </c>
      <c r="F254" s="245">
        <f t="shared" si="25"/>
        <v>6.8508883754412775</v>
      </c>
      <c r="G254" s="246">
        <f t="shared" si="24"/>
        <v>1.7790785239953459</v>
      </c>
    </row>
    <row r="255" spans="1:7" ht="18" customHeight="1" x14ac:dyDescent="0.25">
      <c r="A255" s="242">
        <f>2014</f>
        <v>2014</v>
      </c>
      <c r="B255" s="243" t="s">
        <v>20</v>
      </c>
      <c r="C255" s="244">
        <f t="shared" si="21"/>
        <v>439.83941040447985</v>
      </c>
      <c r="D255" s="37">
        <v>0.11866456721663088</v>
      </c>
      <c r="E255" s="37">
        <f t="shared" si="28"/>
        <v>4.4270256192698199</v>
      </c>
      <c r="F255" s="245">
        <f t="shared" si="25"/>
        <v>6.7641542112765629</v>
      </c>
      <c r="G255" s="246">
        <f t="shared" si="24"/>
        <v>1.7769698903653739</v>
      </c>
    </row>
    <row r="256" spans="1:7" ht="18" customHeight="1" x14ac:dyDescent="0.25">
      <c r="A256" s="242">
        <f>2014</f>
        <v>2014</v>
      </c>
      <c r="B256" s="243" t="s">
        <v>21</v>
      </c>
      <c r="C256" s="244">
        <f t="shared" si="21"/>
        <v>441.9838192638129</v>
      </c>
      <c r="D256" s="37">
        <v>0.48754359173068806</v>
      </c>
      <c r="E256" s="37">
        <f t="shared" si="28"/>
        <v>4.9361528907115426</v>
      </c>
      <c r="F256" s="245">
        <f t="shared" si="25"/>
        <v>6.9637846494507549</v>
      </c>
      <c r="G256" s="246">
        <f t="shared" si="24"/>
        <v>1.7683484209595151</v>
      </c>
    </row>
    <row r="257" spans="1:7" ht="18" customHeight="1" x14ac:dyDescent="0.25">
      <c r="A257" s="242">
        <f>2014</f>
        <v>2014</v>
      </c>
      <c r="B257" s="243" t="s">
        <v>22</v>
      </c>
      <c r="C257" s="244">
        <f t="shared" ref="C257:C320" si="29">+C256*(1+D257/100)</f>
        <v>443.87960100902035</v>
      </c>
      <c r="D257" s="37">
        <v>0.42892559921428042</v>
      </c>
      <c r="E257" s="37">
        <f t="shared" si="28"/>
        <v>5.3862509132904357</v>
      </c>
      <c r="F257" s="245">
        <f t="shared" si="25"/>
        <v>6.8349872736953587</v>
      </c>
      <c r="G257" s="246">
        <f t="shared" si="24"/>
        <v>1.7607959165236258</v>
      </c>
    </row>
    <row r="258" spans="1:7" ht="18" customHeight="1" x14ac:dyDescent="0.25">
      <c r="A258" s="242">
        <f>2014</f>
        <v>2014</v>
      </c>
      <c r="B258" s="243" t="s">
        <v>23</v>
      </c>
      <c r="C258" s="244">
        <f t="shared" si="29"/>
        <v>446.77791144021802</v>
      </c>
      <c r="D258" s="37">
        <v>0.65294967928448688</v>
      </c>
      <c r="E258" s="37">
        <f t="shared" si="28"/>
        <v>6.0743701006387152</v>
      </c>
      <c r="F258" s="245">
        <f t="shared" si="25"/>
        <v>6.8062832543331009</v>
      </c>
      <c r="G258" s="246">
        <f t="shared" si="24"/>
        <v>1.7493733885933174</v>
      </c>
    </row>
    <row r="259" spans="1:7" ht="18" customHeight="1" x14ac:dyDescent="0.25">
      <c r="A259" s="242">
        <f>2014</f>
        <v>2014</v>
      </c>
      <c r="B259" s="243" t="s">
        <v>12</v>
      </c>
      <c r="C259" s="244">
        <f t="shared" si="29"/>
        <v>450.13939012434315</v>
      </c>
      <c r="D259" s="37">
        <v>0.75238246969040468</v>
      </c>
      <c r="E259" s="37">
        <f t="shared" si="28"/>
        <v>6.8724550661104278</v>
      </c>
      <c r="F259" s="245">
        <f t="shared" si="25"/>
        <v>6.8724550661104278</v>
      </c>
      <c r="G259" s="246">
        <f t="shared" si="24"/>
        <v>1.7363096988000117</v>
      </c>
    </row>
    <row r="260" spans="1:7" ht="18" customHeight="1" x14ac:dyDescent="0.25">
      <c r="A260" s="242">
        <f>2015</f>
        <v>2015</v>
      </c>
      <c r="B260" s="243" t="s">
        <v>13</v>
      </c>
      <c r="C260" s="244">
        <f t="shared" si="29"/>
        <v>457.92803548580099</v>
      </c>
      <c r="D260" s="37">
        <v>1.7302741178252257</v>
      </c>
      <c r="E260" s="37">
        <f t="shared" ref="E260:E271" si="30">100*(C260/C$259-1)</f>
        <v>1.7302741178252257</v>
      </c>
      <c r="F260" s="245">
        <f t="shared" si="25"/>
        <v>7.655848594121939</v>
      </c>
      <c r="G260" s="246">
        <f t="shared" si="24"/>
        <v>1.7067777648854037</v>
      </c>
    </row>
    <row r="261" spans="1:7" ht="18" customHeight="1" x14ac:dyDescent="0.25">
      <c r="A261" s="242">
        <f>2015</f>
        <v>2015</v>
      </c>
      <c r="B261" s="243" t="s">
        <v>14</v>
      </c>
      <c r="C261" s="244">
        <f t="shared" si="29"/>
        <v>462.35921227787765</v>
      </c>
      <c r="D261" s="37">
        <v>0.96765789571624516</v>
      </c>
      <c r="E261" s="37">
        <f t="shared" si="30"/>
        <v>2.7146751476601505</v>
      </c>
      <c r="F261" s="245">
        <f t="shared" si="25"/>
        <v>7.9900250544407303</v>
      </c>
      <c r="G261" s="246">
        <f t="shared" si="24"/>
        <v>1.6904202795792662</v>
      </c>
    </row>
    <row r="262" spans="1:7" ht="18" customHeight="1" x14ac:dyDescent="0.25">
      <c r="A262" s="242">
        <f>2015</f>
        <v>2015</v>
      </c>
      <c r="B262" s="243" t="s">
        <v>15</v>
      </c>
      <c r="C262" s="244">
        <f t="shared" si="29"/>
        <v>468.87464620812796</v>
      </c>
      <c r="D262" s="37">
        <v>1.4091714314831401</v>
      </c>
      <c r="E262" s="37">
        <f t="shared" si="30"/>
        <v>4.162101005781671</v>
      </c>
      <c r="F262" s="245">
        <f t="shared" si="25"/>
        <v>8.5910780582830739</v>
      </c>
      <c r="G262" s="246">
        <f t="shared" si="24"/>
        <v>1.6669303729805096</v>
      </c>
    </row>
    <row r="263" spans="1:7" ht="18" customHeight="1" x14ac:dyDescent="0.25">
      <c r="A263" s="242">
        <f>2015</f>
        <v>2015</v>
      </c>
      <c r="B263" s="243" t="s">
        <v>16</v>
      </c>
      <c r="C263" s="244">
        <f t="shared" si="29"/>
        <v>471.71280491816623</v>
      </c>
      <c r="D263" s="37">
        <v>0.60531289823218004</v>
      </c>
      <c r="E263" s="37">
        <f t="shared" si="30"/>
        <v>4.792607638239299</v>
      </c>
      <c r="F263" s="245">
        <f t="shared" si="25"/>
        <v>8.4091930188353139</v>
      </c>
      <c r="G263" s="246">
        <f t="shared" si="24"/>
        <v>1.6569009378925164</v>
      </c>
    </row>
    <row r="264" spans="1:7" ht="18" customHeight="1" x14ac:dyDescent="0.25">
      <c r="A264" s="242">
        <f>2015</f>
        <v>2015</v>
      </c>
      <c r="B264" s="243" t="s">
        <v>17</v>
      </c>
      <c r="C264" s="244">
        <f t="shared" si="29"/>
        <v>475.12741762264881</v>
      </c>
      <c r="D264" s="37">
        <v>0.72387534722000402</v>
      </c>
      <c r="E264" s="37">
        <f t="shared" si="30"/>
        <v>5.5511754906415023</v>
      </c>
      <c r="F264" s="245">
        <f t="shared" si="25"/>
        <v>8.6253171578076113</v>
      </c>
      <c r="G264" s="246">
        <f t="shared" si="24"/>
        <v>1.64499323738366</v>
      </c>
    </row>
    <row r="265" spans="1:7" ht="18" customHeight="1" x14ac:dyDescent="0.25">
      <c r="A265" s="242">
        <f>2015</f>
        <v>2015</v>
      </c>
      <c r="B265" s="243" t="s">
        <v>18</v>
      </c>
      <c r="C265" s="244">
        <f t="shared" si="29"/>
        <v>479.0332693832666</v>
      </c>
      <c r="D265" s="37">
        <v>0.82206406444846891</v>
      </c>
      <c r="E265" s="37">
        <f t="shared" si="30"/>
        <v>6.4188737739530044</v>
      </c>
      <c r="F265" s="245">
        <f t="shared" si="25"/>
        <v>9.1525245626017835</v>
      </c>
      <c r="G265" s="246">
        <f t="shared" si="24"/>
        <v>1.6315805995919022</v>
      </c>
    </row>
    <row r="266" spans="1:7" ht="18" customHeight="1" x14ac:dyDescent="0.25">
      <c r="A266" s="242">
        <f>2015</f>
        <v>2015</v>
      </c>
      <c r="B266" s="243" t="s">
        <v>19</v>
      </c>
      <c r="C266" s="244">
        <f t="shared" si="29"/>
        <v>481.55061891378796</v>
      </c>
      <c r="D266" s="37">
        <v>0.52550619996860615</v>
      </c>
      <c r="E266" s="37">
        <f t="shared" si="30"/>
        <v>6.9781115535718863</v>
      </c>
      <c r="F266" s="245">
        <f t="shared" si="25"/>
        <v>9.6131991510919335</v>
      </c>
      <c r="G266" s="246">
        <f t="shared" si="24"/>
        <v>1.6230513640451698</v>
      </c>
    </row>
    <row r="267" spans="1:7" ht="18" customHeight="1" x14ac:dyDescent="0.25">
      <c r="A267" s="242">
        <f>2015</f>
        <v>2015</v>
      </c>
      <c r="B267" s="243" t="s">
        <v>20</v>
      </c>
      <c r="C267" s="244">
        <f t="shared" si="29"/>
        <v>482.61831196436748</v>
      </c>
      <c r="D267" s="37">
        <v>0.22171979614269421</v>
      </c>
      <c r="E267" s="37">
        <f t="shared" si="30"/>
        <v>7.2153032044257603</v>
      </c>
      <c r="F267" s="245">
        <f t="shared" si="25"/>
        <v>9.7260273972602498</v>
      </c>
      <c r="G267" s="246">
        <f t="shared" si="24"/>
        <v>1.6194606990845484</v>
      </c>
    </row>
    <row r="268" spans="1:7" ht="18" customHeight="1" x14ac:dyDescent="0.25">
      <c r="A268" s="242">
        <f>2015</f>
        <v>2015</v>
      </c>
      <c r="B268" s="243" t="s">
        <v>21</v>
      </c>
      <c r="C268" s="244">
        <f t="shared" si="29"/>
        <v>484.63740473795173</v>
      </c>
      <c r="D268" s="37">
        <v>0.41836223854956334</v>
      </c>
      <c r="E268" s="37">
        <f t="shared" si="30"/>
        <v>7.6638515469795054</v>
      </c>
      <c r="F268" s="245">
        <f t="shared" si="25"/>
        <v>9.6504857451986439</v>
      </c>
      <c r="G268" s="246">
        <f t="shared" si="24"/>
        <v>1.6127137138897236</v>
      </c>
    </row>
    <row r="269" spans="1:7" ht="18" customHeight="1" x14ac:dyDescent="0.25">
      <c r="A269" s="242">
        <f>2015</f>
        <v>2015</v>
      </c>
      <c r="B269" s="243" t="s">
        <v>22</v>
      </c>
      <c r="C269" s="244">
        <f t="shared" si="29"/>
        <v>488.31768754422177</v>
      </c>
      <c r="D269" s="37">
        <v>0.75938893083582482</v>
      </c>
      <c r="E269" s="37">
        <f t="shared" si="30"/>
        <v>8.4814389181387959</v>
      </c>
      <c r="F269" s="245">
        <f t="shared" si="25"/>
        <v>10.011292799710869</v>
      </c>
      <c r="G269" s="246">
        <f t="shared" si="24"/>
        <v>1.6005592441581173</v>
      </c>
    </row>
    <row r="270" spans="1:7" ht="18" customHeight="1" x14ac:dyDescent="0.25">
      <c r="A270" s="242">
        <f>2015</f>
        <v>2015</v>
      </c>
      <c r="B270" s="243" t="s">
        <v>23</v>
      </c>
      <c r="C270" s="244">
        <f t="shared" si="29"/>
        <v>493.20902500316788</v>
      </c>
      <c r="D270" s="37">
        <v>1.0016711627925945</v>
      </c>
      <c r="E270" s="37">
        <f t="shared" si="30"/>
        <v>9.5680662087642467</v>
      </c>
      <c r="F270" s="245">
        <f t="shared" si="25"/>
        <v>10.392437131297761</v>
      </c>
      <c r="G270" s="246">
        <f t="shared" si="24"/>
        <v>1.5846859024524118</v>
      </c>
    </row>
    <row r="271" spans="1:7" ht="18" customHeight="1" x14ac:dyDescent="0.25">
      <c r="A271" s="242">
        <f>2015</f>
        <v>2015</v>
      </c>
      <c r="B271" s="243" t="s">
        <v>12</v>
      </c>
      <c r="C271" s="244">
        <f t="shared" si="29"/>
        <v>497.55699191430745</v>
      </c>
      <c r="D271" s="37">
        <v>0.88156677812447626</v>
      </c>
      <c r="E271" s="37">
        <f t="shared" si="30"/>
        <v>10.533981879894139</v>
      </c>
      <c r="F271" s="245">
        <f t="shared" si="25"/>
        <v>10.533981879894139</v>
      </c>
      <c r="G271" s="246">
        <f t="shared" si="24"/>
        <v>1.570837917235878</v>
      </c>
    </row>
    <row r="272" spans="1:7" ht="18" customHeight="1" x14ac:dyDescent="0.25">
      <c r="A272" s="242">
        <f>2016</f>
        <v>2016</v>
      </c>
      <c r="B272" s="243" t="s">
        <v>13</v>
      </c>
      <c r="C272" s="244">
        <f t="shared" si="29"/>
        <v>506.41934549846081</v>
      </c>
      <c r="D272" s="37">
        <v>1.7811735596471534</v>
      </c>
      <c r="E272" s="37">
        <f t="shared" ref="E272:E283" si="31">100*(C272/C$271-1)</f>
        <v>1.7811735596471534</v>
      </c>
      <c r="F272" s="245">
        <f t="shared" si="25"/>
        <v>10.589286144321131</v>
      </c>
      <c r="G272" s="246">
        <f t="shared" si="24"/>
        <v>1.5433482070388143</v>
      </c>
    </row>
    <row r="273" spans="1:7" ht="18" customHeight="1" x14ac:dyDescent="0.25">
      <c r="A273" s="242">
        <f>2016</f>
        <v>2016</v>
      </c>
      <c r="B273" s="243" t="s">
        <v>14</v>
      </c>
      <c r="C273" s="244">
        <f t="shared" si="29"/>
        <v>510.28509611163895</v>
      </c>
      <c r="D273" s="37">
        <v>0.76334971156624132</v>
      </c>
      <c r="E273" s="37">
        <f t="shared" si="31"/>
        <v>2.5581198544434525</v>
      </c>
      <c r="F273" s="245">
        <f t="shared" si="25"/>
        <v>10.365508583174465</v>
      </c>
      <c r="G273" s="246">
        <f t="shared" si="24"/>
        <v>1.5316563129914083</v>
      </c>
    </row>
    <row r="274" spans="1:7" ht="18" customHeight="1" x14ac:dyDescent="0.25">
      <c r="A274" s="242">
        <f>2016</f>
        <v>2016</v>
      </c>
      <c r="B274" s="243" t="s">
        <v>15</v>
      </c>
      <c r="C274" s="244">
        <f t="shared" si="29"/>
        <v>512.82049115850816</v>
      </c>
      <c r="D274" s="37">
        <v>0.496858533825284</v>
      </c>
      <c r="E274" s="37">
        <f t="shared" si="31"/>
        <v>3.0676886250710078</v>
      </c>
      <c r="F274" s="245">
        <f t="shared" si="25"/>
        <v>9.3726212977771404</v>
      </c>
      <c r="G274" s="246">
        <f t="shared" si="24"/>
        <v>1.5240837727040817</v>
      </c>
    </row>
    <row r="275" spans="1:7" ht="18" customHeight="1" x14ac:dyDescent="0.25">
      <c r="A275" s="242">
        <f>2016</f>
        <v>2016</v>
      </c>
      <c r="B275" s="243" t="s">
        <v>16</v>
      </c>
      <c r="C275" s="244">
        <f t="shared" si="29"/>
        <v>515.31678758662383</v>
      </c>
      <c r="D275" s="37">
        <v>0.4867778240444931</v>
      </c>
      <c r="E275" s="37">
        <f t="shared" si="31"/>
        <v>3.5693992770530869</v>
      </c>
      <c r="F275" s="245">
        <f t="shared" si="25"/>
        <v>9.2437564157331167</v>
      </c>
      <c r="G275" s="246">
        <f t="shared" si="24"/>
        <v>1.5167008095063017</v>
      </c>
    </row>
    <row r="276" spans="1:7" ht="18" customHeight="1" x14ac:dyDescent="0.25">
      <c r="A276" s="242">
        <f>2016</f>
        <v>2016</v>
      </c>
      <c r="B276" s="243" t="s">
        <v>17</v>
      </c>
      <c r="C276" s="244">
        <f t="shared" si="29"/>
        <v>518.59204880375376</v>
      </c>
      <c r="D276" s="37">
        <v>0.63558209164287227</v>
      </c>
      <c r="E276" s="37">
        <f t="shared" si="31"/>
        <v>4.2276678312801463</v>
      </c>
      <c r="F276" s="245">
        <f t="shared" si="25"/>
        <v>9.1479947418283913</v>
      </c>
      <c r="G276" s="246">
        <f t="shared" si="24"/>
        <v>1.5071218131625967</v>
      </c>
    </row>
    <row r="277" spans="1:7" ht="18" customHeight="1" x14ac:dyDescent="0.25">
      <c r="A277" s="242">
        <f>2016</f>
        <v>2016</v>
      </c>
      <c r="B277" s="243" t="s">
        <v>18</v>
      </c>
      <c r="C277" s="244">
        <f t="shared" si="29"/>
        <v>519.94947264458449</v>
      </c>
      <c r="D277" s="37">
        <v>0.26175176498790531</v>
      </c>
      <c r="E277" s="37">
        <f t="shared" si="31"/>
        <v>4.5004855914342334</v>
      </c>
      <c r="F277" s="245">
        <f t="shared" si="25"/>
        <v>8.5414116046669708</v>
      </c>
      <c r="G277" s="246">
        <f t="shared" si="24"/>
        <v>1.503187194150835</v>
      </c>
    </row>
    <row r="278" spans="1:7" ht="18" customHeight="1" x14ac:dyDescent="0.25">
      <c r="A278" s="242">
        <f>2016</f>
        <v>2016</v>
      </c>
      <c r="B278" s="243" t="s">
        <v>19</v>
      </c>
      <c r="C278" s="244">
        <f t="shared" si="29"/>
        <v>521.86931507825568</v>
      </c>
      <c r="D278" s="37">
        <v>0.36923634596770505</v>
      </c>
      <c r="E278" s="37">
        <f t="shared" si="31"/>
        <v>4.8863393659505538</v>
      </c>
      <c r="F278" s="245">
        <f t="shared" si="25"/>
        <v>8.3726807901135736</v>
      </c>
      <c r="G278" s="246">
        <f t="shared" ref="G278:G341" si="32">+$C$383/C278</f>
        <v>1.4976572990646502</v>
      </c>
    </row>
    <row r="279" spans="1:7" ht="18" customHeight="1" x14ac:dyDescent="0.25">
      <c r="A279" s="242">
        <f>2016</f>
        <v>2016</v>
      </c>
      <c r="B279" s="243" t="s">
        <v>20</v>
      </c>
      <c r="C279" s="244">
        <f t="shared" si="29"/>
        <v>523.53251016831337</v>
      </c>
      <c r="D279" s="37">
        <v>0.31869953683869578</v>
      </c>
      <c r="E279" s="37">
        <f t="shared" si="31"/>
        <v>5.2206116437168992</v>
      </c>
      <c r="F279" s="245">
        <f t="shared" ref="F279:F342" si="33">+((C279/C267)-1)*100</f>
        <v>8.4775478239554669</v>
      </c>
      <c r="G279" s="246">
        <f t="shared" si="32"/>
        <v>1.4928994354783132</v>
      </c>
    </row>
    <row r="280" spans="1:7" ht="18" customHeight="1" x14ac:dyDescent="0.25">
      <c r="A280" s="242">
        <f>2016</f>
        <v>2016</v>
      </c>
      <c r="B280" s="243" t="s">
        <v>21</v>
      </c>
      <c r="C280" s="244">
        <f t="shared" si="29"/>
        <v>523.88640279446793</v>
      </c>
      <c r="D280" s="37">
        <v>6.7597067857505522E-2</v>
      </c>
      <c r="E280" s="37">
        <f t="shared" si="31"/>
        <v>5.2917376919697778</v>
      </c>
      <c r="F280" s="245">
        <f t="shared" si="33"/>
        <v>8.0986316105209575</v>
      </c>
      <c r="G280" s="246">
        <f t="shared" si="32"/>
        <v>1.4918909609330913</v>
      </c>
    </row>
    <row r="281" spans="1:7" ht="18" customHeight="1" x14ac:dyDescent="0.25">
      <c r="A281" s="242">
        <f>2016</f>
        <v>2016</v>
      </c>
      <c r="B281" s="243" t="s">
        <v>22</v>
      </c>
      <c r="C281" s="244">
        <f t="shared" si="29"/>
        <v>525.66689374078646</v>
      </c>
      <c r="D281" s="37">
        <v>0.33986202673350618</v>
      </c>
      <c r="E281" s="37">
        <f t="shared" si="31"/>
        <v>5.6495843256726408</v>
      </c>
      <c r="F281" s="245">
        <f t="shared" si="33"/>
        <v>7.6485466632175481</v>
      </c>
      <c r="G281" s="246">
        <f t="shared" si="32"/>
        <v>1.4868377639742094</v>
      </c>
    </row>
    <row r="282" spans="1:7" ht="18" customHeight="1" x14ac:dyDescent="0.25">
      <c r="A282" s="242">
        <f>2016</f>
        <v>2016</v>
      </c>
      <c r="B282" s="243" t="s">
        <v>23</v>
      </c>
      <c r="C282" s="244">
        <f t="shared" si="29"/>
        <v>526.55012151314372</v>
      </c>
      <c r="D282" s="37">
        <v>0.16802042945334161</v>
      </c>
      <c r="E282" s="37">
        <f t="shared" si="31"/>
        <v>5.8270972109722985</v>
      </c>
      <c r="F282" s="245">
        <f t="shared" si="33"/>
        <v>6.7600337422377255</v>
      </c>
      <c r="G282" s="246">
        <f t="shared" si="32"/>
        <v>1.4843437632087024</v>
      </c>
    </row>
    <row r="283" spans="1:7" ht="18" customHeight="1" x14ac:dyDescent="0.25">
      <c r="A283" s="242">
        <f>2016</f>
        <v>2016</v>
      </c>
      <c r="B283" s="243" t="s">
        <v>12</v>
      </c>
      <c r="C283" s="244">
        <f t="shared" si="29"/>
        <v>528.29452142676666</v>
      </c>
      <c r="D283" s="37">
        <v>0.33128848372687703</v>
      </c>
      <c r="E283" s="37">
        <f t="shared" si="31"/>
        <v>6.1776901966946962</v>
      </c>
      <c r="F283" s="245">
        <f t="shared" si="33"/>
        <v>6.1776901966946962</v>
      </c>
      <c r="G283" s="246">
        <f t="shared" si="32"/>
        <v>1.4794425404488389</v>
      </c>
    </row>
    <row r="284" spans="1:7" ht="18" customHeight="1" x14ac:dyDescent="0.25">
      <c r="A284" s="242">
        <f>2017</f>
        <v>2017</v>
      </c>
      <c r="B284" s="243" t="s">
        <v>13</v>
      </c>
      <c r="C284" s="244">
        <f t="shared" si="29"/>
        <v>531.9627738888048</v>
      </c>
      <c r="D284" s="37">
        <v>0.69435746790091901</v>
      </c>
      <c r="E284" s="37">
        <f t="shared" ref="E284:E295" si="34">100*(C284/C$283-1)</f>
        <v>0.69435746790091901</v>
      </c>
      <c r="F284" s="245">
        <f t="shared" si="33"/>
        <v>5.0439282419596276</v>
      </c>
      <c r="G284" s="246">
        <f t="shared" si="32"/>
        <v>1.4692407575275028</v>
      </c>
    </row>
    <row r="285" spans="1:7" ht="18" customHeight="1" x14ac:dyDescent="0.25">
      <c r="A285" s="242">
        <f>2017</f>
        <v>2017</v>
      </c>
      <c r="B285" s="243" t="s">
        <v>14</v>
      </c>
      <c r="C285" s="244">
        <f t="shared" si="29"/>
        <v>533.60692093382875</v>
      </c>
      <c r="D285" s="37">
        <v>0.3090718233918377</v>
      </c>
      <c r="E285" s="37">
        <f t="shared" si="34"/>
        <v>1.0055753545796575</v>
      </c>
      <c r="F285" s="245">
        <f t="shared" si="33"/>
        <v>4.5703519463730302</v>
      </c>
      <c r="G285" s="246">
        <f t="shared" si="32"/>
        <v>1.4647137400636174</v>
      </c>
    </row>
    <row r="286" spans="1:7" ht="18" customHeight="1" x14ac:dyDescent="0.25">
      <c r="A286" s="242">
        <f>2017</f>
        <v>2017</v>
      </c>
      <c r="B286" s="243" t="s">
        <v>15</v>
      </c>
      <c r="C286" s="244">
        <f t="shared" si="29"/>
        <v>536.13730333726801</v>
      </c>
      <c r="D286" s="37">
        <v>0.47420344530220149</v>
      </c>
      <c r="E286" s="37">
        <f t="shared" si="34"/>
        <v>1.4845472728583831</v>
      </c>
      <c r="F286" s="245">
        <f t="shared" si="33"/>
        <v>4.5467785669182303</v>
      </c>
      <c r="G286" s="246">
        <f t="shared" si="32"/>
        <v>1.4578007984517163</v>
      </c>
    </row>
    <row r="287" spans="1:7" ht="18" customHeight="1" x14ac:dyDescent="0.25">
      <c r="A287" s="242">
        <f>2017</f>
        <v>2017</v>
      </c>
      <c r="B287" s="243" t="s">
        <v>16</v>
      </c>
      <c r="C287" s="244">
        <f t="shared" si="29"/>
        <v>536.80598997082348</v>
      </c>
      <c r="D287" s="37">
        <v>0.12472301953121434</v>
      </c>
      <c r="E287" s="37">
        <f t="shared" si="34"/>
        <v>1.6111218645746828</v>
      </c>
      <c r="F287" s="245">
        <f t="shared" si="33"/>
        <v>4.1700955415870933</v>
      </c>
      <c r="G287" s="246">
        <f t="shared" si="32"/>
        <v>1.4559848501826513</v>
      </c>
    </row>
    <row r="288" spans="1:7" ht="18" customHeight="1" x14ac:dyDescent="0.25">
      <c r="A288" s="242">
        <f>2017</f>
        <v>2017</v>
      </c>
      <c r="B288" s="243" t="s">
        <v>17</v>
      </c>
      <c r="C288" s="244">
        <f t="shared" si="29"/>
        <v>539.58600201707429</v>
      </c>
      <c r="D288" s="37">
        <v>0.51788022082277507</v>
      </c>
      <c r="E288" s="37">
        <f t="shared" si="34"/>
        <v>2.1373457668674378</v>
      </c>
      <c r="F288" s="245">
        <f t="shared" si="33"/>
        <v>4.0482597567293332</v>
      </c>
      <c r="G288" s="246">
        <f t="shared" si="32"/>
        <v>1.4484834409401293</v>
      </c>
    </row>
    <row r="289" spans="1:7" ht="18" customHeight="1" x14ac:dyDescent="0.25">
      <c r="A289" s="242">
        <f>2017</f>
        <v>2017</v>
      </c>
      <c r="B289" s="243" t="s">
        <v>18</v>
      </c>
      <c r="C289" s="244">
        <f t="shared" si="29"/>
        <v>537.8466147468813</v>
      </c>
      <c r="D289" s="37">
        <v>-0.32235589205258375</v>
      </c>
      <c r="E289" s="37">
        <f t="shared" si="34"/>
        <v>1.8081000148018278</v>
      </c>
      <c r="F289" s="245">
        <f t="shared" si="33"/>
        <v>3.4420925578148465</v>
      </c>
      <c r="G289" s="246">
        <f t="shared" si="32"/>
        <v>1.4531678130067682</v>
      </c>
    </row>
    <row r="290" spans="1:7" ht="18" customHeight="1" x14ac:dyDescent="0.25">
      <c r="A290" s="242">
        <f>2017</f>
        <v>2017</v>
      </c>
      <c r="B290" s="243" t="s">
        <v>19</v>
      </c>
      <c r="C290" s="244">
        <f t="shared" si="29"/>
        <v>539.87874039338351</v>
      </c>
      <c r="D290" s="37">
        <v>0.3778262409364741</v>
      </c>
      <c r="E290" s="37">
        <f t="shared" si="34"/>
        <v>2.192757732056605</v>
      </c>
      <c r="F290" s="245">
        <f t="shared" si="33"/>
        <v>3.4509454368719217</v>
      </c>
      <c r="G290" s="246">
        <f t="shared" si="32"/>
        <v>1.4476980299600586</v>
      </c>
    </row>
    <row r="291" spans="1:7" ht="18" customHeight="1" x14ac:dyDescent="0.25">
      <c r="A291" s="242">
        <f>2017</f>
        <v>2017</v>
      </c>
      <c r="B291" s="243" t="s">
        <v>20</v>
      </c>
      <c r="C291" s="244">
        <f t="shared" si="29"/>
        <v>540.60457116204032</v>
      </c>
      <c r="D291" s="37">
        <v>0.13444329519771703</v>
      </c>
      <c r="E291" s="37">
        <f t="shared" si="34"/>
        <v>2.330149043004992</v>
      </c>
      <c r="F291" s="245">
        <f t="shared" si="33"/>
        <v>3.2609361715165264</v>
      </c>
      <c r="G291" s="246">
        <f t="shared" si="32"/>
        <v>1.4457543102249293</v>
      </c>
    </row>
    <row r="292" spans="1:7" ht="18" customHeight="1" x14ac:dyDescent="0.25">
      <c r="A292" s="242">
        <f>2017</f>
        <v>2017</v>
      </c>
      <c r="B292" s="243" t="s">
        <v>21</v>
      </c>
      <c r="C292" s="244">
        <f t="shared" si="29"/>
        <v>540.48727530577958</v>
      </c>
      <c r="D292" s="37">
        <v>-2.1697163234979389E-2</v>
      </c>
      <c r="E292" s="37">
        <f t="shared" si="34"/>
        <v>2.3079463035285519</v>
      </c>
      <c r="F292" s="245">
        <f t="shared" si="33"/>
        <v>3.1687923990316946</v>
      </c>
      <c r="G292" s="246">
        <f t="shared" si="32"/>
        <v>1.4460680659736924</v>
      </c>
    </row>
    <row r="293" spans="1:7" ht="18" customHeight="1" x14ac:dyDescent="0.25">
      <c r="A293" s="242">
        <f>2017</f>
        <v>2017</v>
      </c>
      <c r="B293" s="243" t="s">
        <v>22</v>
      </c>
      <c r="C293" s="244">
        <f t="shared" si="29"/>
        <v>542.25172579312232</v>
      </c>
      <c r="D293" s="37">
        <v>0.32645550930769929</v>
      </c>
      <c r="E293" s="37">
        <f t="shared" si="34"/>
        <v>2.6419362306959737</v>
      </c>
      <c r="F293" s="245">
        <f t="shared" si="33"/>
        <v>3.155007905160967</v>
      </c>
      <c r="G293" s="246">
        <f t="shared" si="32"/>
        <v>1.4413626581670023</v>
      </c>
    </row>
    <row r="294" spans="1:7" ht="18" customHeight="1" x14ac:dyDescent="0.25">
      <c r="A294" s="242">
        <f>2017</f>
        <v>2017</v>
      </c>
      <c r="B294" s="243" t="s">
        <v>23</v>
      </c>
      <c r="C294" s="244">
        <f t="shared" si="29"/>
        <v>544.19663144394326</v>
      </c>
      <c r="D294" s="37">
        <v>0.35867209974780323</v>
      </c>
      <c r="E294" s="37">
        <f t="shared" si="34"/>
        <v>3.0100842185964316</v>
      </c>
      <c r="F294" s="245">
        <f t="shared" si="33"/>
        <v>3.3513447646899897</v>
      </c>
      <c r="G294" s="246">
        <f t="shared" si="32"/>
        <v>1.4362113686940905</v>
      </c>
    </row>
    <row r="295" spans="1:7" ht="18" customHeight="1" x14ac:dyDescent="0.25">
      <c r="A295" s="242">
        <f>2017</f>
        <v>2017</v>
      </c>
      <c r="B295" s="243" t="s">
        <v>12</v>
      </c>
      <c r="C295" s="244">
        <f t="shared" si="29"/>
        <v>545.35054196151805</v>
      </c>
      <c r="D295" s="37">
        <v>0.21203926134438777</v>
      </c>
      <c r="E295" s="37">
        <f t="shared" si="34"/>
        <v>3.228506040283774</v>
      </c>
      <c r="F295" s="245">
        <f t="shared" si="33"/>
        <v>3.228506040283774</v>
      </c>
      <c r="G295" s="246">
        <f t="shared" si="32"/>
        <v>1.4331724803529591</v>
      </c>
    </row>
    <row r="296" spans="1:7" ht="18" customHeight="1" x14ac:dyDescent="0.25">
      <c r="A296" s="242">
        <f>2018</f>
        <v>2018</v>
      </c>
      <c r="B296" s="243" t="s">
        <v>13</v>
      </c>
      <c r="C296" s="244">
        <f t="shared" si="29"/>
        <v>549.09197901763355</v>
      </c>
      <c r="D296" s="37">
        <v>0.68606094030057019</v>
      </c>
      <c r="E296" s="37">
        <f t="shared" ref="E296:E307" si="35">100*(C296/C$295-1)</f>
        <v>0.68606094030057019</v>
      </c>
      <c r="F296" s="245">
        <f t="shared" si="33"/>
        <v>3.2200007161420796</v>
      </c>
      <c r="G296" s="246">
        <f t="shared" si="32"/>
        <v>1.4234070406257373</v>
      </c>
    </row>
    <row r="297" spans="1:7" ht="18" customHeight="1" x14ac:dyDescent="0.25">
      <c r="A297" s="242">
        <f>2018</f>
        <v>2018</v>
      </c>
      <c r="B297" s="243" t="s">
        <v>14</v>
      </c>
      <c r="C297" s="244">
        <f t="shared" si="29"/>
        <v>550.01029529400068</v>
      </c>
      <c r="D297" s="37">
        <v>0.16724270458476909</v>
      </c>
      <c r="E297" s="37">
        <f t="shared" si="35"/>
        <v>0.85445103175700865</v>
      </c>
      <c r="F297" s="245">
        <f t="shared" si="33"/>
        <v>3.0740557733894391</v>
      </c>
      <c r="G297" s="246">
        <f t="shared" si="32"/>
        <v>1.4210304708333421</v>
      </c>
    </row>
    <row r="298" spans="1:7" ht="18" customHeight="1" x14ac:dyDescent="0.25">
      <c r="A298" s="242">
        <f>2018</f>
        <v>2018</v>
      </c>
      <c r="B298" s="243" t="s">
        <v>15</v>
      </c>
      <c r="C298" s="244">
        <f t="shared" si="29"/>
        <v>550.95567984488935</v>
      </c>
      <c r="D298" s="37">
        <v>0.17188488269721525</v>
      </c>
      <c r="E298" s="37">
        <f t="shared" si="35"/>
        <v>1.02780458660785</v>
      </c>
      <c r="F298" s="245">
        <f t="shared" si="33"/>
        <v>2.7639144703011986</v>
      </c>
      <c r="G298" s="246">
        <f t="shared" si="32"/>
        <v>1.4185921254226075</v>
      </c>
    </row>
    <row r="299" spans="1:7" ht="18" customHeight="1" x14ac:dyDescent="0.25">
      <c r="A299" s="242">
        <f>2018</f>
        <v>2018</v>
      </c>
      <c r="B299" s="243" t="s">
        <v>16</v>
      </c>
      <c r="C299" s="244">
        <f t="shared" si="29"/>
        <v>552.80835285659919</v>
      </c>
      <c r="D299" s="37">
        <v>0.33626534392592333</v>
      </c>
      <c r="E299" s="37">
        <f t="shared" si="35"/>
        <v>1.3675260811618184</v>
      </c>
      <c r="F299" s="245">
        <f t="shared" si="33"/>
        <v>2.9810328470152747</v>
      </c>
      <c r="G299" s="246">
        <f t="shared" si="32"/>
        <v>1.4138378786175194</v>
      </c>
    </row>
    <row r="300" spans="1:7" ht="18" customHeight="1" x14ac:dyDescent="0.25">
      <c r="A300" s="242">
        <f>2018</f>
        <v>2018</v>
      </c>
      <c r="B300" s="243" t="s">
        <v>17</v>
      </c>
      <c r="C300" s="244">
        <f t="shared" si="29"/>
        <v>555.09211320328484</v>
      </c>
      <c r="D300" s="37">
        <v>0.41311972492537041</v>
      </c>
      <c r="E300" s="37">
        <f t="shared" si="35"/>
        <v>1.7862953260719738</v>
      </c>
      <c r="F300" s="245">
        <f t="shared" si="33"/>
        <v>2.8737052347995951</v>
      </c>
      <c r="G300" s="246">
        <f t="shared" si="32"/>
        <v>1.4080210658633334</v>
      </c>
    </row>
    <row r="301" spans="1:7" ht="18" customHeight="1" x14ac:dyDescent="0.25">
      <c r="A301" s="242">
        <f>2018</f>
        <v>2018</v>
      </c>
      <c r="B301" s="243" t="s">
        <v>18</v>
      </c>
      <c r="C301" s="244">
        <f t="shared" si="29"/>
        <v>561.68875195710041</v>
      </c>
      <c r="D301" s="37">
        <v>1.1883863230821579</v>
      </c>
      <c r="E301" s="37">
        <f t="shared" si="35"/>
        <v>2.9959097384990363</v>
      </c>
      <c r="F301" s="245">
        <f t="shared" si="33"/>
        <v>4.4328878450670572</v>
      </c>
      <c r="G301" s="246">
        <f t="shared" si="32"/>
        <v>1.391484850215611</v>
      </c>
    </row>
    <row r="302" spans="1:7" ht="18" customHeight="1" x14ac:dyDescent="0.25">
      <c r="A302" s="242">
        <f>2018</f>
        <v>2018</v>
      </c>
      <c r="B302" s="243" t="s">
        <v>19</v>
      </c>
      <c r="C302" s="244">
        <f t="shared" si="29"/>
        <v>562.63714409404702</v>
      </c>
      <c r="D302" s="37">
        <v>0.16884656024214184</v>
      </c>
      <c r="E302" s="37">
        <f t="shared" si="35"/>
        <v>3.169814789282599</v>
      </c>
      <c r="F302" s="245">
        <f t="shared" si="33"/>
        <v>4.2154658070218787</v>
      </c>
      <c r="G302" s="246">
        <f t="shared" si="32"/>
        <v>1.3891393362294169</v>
      </c>
    </row>
    <row r="303" spans="1:7" ht="18" customHeight="1" x14ac:dyDescent="0.25">
      <c r="A303" s="242">
        <f>2018</f>
        <v>2018</v>
      </c>
      <c r="B303" s="243" t="s">
        <v>20</v>
      </c>
      <c r="C303" s="244">
        <f t="shared" si="29"/>
        <v>563.05519855610498</v>
      </c>
      <c r="D303" s="37">
        <v>7.4302677390969407E-2</v>
      </c>
      <c r="E303" s="37">
        <f t="shared" si="35"/>
        <v>3.246472723930327</v>
      </c>
      <c r="F303" s="245">
        <f t="shared" si="33"/>
        <v>4.1528741323453078</v>
      </c>
      <c r="G303" s="246">
        <f t="shared" si="32"/>
        <v>1.3881079348687329</v>
      </c>
    </row>
    <row r="304" spans="1:7" ht="18" customHeight="1" x14ac:dyDescent="0.25">
      <c r="A304" s="242">
        <f>2018</f>
        <v>2018</v>
      </c>
      <c r="B304" s="243" t="s">
        <v>21</v>
      </c>
      <c r="C304" s="244">
        <f t="shared" si="29"/>
        <v>565.5645278571385</v>
      </c>
      <c r="D304" s="37">
        <v>0.44566310860256753</v>
      </c>
      <c r="E304" s="37">
        <f t="shared" si="35"/>
        <v>3.7066041637943137</v>
      </c>
      <c r="F304" s="245">
        <f t="shared" si="33"/>
        <v>4.6397489260355806</v>
      </c>
      <c r="G304" s="246">
        <f t="shared" si="32"/>
        <v>1.3819490975612363</v>
      </c>
    </row>
    <row r="305" spans="1:7" ht="18" customHeight="1" x14ac:dyDescent="0.25">
      <c r="A305" s="242">
        <f>2018</f>
        <v>2018</v>
      </c>
      <c r="B305" s="243" t="s">
        <v>22</v>
      </c>
      <c r="C305" s="244">
        <f t="shared" si="29"/>
        <v>568.25731990770817</v>
      </c>
      <c r="D305" s="37">
        <v>0.47612463617057177</v>
      </c>
      <c r="E305" s="37">
        <f t="shared" si="35"/>
        <v>4.2003768555540333</v>
      </c>
      <c r="F305" s="245">
        <f t="shared" si="33"/>
        <v>4.7958527151847896</v>
      </c>
      <c r="G305" s="246">
        <f t="shared" si="32"/>
        <v>1.375400477044022</v>
      </c>
    </row>
    <row r="306" spans="1:7" ht="18" customHeight="1" x14ac:dyDescent="0.25">
      <c r="A306" s="242">
        <f>2018</f>
        <v>2018</v>
      </c>
      <c r="B306" s="243" t="s">
        <v>23</v>
      </c>
      <c r="C306" s="244">
        <f t="shared" si="29"/>
        <v>567.28185949623969</v>
      </c>
      <c r="D306" s="37">
        <v>-0.17165822195248648</v>
      </c>
      <c r="E306" s="37">
        <f t="shared" si="35"/>
        <v>4.0215083413760011</v>
      </c>
      <c r="F306" s="245">
        <f t="shared" si="33"/>
        <v>4.2420747793023406</v>
      </c>
      <c r="G306" s="246">
        <f t="shared" si="32"/>
        <v>1.3777655248466483</v>
      </c>
    </row>
    <row r="307" spans="1:7" ht="18" customHeight="1" x14ac:dyDescent="0.25">
      <c r="A307" s="242">
        <f>2018</f>
        <v>2018</v>
      </c>
      <c r="B307" s="243" t="s">
        <v>12</v>
      </c>
      <c r="C307" s="244">
        <f t="shared" si="29"/>
        <v>568.90294838148588</v>
      </c>
      <c r="D307" s="37">
        <v>0.28576427363387058</v>
      </c>
      <c r="E307" s="37">
        <f t="shared" si="35"/>
        <v>4.3187646491107401</v>
      </c>
      <c r="F307" s="245">
        <f t="shared" si="33"/>
        <v>4.3187646491107401</v>
      </c>
      <c r="G307" s="246">
        <f t="shared" si="32"/>
        <v>1.3738395821438403</v>
      </c>
    </row>
    <row r="308" spans="1:7" ht="18" customHeight="1" x14ac:dyDescent="0.25">
      <c r="A308" s="242">
        <f>2019</f>
        <v>2019</v>
      </c>
      <c r="B308" s="243" t="s">
        <v>13</v>
      </c>
      <c r="C308" s="244">
        <f t="shared" si="29"/>
        <v>572.12307052088636</v>
      </c>
      <c r="D308" s="37">
        <v>0.56602310614870532</v>
      </c>
      <c r="E308" s="37">
        <f t="shared" ref="E308:E319" si="36">100*(C308/C$307-1)</f>
        <v>0.56602310614870532</v>
      </c>
      <c r="F308" s="245">
        <f t="shared" si="33"/>
        <v>4.194395908761428</v>
      </c>
      <c r="G308" s="246">
        <f t="shared" si="32"/>
        <v>1.3661071003013963</v>
      </c>
    </row>
    <row r="309" spans="1:7" ht="18" customHeight="1" x14ac:dyDescent="0.25">
      <c r="A309" s="247">
        <f>2019</f>
        <v>2019</v>
      </c>
      <c r="B309" s="248" t="s">
        <v>14</v>
      </c>
      <c r="C309" s="249">
        <f t="shared" si="29"/>
        <v>574.1181026060068</v>
      </c>
      <c r="D309" s="250">
        <v>0.34870680591574388</v>
      </c>
      <c r="E309" s="250">
        <f t="shared" si="36"/>
        <v>0.91670367315863643</v>
      </c>
      <c r="F309" s="251">
        <f t="shared" si="33"/>
        <v>4.3831556460447008</v>
      </c>
      <c r="G309" s="246">
        <f t="shared" si="32"/>
        <v>1.3613599455183629</v>
      </c>
    </row>
    <row r="310" spans="1:7" ht="18" customHeight="1" x14ac:dyDescent="0.25">
      <c r="A310" s="247">
        <f>2019</f>
        <v>2019</v>
      </c>
      <c r="B310" s="248" t="s">
        <v>15</v>
      </c>
      <c r="C310" s="249">
        <f t="shared" si="29"/>
        <v>577.85853713343624</v>
      </c>
      <c r="D310" s="250">
        <v>0.65150959540398734</v>
      </c>
      <c r="E310" s="250">
        <f t="shared" si="36"/>
        <v>1.5741856809546872</v>
      </c>
      <c r="F310" s="251">
        <f t="shared" si="33"/>
        <v>4.8829439958075982</v>
      </c>
      <c r="G310" s="246">
        <f t="shared" si="32"/>
        <v>1.3525479657391311</v>
      </c>
    </row>
    <row r="311" spans="1:7" ht="18" customHeight="1" x14ac:dyDescent="0.25">
      <c r="A311" s="247">
        <f>2019</f>
        <v>2019</v>
      </c>
      <c r="B311" s="248" t="s">
        <v>16</v>
      </c>
      <c r="C311" s="249">
        <f t="shared" si="29"/>
        <v>581.49170109146473</v>
      </c>
      <c r="D311" s="250">
        <v>0.62872895779153559</v>
      </c>
      <c r="E311" s="250">
        <f t="shared" si="36"/>
        <v>2.2128119999717866</v>
      </c>
      <c r="F311" s="251">
        <f t="shared" si="33"/>
        <v>5.1886604257418201</v>
      </c>
      <c r="G311" s="246">
        <f t="shared" si="32"/>
        <v>1.3440972371880537</v>
      </c>
    </row>
    <row r="312" spans="1:7" ht="18" customHeight="1" x14ac:dyDescent="0.25">
      <c r="A312" s="247">
        <f>2019</f>
        <v>2019</v>
      </c>
      <c r="B312" s="248" t="s">
        <v>17</v>
      </c>
      <c r="C312" s="249">
        <f t="shared" si="29"/>
        <v>582.77493780953216</v>
      </c>
      <c r="D312" s="250">
        <v>0.2206801430972849</v>
      </c>
      <c r="E312" s="250">
        <f t="shared" si="36"/>
        <v>2.4383753797570851</v>
      </c>
      <c r="F312" s="251">
        <f t="shared" si="33"/>
        <v>4.9870686229889438</v>
      </c>
      <c r="G312" s="246">
        <f t="shared" si="32"/>
        <v>1.3411376127850283</v>
      </c>
    </row>
    <row r="313" spans="1:7" ht="18" customHeight="1" x14ac:dyDescent="0.25">
      <c r="A313" s="247">
        <f>2019</f>
        <v>2019</v>
      </c>
      <c r="B313" s="248" t="s">
        <v>18</v>
      </c>
      <c r="C313" s="249">
        <f t="shared" si="29"/>
        <v>582.63257873612167</v>
      </c>
      <c r="D313" s="250">
        <v>-2.4427796079495856E-2</v>
      </c>
      <c r="E313" s="250">
        <f t="shared" si="36"/>
        <v>2.4133519423121585</v>
      </c>
      <c r="F313" s="251">
        <f t="shared" si="33"/>
        <v>3.7287246194705581</v>
      </c>
      <c r="G313" s="246">
        <f t="shared" si="32"/>
        <v>1.3414653031937696</v>
      </c>
    </row>
    <row r="314" spans="1:7" ht="18" customHeight="1" x14ac:dyDescent="0.25">
      <c r="A314" s="247">
        <f>2019</f>
        <v>2019</v>
      </c>
      <c r="B314" s="248" t="s">
        <v>19</v>
      </c>
      <c r="C314" s="249">
        <f t="shared" si="29"/>
        <v>584.42610255535817</v>
      </c>
      <c r="D314" s="250">
        <v>0.3078310215894664</v>
      </c>
      <c r="E314" s="250">
        <f t="shared" si="36"/>
        <v>2.7286120098402034</v>
      </c>
      <c r="F314" s="251">
        <f t="shared" si="33"/>
        <v>3.8726484182617371</v>
      </c>
      <c r="G314" s="246">
        <f t="shared" si="32"/>
        <v>1.3373485295530347</v>
      </c>
    </row>
    <row r="315" spans="1:7" ht="18" customHeight="1" x14ac:dyDescent="0.25">
      <c r="A315" s="247">
        <f>2019</f>
        <v>2019</v>
      </c>
      <c r="B315" s="248" t="s">
        <v>20</v>
      </c>
      <c r="C315" s="249">
        <f t="shared" si="29"/>
        <v>585.40156296682653</v>
      </c>
      <c r="D315" s="250">
        <v>0.16690911087018367</v>
      </c>
      <c r="E315" s="250">
        <f t="shared" si="36"/>
        <v>2.9000754227550996</v>
      </c>
      <c r="F315" s="251">
        <f t="shared" si="33"/>
        <v>3.9687697525973231</v>
      </c>
      <c r="G315" s="246">
        <f t="shared" si="32"/>
        <v>1.3351200924776312</v>
      </c>
    </row>
    <row r="316" spans="1:7" ht="18" customHeight="1" x14ac:dyDescent="0.25">
      <c r="A316" s="247">
        <f>2019</f>
        <v>2019</v>
      </c>
      <c r="B316" s="248" t="s">
        <v>21</v>
      </c>
      <c r="C316" s="249">
        <f t="shared" si="29"/>
        <v>585.42061101186039</v>
      </c>
      <c r="D316" s="250">
        <v>3.2538425311479102E-3</v>
      </c>
      <c r="E316" s="250">
        <f t="shared" si="36"/>
        <v>2.9034236291737958</v>
      </c>
      <c r="F316" s="251">
        <f t="shared" si="33"/>
        <v>3.5108430915839817</v>
      </c>
      <c r="G316" s="246">
        <f t="shared" si="32"/>
        <v>1.3350766511857313</v>
      </c>
    </row>
    <row r="317" spans="1:7" ht="18" customHeight="1" x14ac:dyDescent="0.25">
      <c r="A317" s="247">
        <f>2019</f>
        <v>2019</v>
      </c>
      <c r="B317" s="248" t="s">
        <v>22</v>
      </c>
      <c r="C317" s="249">
        <f t="shared" si="29"/>
        <v>584.91834414017933</v>
      </c>
      <c r="D317" s="250">
        <v>-8.579589823681788E-2</v>
      </c>
      <c r="E317" s="250">
        <f t="shared" si="36"/>
        <v>2.8151367125547111</v>
      </c>
      <c r="F317" s="251">
        <f t="shared" si="33"/>
        <v>2.9319506584054356</v>
      </c>
      <c r="G317" s="246">
        <f t="shared" si="32"/>
        <v>1.3362230757760409</v>
      </c>
    </row>
    <row r="318" spans="1:7" ht="18" customHeight="1" x14ac:dyDescent="0.25">
      <c r="A318" s="247">
        <f>2019</f>
        <v>2019</v>
      </c>
      <c r="B318" s="248" t="s">
        <v>23</v>
      </c>
      <c r="C318" s="249">
        <f t="shared" si="29"/>
        <v>587.75850790758955</v>
      </c>
      <c r="D318" s="250">
        <v>0.48556585647612227</v>
      </c>
      <c r="E318" s="250">
        <f t="shared" si="36"/>
        <v>3.3143719117201265</v>
      </c>
      <c r="F318" s="251">
        <f t="shared" si="33"/>
        <v>3.6096074761730712</v>
      </c>
      <c r="G318" s="246">
        <f t="shared" si="32"/>
        <v>1.3297661852096976</v>
      </c>
    </row>
    <row r="319" spans="1:7" ht="18" customHeight="1" x14ac:dyDescent="0.25">
      <c r="A319" s="247">
        <f>2019</f>
        <v>2019</v>
      </c>
      <c r="B319" s="248" t="s">
        <v>12</v>
      </c>
      <c r="C319" s="249">
        <f t="shared" si="29"/>
        <v>592.27489963797541</v>
      </c>
      <c r="D319" s="250">
        <v>0.76840941808977714</v>
      </c>
      <c r="E319" s="250">
        <f t="shared" si="36"/>
        <v>4.1082492757300804</v>
      </c>
      <c r="F319" s="251">
        <f t="shared" si="33"/>
        <v>4.1082492757300804</v>
      </c>
      <c r="G319" s="246">
        <f t="shared" si="32"/>
        <v>1.3196260543247</v>
      </c>
    </row>
    <row r="320" spans="1:7" ht="18" customHeight="1" x14ac:dyDescent="0.25">
      <c r="A320" s="247">
        <f>2020</f>
        <v>2020</v>
      </c>
      <c r="B320" s="248" t="s">
        <v>13</v>
      </c>
      <c r="C320" s="249">
        <f t="shared" si="29"/>
        <v>595.74264636281555</v>
      </c>
      <c r="D320" s="250">
        <v>0.58549614831893138</v>
      </c>
      <c r="E320" s="250">
        <f t="shared" ref="E320:E331" si="37">100*(C320/C$319-1)</f>
        <v>0.58549614831893138</v>
      </c>
      <c r="F320" s="251">
        <f t="shared" si="33"/>
        <v>4.1284082147613477</v>
      </c>
      <c r="G320" s="246">
        <f t="shared" si="32"/>
        <v>1.3119446688206795</v>
      </c>
    </row>
    <row r="321" spans="1:7" ht="18" customHeight="1" x14ac:dyDescent="0.25">
      <c r="A321" s="247">
        <f>2020</f>
        <v>2020</v>
      </c>
      <c r="B321" s="248" t="s">
        <v>14</v>
      </c>
      <c r="C321" s="249">
        <f t="shared" ref="C321:C380" si="38">+C320*(1+D321/100)</f>
        <v>595.70254521537595</v>
      </c>
      <c r="D321" s="250">
        <v>-6.7312870220770371E-3</v>
      </c>
      <c r="E321" s="250">
        <f t="shared" si="37"/>
        <v>0.57872544987060959</v>
      </c>
      <c r="F321" s="251">
        <f t="shared" si="33"/>
        <v>3.7595823074371149</v>
      </c>
      <c r="G321" s="246">
        <f t="shared" si="32"/>
        <v>1.3120329855267596</v>
      </c>
    </row>
    <row r="322" spans="1:7" ht="18" customHeight="1" x14ac:dyDescent="0.25">
      <c r="A322" s="247">
        <f>2020</f>
        <v>2020</v>
      </c>
      <c r="B322" s="248" t="s">
        <v>15</v>
      </c>
      <c r="C322" s="249">
        <f t="shared" si="38"/>
        <v>597.72965821844809</v>
      </c>
      <c r="D322" s="250">
        <v>0.34028946482664857</v>
      </c>
      <c r="E322" s="250">
        <f t="shared" si="37"/>
        <v>0.92098425643343251</v>
      </c>
      <c r="F322" s="251">
        <f t="shared" si="33"/>
        <v>3.4387518411661544</v>
      </c>
      <c r="G322" s="246">
        <f t="shared" si="32"/>
        <v>1.307583416915177</v>
      </c>
    </row>
    <row r="323" spans="1:7" ht="18" customHeight="1" x14ac:dyDescent="0.25">
      <c r="A323" s="247">
        <f>2020</f>
        <v>2020</v>
      </c>
      <c r="B323" s="248" t="s">
        <v>16</v>
      </c>
      <c r="C323" s="249">
        <f t="shared" si="38"/>
        <v>596.63389436466093</v>
      </c>
      <c r="D323" s="250">
        <v>-0.18332097775659584</v>
      </c>
      <c r="E323" s="250">
        <f t="shared" si="37"/>
        <v>0.73597492133297138</v>
      </c>
      <c r="F323" s="251">
        <f t="shared" si="33"/>
        <v>2.6040256885479396</v>
      </c>
      <c r="G323" s="246">
        <f t="shared" si="32"/>
        <v>1.309984894031379</v>
      </c>
    </row>
    <row r="324" spans="1:7" ht="18" customHeight="1" x14ac:dyDescent="0.25">
      <c r="A324" s="247">
        <f>2020</f>
        <v>2020</v>
      </c>
      <c r="B324" s="248" t="s">
        <v>17</v>
      </c>
      <c r="C324" s="249">
        <f t="shared" si="38"/>
        <v>593.4308152129222</v>
      </c>
      <c r="D324" s="250">
        <v>-0.5368583954067141</v>
      </c>
      <c r="E324" s="250">
        <f t="shared" si="37"/>
        <v>0.19516538277299933</v>
      </c>
      <c r="F324" s="251">
        <f t="shared" si="33"/>
        <v>1.8284721445713137</v>
      </c>
      <c r="G324" s="246">
        <f t="shared" si="32"/>
        <v>1.317055617687108</v>
      </c>
    </row>
    <row r="325" spans="1:7" ht="18" customHeight="1" x14ac:dyDescent="0.25">
      <c r="A325" s="247">
        <f>2020</f>
        <v>2020</v>
      </c>
      <c r="B325" s="248" t="s">
        <v>18</v>
      </c>
      <c r="C325" s="249">
        <f t="shared" si="38"/>
        <v>595.54815579773367</v>
      </c>
      <c r="D325" s="250">
        <v>0.35679653474882667</v>
      </c>
      <c r="E325" s="250">
        <f t="shared" si="37"/>
        <v>0.55265826084458514</v>
      </c>
      <c r="F325" s="251">
        <f t="shared" si="33"/>
        <v>2.2167619067284594</v>
      </c>
      <c r="G325" s="246">
        <f t="shared" si="32"/>
        <v>1.312373115886649</v>
      </c>
    </row>
    <row r="326" spans="1:7" ht="18" customHeight="1" x14ac:dyDescent="0.25">
      <c r="A326" s="247">
        <f>2020</f>
        <v>2020</v>
      </c>
      <c r="B326" s="248" t="s">
        <v>19</v>
      </c>
      <c r="C326" s="249">
        <f t="shared" si="38"/>
        <v>598.43944852812933</v>
      </c>
      <c r="D326" s="250">
        <v>0.48548428909545027</v>
      </c>
      <c r="E326" s="250">
        <f t="shared" si="37"/>
        <v>1.0408256189688325</v>
      </c>
      <c r="F326" s="251">
        <f t="shared" si="33"/>
        <v>2.3977960449574232</v>
      </c>
      <c r="G326" s="246">
        <f t="shared" si="32"/>
        <v>1.3060325331278382</v>
      </c>
    </row>
    <row r="327" spans="1:7" ht="18" customHeight="1" x14ac:dyDescent="0.25">
      <c r="A327" s="247">
        <f>2020</f>
        <v>2020</v>
      </c>
      <c r="B327" s="248" t="s">
        <v>20</v>
      </c>
      <c r="C327" s="249">
        <f t="shared" si="38"/>
        <v>601.63149986432222</v>
      </c>
      <c r="D327" s="250">
        <v>0.53339587556331391</v>
      </c>
      <c r="E327" s="250">
        <f t="shared" si="37"/>
        <v>1.5797732154555266</v>
      </c>
      <c r="F327" s="251">
        <f t="shared" si="33"/>
        <v>2.7724450914073495</v>
      </c>
      <c r="G327" s="246">
        <f t="shared" si="32"/>
        <v>1.299103170397625</v>
      </c>
    </row>
    <row r="328" spans="1:7" ht="18" customHeight="1" x14ac:dyDescent="0.25">
      <c r="A328" s="247">
        <f>2020</f>
        <v>2020</v>
      </c>
      <c r="B328" s="248" t="s">
        <v>21</v>
      </c>
      <c r="C328" s="249">
        <f t="shared" si="38"/>
        <v>606.58800168785774</v>
      </c>
      <c r="D328" s="250">
        <v>0.82384346974073708</v>
      </c>
      <c r="E328" s="250">
        <f t="shared" si="37"/>
        <v>2.4166315436685126</v>
      </c>
      <c r="F328" s="251">
        <f t="shared" si="33"/>
        <v>3.6157576753935938</v>
      </c>
      <c r="G328" s="246">
        <f t="shared" si="32"/>
        <v>1.2884880457741246</v>
      </c>
    </row>
    <row r="329" spans="1:7" ht="18" customHeight="1" x14ac:dyDescent="0.25">
      <c r="A329" s="247">
        <f>2020</f>
        <v>2020</v>
      </c>
      <c r="B329" s="248" t="s">
        <v>22</v>
      </c>
      <c r="C329" s="249">
        <f t="shared" si="38"/>
        <v>610.54999505489093</v>
      </c>
      <c r="D329" s="250">
        <v>0.65316052345394393</v>
      </c>
      <c r="E329" s="250">
        <f t="shared" si="37"/>
        <v>3.0855765503630339</v>
      </c>
      <c r="F329" s="251">
        <f t="shared" si="33"/>
        <v>4.3820904527092086</v>
      </c>
      <c r="G329" s="246">
        <f t="shared" si="32"/>
        <v>1.2801267631073387</v>
      </c>
    </row>
    <row r="330" spans="1:7" ht="18" customHeight="1" x14ac:dyDescent="0.25">
      <c r="A330" s="247">
        <f>2020</f>
        <v>2020</v>
      </c>
      <c r="B330" s="248" t="s">
        <v>23</v>
      </c>
      <c r="C330" s="249">
        <f t="shared" si="38"/>
        <v>616.29448442561477</v>
      </c>
      <c r="D330" s="250">
        <v>0.94087125006157013</v>
      </c>
      <c r="E330" s="250">
        <f t="shared" si="37"/>
        <v>4.055479103085613</v>
      </c>
      <c r="F330" s="251">
        <f t="shared" si="33"/>
        <v>4.8550512045521632</v>
      </c>
      <c r="G330" s="246">
        <f t="shared" si="32"/>
        <v>1.2681946839314189</v>
      </c>
    </row>
    <row r="331" spans="1:7" ht="18" customHeight="1" x14ac:dyDescent="0.25">
      <c r="A331" s="247">
        <f>2020</f>
        <v>2020</v>
      </c>
      <c r="B331" s="248" t="s">
        <v>12</v>
      </c>
      <c r="C331" s="249">
        <f t="shared" si="38"/>
        <v>622.91317881052203</v>
      </c>
      <c r="D331" s="250">
        <v>1.0739499625858073</v>
      </c>
      <c r="E331" s="250">
        <f t="shared" si="37"/>
        <v>5.1729828819816692</v>
      </c>
      <c r="F331" s="251">
        <f t="shared" si="33"/>
        <v>5.1729828819816692</v>
      </c>
      <c r="G331" s="246">
        <f t="shared" si="32"/>
        <v>1.254719623009551</v>
      </c>
    </row>
    <row r="332" spans="1:7" ht="18" customHeight="1" x14ac:dyDescent="0.25">
      <c r="A332" s="247">
        <f>2021</f>
        <v>2021</v>
      </c>
      <c r="B332" s="248" t="s">
        <v>13</v>
      </c>
      <c r="C332" s="249">
        <f t="shared" si="38"/>
        <v>624.59141183086967</v>
      </c>
      <c r="D332" s="250">
        <v>0.26941684289811807</v>
      </c>
      <c r="E332" s="250">
        <f t="shared" ref="E332:E343" si="39">100*(C332/C$331-1)</f>
        <v>0.26941684289811807</v>
      </c>
      <c r="F332" s="251">
        <f t="shared" si="33"/>
        <v>4.8424878836833996</v>
      </c>
      <c r="G332" s="246">
        <f t="shared" si="32"/>
        <v>1.2513482799799691</v>
      </c>
    </row>
    <row r="333" spans="1:7" ht="18" customHeight="1" x14ac:dyDescent="0.25">
      <c r="A333" s="247">
        <f>2021</f>
        <v>2021</v>
      </c>
      <c r="B333" s="248" t="s">
        <v>14</v>
      </c>
      <c r="C333" s="249">
        <f t="shared" si="38"/>
        <v>627.95489557236692</v>
      </c>
      <c r="D333" s="250">
        <v>0.53850944438025294</v>
      </c>
      <c r="E333" s="250">
        <f t="shared" si="39"/>
        <v>0.80937712242215021</v>
      </c>
      <c r="F333" s="251">
        <f t="shared" si="33"/>
        <v>5.4141703130259566</v>
      </c>
      <c r="G333" s="246">
        <f t="shared" si="32"/>
        <v>1.2446457450935631</v>
      </c>
    </row>
    <row r="334" spans="1:7" ht="18" customHeight="1" x14ac:dyDescent="0.25">
      <c r="A334" s="247">
        <f>2021</f>
        <v>2021</v>
      </c>
      <c r="B334" s="248" t="s">
        <v>15</v>
      </c>
      <c r="C334" s="249">
        <f t="shared" si="38"/>
        <v>634.21568721637561</v>
      </c>
      <c r="D334" s="250">
        <v>0.99701295238763255</v>
      </c>
      <c r="E334" s="250">
        <f t="shared" si="39"/>
        <v>1.8144596695539805</v>
      </c>
      <c r="F334" s="251">
        <f t="shared" si="33"/>
        <v>6.1041021632882053</v>
      </c>
      <c r="G334" s="246">
        <f t="shared" si="32"/>
        <v>1.2323589665768813</v>
      </c>
    </row>
    <row r="335" spans="1:7" ht="18" customHeight="1" x14ac:dyDescent="0.25">
      <c r="A335" s="247">
        <f>2021</f>
        <v>2021</v>
      </c>
      <c r="B335" s="248" t="s">
        <v>16</v>
      </c>
      <c r="C335" s="249">
        <f t="shared" si="38"/>
        <v>635.6603310528875</v>
      </c>
      <c r="D335" s="250">
        <v>0.22778431149386158</v>
      </c>
      <c r="E335" s="250">
        <f t="shared" si="39"/>
        <v>2.0463770355134692</v>
      </c>
      <c r="F335" s="251">
        <f t="shared" si="33"/>
        <v>6.5411028533309823</v>
      </c>
      <c r="G335" s="246">
        <f t="shared" si="32"/>
        <v>1.2295582258377407</v>
      </c>
    </row>
    <row r="336" spans="1:7" ht="18" customHeight="1" x14ac:dyDescent="0.25">
      <c r="A336" s="247">
        <f>2021</f>
        <v>2021</v>
      </c>
      <c r="B336" s="248" t="s">
        <v>17</v>
      </c>
      <c r="C336" s="249">
        <f t="shared" si="38"/>
        <v>640.80330321201723</v>
      </c>
      <c r="D336" s="250">
        <v>0.80907552475566469</v>
      </c>
      <c r="E336" s="250">
        <f t="shared" si="39"/>
        <v>2.8720092960076826</v>
      </c>
      <c r="F336" s="251">
        <f t="shared" si="33"/>
        <v>7.98281565174499</v>
      </c>
      <c r="G336" s="246">
        <f t="shared" si="32"/>
        <v>1.2196900124689649</v>
      </c>
    </row>
    <row r="337" spans="1:7" ht="18" customHeight="1" x14ac:dyDescent="0.25">
      <c r="A337" s="247">
        <f>2021</f>
        <v>2021</v>
      </c>
      <c r="B337" s="248" t="s">
        <v>18</v>
      </c>
      <c r="C337" s="249">
        <f t="shared" si="38"/>
        <v>644.90164048034501</v>
      </c>
      <c r="D337" s="250">
        <v>0.63956244416734087</v>
      </c>
      <c r="E337" s="250">
        <f t="shared" si="39"/>
        <v>3.5299400330252917</v>
      </c>
      <c r="F337" s="251">
        <f t="shared" si="33"/>
        <v>8.2870686781831395</v>
      </c>
      <c r="G337" s="246">
        <f t="shared" si="32"/>
        <v>1.2119389063775221</v>
      </c>
    </row>
    <row r="338" spans="1:7" ht="18" customHeight="1" x14ac:dyDescent="0.25">
      <c r="A338" s="247">
        <f>2021</f>
        <v>2021</v>
      </c>
      <c r="B338" s="248" t="s">
        <v>19</v>
      </c>
      <c r="C338" s="249">
        <f t="shared" si="38"/>
        <v>650.835607772721</v>
      </c>
      <c r="D338" s="250">
        <v>0.92013524542380321</v>
      </c>
      <c r="E338" s="250">
        <f t="shared" si="39"/>
        <v>4.4825555008352724</v>
      </c>
      <c r="F338" s="251">
        <f t="shared" si="33"/>
        <v>8.7554654649623753</v>
      </c>
      <c r="G338" s="246">
        <f t="shared" si="32"/>
        <v>1.2008891024870847</v>
      </c>
    </row>
    <row r="339" spans="1:7" ht="18" customHeight="1" x14ac:dyDescent="0.25">
      <c r="A339" s="247">
        <f>2021</f>
        <v>2021</v>
      </c>
      <c r="B339" s="248" t="s">
        <v>20</v>
      </c>
      <c r="C339" s="249">
        <f t="shared" si="38"/>
        <v>655.45124984301992</v>
      </c>
      <c r="D339" s="250">
        <v>0.70918708429221766</v>
      </c>
      <c r="E339" s="250">
        <f t="shared" si="39"/>
        <v>5.2235322897856484</v>
      </c>
      <c r="F339" s="251">
        <f t="shared" si="33"/>
        <v>8.9456336629373467</v>
      </c>
      <c r="G339" s="246">
        <f t="shared" si="32"/>
        <v>1.1924325250306678</v>
      </c>
    </row>
    <row r="340" spans="1:7" ht="18" customHeight="1" x14ac:dyDescent="0.25">
      <c r="A340" s="247">
        <f>2021</f>
        <v>2021</v>
      </c>
      <c r="B340" s="248" t="s">
        <v>21</v>
      </c>
      <c r="C340" s="249">
        <f t="shared" si="38"/>
        <v>664.84494363074816</v>
      </c>
      <c r="D340" s="250">
        <v>1.4331643718702214</v>
      </c>
      <c r="E340" s="250">
        <f t="shared" si="39"/>
        <v>6.7315584653862226</v>
      </c>
      <c r="F340" s="251">
        <f t="shared" si="33"/>
        <v>9.6040379599972248</v>
      </c>
      <c r="G340" s="246">
        <f t="shared" si="32"/>
        <v>1.1755844672843085</v>
      </c>
    </row>
    <row r="341" spans="1:7" ht="18" customHeight="1" x14ac:dyDescent="0.25">
      <c r="A341" s="247">
        <f>2021</f>
        <v>2021</v>
      </c>
      <c r="B341" s="248" t="s">
        <v>22</v>
      </c>
      <c r="C341" s="249">
        <f t="shared" si="38"/>
        <v>669.97889303170393</v>
      </c>
      <c r="D341" s="250">
        <v>0.77220251881875424</v>
      </c>
      <c r="E341" s="250">
        <f t="shared" si="39"/>
        <v>7.555742248230457</v>
      </c>
      <c r="F341" s="251">
        <f t="shared" si="33"/>
        <v>9.7336661138569092</v>
      </c>
      <c r="G341" s="246">
        <f t="shared" si="32"/>
        <v>1.1665761369706824</v>
      </c>
    </row>
    <row r="342" spans="1:7" ht="18" customHeight="1" x14ac:dyDescent="0.25">
      <c r="A342" s="247">
        <f>2021</f>
        <v>2021</v>
      </c>
      <c r="B342" s="248" t="s">
        <v>23</v>
      </c>
      <c r="C342" s="249">
        <f t="shared" si="38"/>
        <v>677.22717543141312</v>
      </c>
      <c r="D342" s="250">
        <v>1.0818672759838943</v>
      </c>
      <c r="E342" s="250">
        <f t="shared" si="39"/>
        <v>8.7193526270556543</v>
      </c>
      <c r="F342" s="251">
        <f t="shared" si="33"/>
        <v>9.8869440739174372</v>
      </c>
      <c r="G342" s="246">
        <f t="shared" ref="G342:G383" si="40">+$C$383/C342</f>
        <v>1.1540904104843837</v>
      </c>
    </row>
    <row r="343" spans="1:7" ht="18" customHeight="1" x14ac:dyDescent="0.25">
      <c r="A343" s="247">
        <f>2021</f>
        <v>2021</v>
      </c>
      <c r="B343" s="248" t="s">
        <v>12</v>
      </c>
      <c r="C343" s="249">
        <f t="shared" si="38"/>
        <v>681.10395386013715</v>
      </c>
      <c r="D343" s="250">
        <v>0.57244873941368901</v>
      </c>
      <c r="E343" s="250">
        <f t="shared" si="39"/>
        <v>9.341715190667955</v>
      </c>
      <c r="F343" s="251">
        <f t="shared" ref="F343:F380" si="41">+((C343/C331)-1)*100</f>
        <v>9.341715190667955</v>
      </c>
      <c r="G343" s="246">
        <f t="shared" si="40"/>
        <v>1.1475214384753298</v>
      </c>
    </row>
    <row r="344" spans="1:7" ht="18" customHeight="1" x14ac:dyDescent="0.25">
      <c r="A344" s="247">
        <f>2022</f>
        <v>2022</v>
      </c>
      <c r="B344" s="248" t="s">
        <v>13</v>
      </c>
      <c r="C344" s="249">
        <f t="shared" si="38"/>
        <v>684.41630863864884</v>
      </c>
      <c r="D344" s="250">
        <v>0.48632147262381853</v>
      </c>
      <c r="E344" s="250">
        <f t="shared" ref="E344:E355" si="42">100*(C344/C$343-1)</f>
        <v>0.48632147262381853</v>
      </c>
      <c r="F344" s="251">
        <f t="shared" si="41"/>
        <v>9.5782451815041636</v>
      </c>
      <c r="G344" s="246">
        <f t="shared" si="40"/>
        <v>1.1419678038348304</v>
      </c>
    </row>
    <row r="345" spans="1:7" ht="18" customHeight="1" x14ac:dyDescent="0.25">
      <c r="A345" s="247">
        <f>2022</f>
        <v>2022</v>
      </c>
      <c r="B345" s="248" t="s">
        <v>14</v>
      </c>
      <c r="C345" s="249">
        <f t="shared" si="38"/>
        <v>686.35018647392394</v>
      </c>
      <c r="D345" s="250">
        <v>0.28255870160687202</v>
      </c>
      <c r="E345" s="250">
        <f t="shared" si="42"/>
        <v>0.77025431786938992</v>
      </c>
      <c r="F345" s="251">
        <f t="shared" si="41"/>
        <v>9.2992810969856343</v>
      </c>
      <c r="G345" s="246">
        <f t="shared" si="40"/>
        <v>1.1387501661508084</v>
      </c>
    </row>
    <row r="346" spans="1:7" ht="18" customHeight="1" x14ac:dyDescent="0.25">
      <c r="A346" s="247">
        <f>2022</f>
        <v>2022</v>
      </c>
      <c r="B346" s="248" t="s">
        <v>15</v>
      </c>
      <c r="C346" s="249">
        <f t="shared" si="38"/>
        <v>695.61154647510136</v>
      </c>
      <c r="D346" s="250">
        <v>1.3493636606638049</v>
      </c>
      <c r="E346" s="250">
        <f t="shared" si="42"/>
        <v>2.1300115103932038</v>
      </c>
      <c r="F346" s="251">
        <f t="shared" si="41"/>
        <v>9.6805961278247707</v>
      </c>
      <c r="G346" s="246">
        <f t="shared" si="40"/>
        <v>1.1235888662937759</v>
      </c>
    </row>
    <row r="347" spans="1:7" ht="18" customHeight="1" x14ac:dyDescent="0.25">
      <c r="A347" s="247">
        <f>2022</f>
        <v>2022</v>
      </c>
      <c r="B347" s="248" t="s">
        <v>16</v>
      </c>
      <c r="C347" s="249">
        <f t="shared" si="38"/>
        <v>703.12650150528384</v>
      </c>
      <c r="D347" s="250">
        <v>1.0803378794189467</v>
      </c>
      <c r="E347" s="250">
        <f t="shared" si="42"/>
        <v>3.2333607109949369</v>
      </c>
      <c r="F347" s="251">
        <f t="shared" si="41"/>
        <v>10.613556825332715</v>
      </c>
      <c r="G347" s="246">
        <f t="shared" si="40"/>
        <v>1.1115800459968097</v>
      </c>
    </row>
    <row r="348" spans="1:7" ht="18" customHeight="1" x14ac:dyDescent="0.25">
      <c r="A348" s="247">
        <f>2022</f>
        <v>2022</v>
      </c>
      <c r="B348" s="248" t="s">
        <v>17</v>
      </c>
      <c r="C348" s="249">
        <f t="shared" si="38"/>
        <v>706.66041512339939</v>
      </c>
      <c r="D348" s="250">
        <v>0.50259997462049899</v>
      </c>
      <c r="E348" s="250">
        <f t="shared" si="42"/>
        <v>3.7522115557282687</v>
      </c>
      <c r="F348" s="251">
        <f t="shared" si="41"/>
        <v>10.277274099754852</v>
      </c>
      <c r="G348" s="246">
        <f t="shared" si="40"/>
        <v>1.1060211838076948</v>
      </c>
    </row>
    <row r="349" spans="1:7" ht="18" customHeight="1" x14ac:dyDescent="0.25">
      <c r="A349" s="247">
        <f>2022</f>
        <v>2022</v>
      </c>
      <c r="B349" s="248" t="s">
        <v>18</v>
      </c>
      <c r="C349" s="249">
        <f t="shared" si="38"/>
        <v>711.36327718937923</v>
      </c>
      <c r="D349" s="250">
        <v>0.66550523636712544</v>
      </c>
      <c r="E349" s="250">
        <f t="shared" si="42"/>
        <v>4.4426879564783306</v>
      </c>
      <c r="F349" s="251">
        <f t="shared" si="41"/>
        <v>10.305701294158798</v>
      </c>
      <c r="G349" s="246">
        <f t="shared" si="40"/>
        <v>1.0987092164398395</v>
      </c>
    </row>
    <row r="350" spans="1:7" ht="18" customHeight="1" x14ac:dyDescent="0.25">
      <c r="A350" s="247">
        <f>2022</f>
        <v>2022</v>
      </c>
      <c r="B350" s="248" t="s">
        <v>19</v>
      </c>
      <c r="C350" s="249">
        <f t="shared" si="38"/>
        <v>702.87085669035628</v>
      </c>
      <c r="D350" s="250">
        <v>-1.193823292731222</v>
      </c>
      <c r="E350" s="250">
        <f t="shared" si="42"/>
        <v>3.1958268200993123</v>
      </c>
      <c r="F350" s="251">
        <f t="shared" si="41"/>
        <v>7.9951447487191851</v>
      </c>
      <c r="G350" s="246">
        <f t="shared" si="40"/>
        <v>1.1119843445566817</v>
      </c>
    </row>
    <row r="351" spans="1:7" ht="18" customHeight="1" x14ac:dyDescent="0.25">
      <c r="A351" s="247">
        <f>2022</f>
        <v>2022</v>
      </c>
      <c r="B351" s="248" t="s">
        <v>20</v>
      </c>
      <c r="C351" s="249">
        <f t="shared" si="38"/>
        <v>698.84770907347774</v>
      </c>
      <c r="D351" s="250">
        <v>-0.57238788300635335</v>
      </c>
      <c r="E351" s="250">
        <f t="shared" si="42"/>
        <v>2.6051464116128464</v>
      </c>
      <c r="F351" s="251">
        <f t="shared" si="41"/>
        <v>6.6208523121820573</v>
      </c>
      <c r="G351" s="246">
        <f t="shared" si="40"/>
        <v>1.1183858496453092</v>
      </c>
    </row>
    <row r="352" spans="1:7" ht="18" customHeight="1" x14ac:dyDescent="0.25">
      <c r="A352" s="247">
        <f>2022</f>
        <v>2022</v>
      </c>
      <c r="B352" s="248" t="s">
        <v>21</v>
      </c>
      <c r="C352" s="249">
        <f t="shared" si="38"/>
        <v>698.95798722893664</v>
      </c>
      <c r="D352" s="250">
        <v>1.5779998135090345E-2</v>
      </c>
      <c r="E352" s="250">
        <f t="shared" si="42"/>
        <v>2.6213375018031115</v>
      </c>
      <c r="F352" s="251">
        <f t="shared" si="41"/>
        <v>5.1309773692337357</v>
      </c>
      <c r="G352" s="246">
        <f t="shared" si="40"/>
        <v>1.1182093962234387</v>
      </c>
    </row>
    <row r="353" spans="1:7" ht="18" customHeight="1" x14ac:dyDescent="0.25">
      <c r="A353" s="247">
        <f>2022</f>
        <v>2022</v>
      </c>
      <c r="B353" s="248" t="s">
        <v>22</v>
      </c>
      <c r="C353" s="249">
        <f t="shared" si="38"/>
        <v>703.78917296672341</v>
      </c>
      <c r="D353" s="250">
        <v>0.69119830176636032</v>
      </c>
      <c r="E353" s="250">
        <f t="shared" si="42"/>
        <v>3.3306544438654884</v>
      </c>
      <c r="F353" s="251">
        <f t="shared" si="41"/>
        <v>5.0464694166745261</v>
      </c>
      <c r="G353" s="246">
        <f t="shared" si="40"/>
        <v>1.1105334081656497</v>
      </c>
    </row>
    <row r="354" spans="1:7" ht="18" customHeight="1" x14ac:dyDescent="0.25">
      <c r="A354" s="247">
        <f>2022</f>
        <v>2022</v>
      </c>
      <c r="B354" s="248" t="s">
        <v>23</v>
      </c>
      <c r="C354" s="249">
        <f t="shared" si="38"/>
        <v>707.80530288280011</v>
      </c>
      <c r="D354" s="250">
        <v>0.57064389029277685</v>
      </c>
      <c r="E354" s="250">
        <f t="shared" si="42"/>
        <v>3.920304510248962</v>
      </c>
      <c r="F354" s="251">
        <f t="shared" si="41"/>
        <v>4.5151949834127514</v>
      </c>
      <c r="G354" s="246">
        <f t="shared" si="40"/>
        <v>1.1042321747259292</v>
      </c>
    </row>
    <row r="355" spans="1:7" ht="18" customHeight="1" x14ac:dyDescent="0.25">
      <c r="A355" s="247">
        <f>2022</f>
        <v>2022</v>
      </c>
      <c r="B355" s="248" t="s">
        <v>12</v>
      </c>
      <c r="C355" s="249">
        <f t="shared" si="38"/>
        <v>710.28355379456787</v>
      </c>
      <c r="D355" s="250">
        <v>0.35013172431375139</v>
      </c>
      <c r="E355" s="250">
        <f t="shared" si="42"/>
        <v>4.2841624643428</v>
      </c>
      <c r="F355" s="251">
        <f t="shared" si="41"/>
        <v>4.2841624643428</v>
      </c>
      <c r="G355" s="246">
        <f t="shared" si="40"/>
        <v>1.1003793973679314</v>
      </c>
    </row>
    <row r="356" spans="1:7" ht="18" customHeight="1" x14ac:dyDescent="0.25">
      <c r="A356" s="247">
        <f>2023</f>
        <v>2023</v>
      </c>
      <c r="B356" s="248" t="s">
        <v>13</v>
      </c>
      <c r="C356" s="249">
        <f t="shared" si="38"/>
        <v>715.95686362858646</v>
      </c>
      <c r="D356" s="250">
        <v>0.79873872958340364</v>
      </c>
      <c r="E356" s="250">
        <f t="shared" ref="E356:E367" si="43">100*(C356/C$355-1)</f>
        <v>0.79873872958340364</v>
      </c>
      <c r="F356" s="251">
        <f t="shared" si="41"/>
        <v>4.6083874086334964</v>
      </c>
      <c r="G356" s="246">
        <f t="shared" si="40"/>
        <v>1.091659887054699</v>
      </c>
    </row>
    <row r="357" spans="1:7" ht="18" customHeight="1" x14ac:dyDescent="0.25">
      <c r="A357" s="247">
        <f>2023</f>
        <v>2023</v>
      </c>
      <c r="B357" s="248" t="s">
        <v>14</v>
      </c>
      <c r="C357" s="249">
        <f t="shared" si="38"/>
        <v>718.36894764707904</v>
      </c>
      <c r="D357" s="250">
        <v>0.33690354000766032</v>
      </c>
      <c r="E357" s="250">
        <f t="shared" si="43"/>
        <v>1.1383332486464504</v>
      </c>
      <c r="F357" s="251">
        <f t="shared" si="41"/>
        <v>4.6650764877983475</v>
      </c>
      <c r="G357" s="246">
        <f t="shared" si="40"/>
        <v>1.0879943954214393</v>
      </c>
    </row>
    <row r="358" spans="1:7" ht="18" customHeight="1" x14ac:dyDescent="0.25">
      <c r="A358" s="247">
        <f>2023</f>
        <v>2023</v>
      </c>
      <c r="B358" s="248" t="s">
        <v>15</v>
      </c>
      <c r="C358" s="249">
        <f t="shared" si="38"/>
        <v>723.71443060077888</v>
      </c>
      <c r="D358" s="250">
        <v>0.7441138667265923</v>
      </c>
      <c r="E358" s="250">
        <f t="shared" si="43"/>
        <v>1.8909176109257908</v>
      </c>
      <c r="F358" s="251">
        <f t="shared" si="41"/>
        <v>4.04002553840348</v>
      </c>
      <c r="G358" s="246">
        <f t="shared" si="40"/>
        <v>1.0799582761338655</v>
      </c>
    </row>
    <row r="359" spans="1:7" ht="18" customHeight="1" x14ac:dyDescent="0.25">
      <c r="A359" s="247">
        <f>2023</f>
        <v>2023</v>
      </c>
      <c r="B359" s="248" t="s">
        <v>16</v>
      </c>
      <c r="C359" s="249">
        <f t="shared" si="38"/>
        <v>727.31551364085567</v>
      </c>
      <c r="D359" s="250">
        <v>0.49758342349031093</v>
      </c>
      <c r="E359" s="250">
        <f t="shared" si="43"/>
        <v>2.3979099269999304</v>
      </c>
      <c r="F359" s="251">
        <f t="shared" si="41"/>
        <v>3.4402077128065756</v>
      </c>
      <c r="G359" s="246">
        <f t="shared" si="40"/>
        <v>1.0746111889904768</v>
      </c>
    </row>
    <row r="360" spans="1:7" ht="18" customHeight="1" x14ac:dyDescent="0.25">
      <c r="A360" s="247">
        <f>2023</f>
        <v>2023</v>
      </c>
      <c r="B360" s="248" t="s">
        <v>17</v>
      </c>
      <c r="C360" s="249">
        <f t="shared" si="38"/>
        <v>727.90399797953194</v>
      </c>
      <c r="D360" s="250">
        <v>8.0911836423003258E-2</v>
      </c>
      <c r="E360" s="250">
        <f t="shared" si="43"/>
        <v>2.4807619563806504</v>
      </c>
      <c r="F360" s="251">
        <f t="shared" si="41"/>
        <v>3.0061939796674375</v>
      </c>
      <c r="G360" s="246">
        <f t="shared" si="40"/>
        <v>1.0737424042927111</v>
      </c>
    </row>
    <row r="361" spans="1:7" ht="18" customHeight="1" x14ac:dyDescent="0.25">
      <c r="A361" s="247">
        <f>2023</f>
        <v>2023</v>
      </c>
      <c r="B361" s="248" t="s">
        <v>18</v>
      </c>
      <c r="C361" s="249">
        <f t="shared" si="38"/>
        <v>727.17515962481707</v>
      </c>
      <c r="D361" s="250">
        <v>-0.10012836263270097</v>
      </c>
      <c r="E361" s="250">
        <f t="shared" si="43"/>
        <v>2.3781496474202024</v>
      </c>
      <c r="F361" s="251">
        <f t="shared" si="41"/>
        <v>2.2227577585830938</v>
      </c>
      <c r="G361" s="246">
        <f t="shared" si="40"/>
        <v>1.0748186025607267</v>
      </c>
    </row>
    <row r="362" spans="1:7" ht="18" customHeight="1" x14ac:dyDescent="0.25">
      <c r="A362" s="247">
        <f>2023</f>
        <v>2023</v>
      </c>
      <c r="B362" s="248" t="s">
        <v>19</v>
      </c>
      <c r="C362" s="249">
        <f t="shared" si="38"/>
        <v>727.68043408255619</v>
      </c>
      <c r="D362" s="250">
        <v>6.9484559676080693E-2</v>
      </c>
      <c r="E362" s="250">
        <f t="shared" si="43"/>
        <v>2.4492866539072233</v>
      </c>
      <c r="F362" s="251">
        <f t="shared" si="41"/>
        <v>3.5297490507746998</v>
      </c>
      <c r="G362" s="246">
        <f t="shared" si="40"/>
        <v>1.0740722881606954</v>
      </c>
    </row>
    <row r="363" spans="1:7" ht="18" customHeight="1" x14ac:dyDescent="0.25">
      <c r="A363" s="247">
        <f>2023</f>
        <v>2023</v>
      </c>
      <c r="B363" s="248" t="s">
        <v>20</v>
      </c>
      <c r="C363" s="249">
        <f t="shared" si="38"/>
        <v>726.11448427503944</v>
      </c>
      <c r="D363" s="250">
        <v>-0.21519745951270597</v>
      </c>
      <c r="E363" s="250">
        <f t="shared" si="43"/>
        <v>2.228818391739118</v>
      </c>
      <c r="F363" s="251">
        <f t="shared" si="41"/>
        <v>3.9016762661655768</v>
      </c>
      <c r="G363" s="246">
        <f t="shared" si="40"/>
        <v>1.0763886491882317</v>
      </c>
    </row>
    <row r="364" spans="1:7" ht="18" customHeight="1" x14ac:dyDescent="0.25">
      <c r="A364" s="247">
        <f>2023</f>
        <v>2023</v>
      </c>
      <c r="B364" s="248" t="s">
        <v>21</v>
      </c>
      <c r="C364" s="249">
        <f t="shared" si="38"/>
        <v>728.0974860159281</v>
      </c>
      <c r="D364" s="250">
        <v>0.27309767038574684</v>
      </c>
      <c r="E364" s="250">
        <f t="shared" si="43"/>
        <v>2.5080029132298343</v>
      </c>
      <c r="F364" s="251">
        <f t="shared" si="41"/>
        <v>4.1689914586306998</v>
      </c>
      <c r="G364" s="246">
        <f t="shared" si="40"/>
        <v>1.0734570629567057</v>
      </c>
    </row>
    <row r="365" spans="1:7" ht="18" customHeight="1" x14ac:dyDescent="0.25">
      <c r="A365" s="247">
        <f>2023</f>
        <v>2023</v>
      </c>
      <c r="B365" s="248" t="s">
        <v>22</v>
      </c>
      <c r="C365" s="249">
        <f t="shared" si="38"/>
        <v>731.40783573706778</v>
      </c>
      <c r="D365" s="250">
        <v>0.4546574853943719</v>
      </c>
      <c r="E365" s="250">
        <f t="shared" si="43"/>
        <v>2.9740632216031182</v>
      </c>
      <c r="F365" s="251">
        <f t="shared" si="41"/>
        <v>3.9242807123505141</v>
      </c>
      <c r="G365" s="246">
        <f t="shared" si="40"/>
        <v>1.0685985994355525</v>
      </c>
    </row>
    <row r="366" spans="1:7" ht="18" customHeight="1" x14ac:dyDescent="0.25">
      <c r="A366" s="247">
        <f>2023</f>
        <v>2023</v>
      </c>
      <c r="B366" s="248" t="s">
        <v>23</v>
      </c>
      <c r="C366" s="249">
        <f t="shared" si="38"/>
        <v>733.39284253532844</v>
      </c>
      <c r="D366" s="250">
        <v>0.27139534214317695</v>
      </c>
      <c r="E366" s="250">
        <f t="shared" si="43"/>
        <v>3.2535300328021322</v>
      </c>
      <c r="F366" s="251">
        <f t="shared" si="41"/>
        <v>3.6150533979208088</v>
      </c>
      <c r="G366" s="246">
        <f t="shared" si="40"/>
        <v>1.0657063221164031</v>
      </c>
    </row>
    <row r="367" spans="1:7" ht="18" customHeight="1" x14ac:dyDescent="0.25">
      <c r="A367" s="247">
        <f>2023</f>
        <v>2023</v>
      </c>
      <c r="B367" s="248" t="s">
        <v>12</v>
      </c>
      <c r="C367" s="249">
        <f t="shared" si="38"/>
        <v>735.52421852174359</v>
      </c>
      <c r="D367" s="250">
        <v>0.29061859658283673</v>
      </c>
      <c r="E367" s="250">
        <f t="shared" si="43"/>
        <v>3.5536039927057006</v>
      </c>
      <c r="F367" s="251">
        <f t="shared" si="41"/>
        <v>3.5536039927057006</v>
      </c>
      <c r="G367" s="246">
        <f t="shared" si="40"/>
        <v>1.0626181561439831</v>
      </c>
    </row>
    <row r="368" spans="1:7" ht="18" customHeight="1" x14ac:dyDescent="0.25">
      <c r="A368" s="247">
        <f>2024</f>
        <v>2024</v>
      </c>
      <c r="B368" s="248" t="s">
        <v>13</v>
      </c>
      <c r="C368" s="249">
        <f t="shared" si="38"/>
        <v>740.04662542424524</v>
      </c>
      <c r="D368" s="250">
        <v>0.6148549277671389</v>
      </c>
      <c r="E368" s="250">
        <f t="shared" ref="E368:E379" si="44">100*(C368/C$367-1)</f>
        <v>0.6148549277671389</v>
      </c>
      <c r="F368" s="251">
        <f t="shared" si="41"/>
        <v>3.3646945813980977</v>
      </c>
      <c r="G368" s="246">
        <f t="shared" si="40"/>
        <v>1.0561245224741933</v>
      </c>
    </row>
    <row r="369" spans="1:7" ht="18" customHeight="1" x14ac:dyDescent="0.25">
      <c r="A369" s="247">
        <f>2024</f>
        <v>2024</v>
      </c>
      <c r="B369" s="248" t="s">
        <v>14</v>
      </c>
      <c r="C369" s="249">
        <f t="shared" si="38"/>
        <v>744.12992476228339</v>
      </c>
      <c r="D369" s="250">
        <v>0.55176244276464725</v>
      </c>
      <c r="E369" s="250">
        <f t="shared" si="44"/>
        <v>1.1700099091006777</v>
      </c>
      <c r="F369" s="251">
        <f t="shared" si="41"/>
        <v>3.5860371191684948</v>
      </c>
      <c r="G369" s="246">
        <f t="shared" si="40"/>
        <v>1.0503292004208808</v>
      </c>
    </row>
    <row r="370" spans="1:7" ht="18" customHeight="1" x14ac:dyDescent="0.25">
      <c r="A370" s="247">
        <f>2024</f>
        <v>2024</v>
      </c>
      <c r="B370" s="248" t="s">
        <v>15</v>
      </c>
      <c r="C370" s="249">
        <f t="shared" si="38"/>
        <v>744.8938516210078</v>
      </c>
      <c r="D370" s="250">
        <v>0.10266041363253819</v>
      </c>
      <c r="E370" s="250">
        <f t="shared" si="44"/>
        <v>1.2738714597454459</v>
      </c>
      <c r="F370" s="251">
        <f t="shared" si="41"/>
        <v>2.9264886984009975</v>
      </c>
      <c r="G370" s="246">
        <f t="shared" si="40"/>
        <v>1.0492520339427873</v>
      </c>
    </row>
    <row r="371" spans="1:7" ht="18" customHeight="1" x14ac:dyDescent="0.25">
      <c r="A371" s="247">
        <f>2024</f>
        <v>2024</v>
      </c>
      <c r="B371" s="248" t="s">
        <v>16</v>
      </c>
      <c r="C371" s="249">
        <f t="shared" si="38"/>
        <v>747.99968549020559</v>
      </c>
      <c r="D371" s="250">
        <v>0.41694985969329412</v>
      </c>
      <c r="E371" s="250">
        <f t="shared" si="44"/>
        <v>1.6961327247028146</v>
      </c>
      <c r="F371" s="251">
        <f t="shared" si="41"/>
        <v>2.8439063187044367</v>
      </c>
      <c r="G371" s="246">
        <f t="shared" si="40"/>
        <v>1.0448953442709079</v>
      </c>
    </row>
    <row r="372" spans="1:7" ht="18" customHeight="1" x14ac:dyDescent="0.25">
      <c r="A372" s="247">
        <f>2024</f>
        <v>2024</v>
      </c>
      <c r="B372" s="248" t="s">
        <v>17</v>
      </c>
      <c r="C372" s="249">
        <f t="shared" si="38"/>
        <v>751.94764345563487</v>
      </c>
      <c r="D372" s="250">
        <v>0.52780208895970571</v>
      </c>
      <c r="E372" s="250">
        <f t="shared" si="44"/>
        <v>2.2328870376150389</v>
      </c>
      <c r="F372" s="251">
        <f t="shared" si="41"/>
        <v>3.3031341417057325</v>
      </c>
      <c r="G372" s="246">
        <f t="shared" si="40"/>
        <v>1.0394093201662289</v>
      </c>
    </row>
    <row r="373" spans="1:7" ht="18" customHeight="1" x14ac:dyDescent="0.25">
      <c r="A373" s="247">
        <f>2024</f>
        <v>2024</v>
      </c>
      <c r="B373" s="248" t="s">
        <v>18</v>
      </c>
      <c r="C373" s="249">
        <f t="shared" si="38"/>
        <v>753.59078797197287</v>
      </c>
      <c r="D373" s="250">
        <v>0.21851847407710068</v>
      </c>
      <c r="E373" s="250">
        <f t="shared" si="44"/>
        <v>2.456284782374607</v>
      </c>
      <c r="F373" s="251">
        <f t="shared" si="41"/>
        <v>3.6326362359221376</v>
      </c>
      <c r="G373" s="246">
        <f t="shared" si="40"/>
        <v>1.0371429711716267</v>
      </c>
    </row>
    <row r="374" spans="1:7" ht="18" customHeight="1" x14ac:dyDescent="0.25">
      <c r="A374" s="247">
        <f>2024</f>
        <v>2024</v>
      </c>
      <c r="B374" s="248" t="s">
        <v>19</v>
      </c>
      <c r="C374" s="249">
        <f t="shared" si="38"/>
        <v>757.64100386337327</v>
      </c>
      <c r="D374" s="250">
        <v>0.53745560004789805</v>
      </c>
      <c r="E374" s="250">
        <f t="shared" si="44"/>
        <v>3.0069418225384892</v>
      </c>
      <c r="F374" s="251">
        <f t="shared" si="41"/>
        <v>4.1172702160929608</v>
      </c>
      <c r="G374" s="246">
        <f t="shared" si="40"/>
        <v>1.031598586796872</v>
      </c>
    </row>
    <row r="375" spans="1:7" ht="18" customHeight="1" x14ac:dyDescent="0.25">
      <c r="A375" s="247">
        <f>2024</f>
        <v>2024</v>
      </c>
      <c r="B375" s="248" t="s">
        <v>20</v>
      </c>
      <c r="C375" s="249">
        <f t="shared" si="38"/>
        <v>756.4590225425909</v>
      </c>
      <c r="D375" s="250">
        <v>-0.15600809813027805</v>
      </c>
      <c r="E375" s="250">
        <f t="shared" si="44"/>
        <v>2.8462426516589812</v>
      </c>
      <c r="F375" s="251">
        <f t="shared" si="41"/>
        <v>4.1790294677632955</v>
      </c>
      <c r="G375" s="246">
        <f t="shared" si="40"/>
        <v>1.0332104788145533</v>
      </c>
    </row>
    <row r="376" spans="1:7" ht="18" customHeight="1" x14ac:dyDescent="0.25">
      <c r="A376" s="247">
        <f>2024</f>
        <v>2024</v>
      </c>
      <c r="B376" s="248" t="s">
        <v>21</v>
      </c>
      <c r="C376" s="249">
        <f t="shared" si="38"/>
        <v>761.25411724768185</v>
      </c>
      <c r="D376" s="250">
        <v>0.63388690757812949</v>
      </c>
      <c r="E376" s="250">
        <f t="shared" si="44"/>
        <v>3.4981715187638818</v>
      </c>
      <c r="F376" s="251">
        <f t="shared" si="41"/>
        <v>4.5538725058897445</v>
      </c>
      <c r="G376" s="246">
        <f t="shared" si="40"/>
        <v>1.0267023470567631</v>
      </c>
    </row>
    <row r="377" spans="1:7" ht="18" customHeight="1" x14ac:dyDescent="0.25">
      <c r="A377" s="247">
        <f>2024</f>
        <v>2024</v>
      </c>
      <c r="B377" s="248" t="s">
        <v>22</v>
      </c>
      <c r="C377" s="249">
        <f t="shared" si="38"/>
        <v>763.56895598363326</v>
      </c>
      <c r="D377" s="250">
        <v>0.30408226156080076</v>
      </c>
      <c r="E377" s="250">
        <f t="shared" si="44"/>
        <v>3.8128910993922016</v>
      </c>
      <c r="F377" s="251">
        <f t="shared" si="41"/>
        <v>4.3971528161378615</v>
      </c>
      <c r="G377" s="246">
        <f t="shared" si="40"/>
        <v>1.0235897920679375</v>
      </c>
    </row>
    <row r="378" spans="1:7" ht="18" customHeight="1" x14ac:dyDescent="0.25">
      <c r="A378" s="247">
        <f>2024</f>
        <v>2024</v>
      </c>
      <c r="B378" s="248" t="s">
        <v>23</v>
      </c>
      <c r="C378" s="249">
        <f t="shared" si="38"/>
        <v>762.56742982632909</v>
      </c>
      <c r="D378" s="250">
        <v>-0.13116381296749413</v>
      </c>
      <c r="E378" s="250">
        <f t="shared" si="44"/>
        <v>3.676726153074461</v>
      </c>
      <c r="F378" s="251">
        <f t="shared" si="41"/>
        <v>3.9780299996035495</v>
      </c>
      <c r="G378" s="246">
        <f t="shared" si="40"/>
        <v>1.0249341347594934</v>
      </c>
    </row>
    <row r="379" spans="1:7" ht="18" customHeight="1" x14ac:dyDescent="0.25">
      <c r="A379" s="247">
        <f>2024</f>
        <v>2024</v>
      </c>
      <c r="B379" s="248" t="s">
        <v>12</v>
      </c>
      <c r="C379" s="249">
        <f t="shared" si="38"/>
        <v>764.9083343081162</v>
      </c>
      <c r="D379" s="250">
        <v>0.30697671972697016</v>
      </c>
      <c r="E379" s="250">
        <f t="shared" si="44"/>
        <v>3.9949895661394841</v>
      </c>
      <c r="F379" s="251">
        <f t="shared" si="41"/>
        <v>3.9949895661394841</v>
      </c>
      <c r="G379" s="246">
        <f t="shared" si="40"/>
        <v>1.0217974544515642</v>
      </c>
    </row>
    <row r="380" spans="1:7" ht="18" customHeight="1" x14ac:dyDescent="0.25">
      <c r="A380" s="247">
        <f>2024</f>
        <v>2024</v>
      </c>
      <c r="B380" s="248" t="s">
        <v>13</v>
      </c>
      <c r="C380" s="249">
        <f t="shared" si="38"/>
        <v>765.08678441422239</v>
      </c>
      <c r="D380" s="250">
        <v>2.3329606712629847E-2</v>
      </c>
      <c r="E380" s="250">
        <f>100*(C380/C$379-1)</f>
        <v>2.3329606712629847E-2</v>
      </c>
      <c r="F380" s="251">
        <f t="shared" si="41"/>
        <v>3.3835920778130024</v>
      </c>
      <c r="G380" s="246">
        <f t="shared" si="40"/>
        <v>1.0215591287244958</v>
      </c>
    </row>
    <row r="381" spans="1:7" ht="18" customHeight="1" x14ac:dyDescent="0.25">
      <c r="A381" s="247">
        <f>2024</f>
        <v>2024</v>
      </c>
      <c r="B381" s="248" t="s">
        <v>14</v>
      </c>
      <c r="C381" s="249">
        <f t="shared" ref="C381" si="45">+C380*(1+D381/100)</f>
        <v>774.10954258813422</v>
      </c>
      <c r="D381" s="250">
        <v>1.1793117274689235</v>
      </c>
      <c r="E381" s="250">
        <f>100*(C381/C$379-1)</f>
        <v>1.2029164629694833</v>
      </c>
      <c r="F381" s="251">
        <f t="shared" ref="F381" si="46">+((C381/C369)-1)*100</f>
        <v>4.0288149727922828</v>
      </c>
      <c r="G381" s="246">
        <f t="shared" si="40"/>
        <v>1.0096521821339444</v>
      </c>
    </row>
    <row r="382" spans="1:7" ht="18" customHeight="1" x14ac:dyDescent="0.25">
      <c r="A382" s="247">
        <f>2024</f>
        <v>2024</v>
      </c>
      <c r="B382" s="248" t="s">
        <v>15</v>
      </c>
      <c r="C382" s="249">
        <f t="shared" ref="C382" si="47">+C381*(1+D382/100)</f>
        <v>777.54220080896471</v>
      </c>
      <c r="D382" s="250">
        <v>0.44343313600732071</v>
      </c>
      <c r="E382" s="250">
        <f>100*(C382/C$379-1)</f>
        <v>1.6516837291721043</v>
      </c>
      <c r="F382" s="251">
        <f t="shared" ref="F382" si="48">+((C382/C370)-1)*100</f>
        <v>4.3829532378215852</v>
      </c>
      <c r="G382" s="252">
        <f t="shared" si="40"/>
        <v>1.0051948152417349</v>
      </c>
    </row>
    <row r="383" spans="1:7" ht="18" customHeight="1" thickBot="1" x14ac:dyDescent="0.3">
      <c r="A383" s="253">
        <f>2024</f>
        <v>2024</v>
      </c>
      <c r="B383" s="254" t="s">
        <v>16</v>
      </c>
      <c r="C383" s="255">
        <f t="shared" ref="C383" si="49">+C382*(1+D383/100)</f>
        <v>781.58138888481926</v>
      </c>
      <c r="D383" s="42">
        <v>0.51948152417349291</v>
      </c>
      <c r="E383" s="42">
        <f>100*(C383/C$379-1)</f>
        <v>2.1797454451564224</v>
      </c>
      <c r="F383" s="256">
        <f t="shared" ref="F383" si="50">+((C383/C371)-1)*100</f>
        <v>4.4895344270907911</v>
      </c>
      <c r="G383" s="257">
        <f t="shared" si="40"/>
        <v>1</v>
      </c>
    </row>
    <row r="384" spans="1:7" ht="18" customHeight="1" x14ac:dyDescent="0.25">
      <c r="A384" s="180" t="s">
        <v>90</v>
      </c>
      <c r="B384" s="258"/>
      <c r="C384" s="259"/>
      <c r="D384" s="260"/>
      <c r="E384" s="260"/>
      <c r="F384" s="260"/>
      <c r="G384" s="261"/>
    </row>
    <row r="386" spans="1:1" ht="18" customHeight="1" x14ac:dyDescent="0.2">
      <c r="A386" s="262" t="s">
        <v>44</v>
      </c>
    </row>
    <row r="387" spans="1:1" ht="18" customHeight="1" x14ac:dyDescent="0.2">
      <c r="A387" s="262" t="s">
        <v>45</v>
      </c>
    </row>
    <row r="388" spans="1:1" ht="18" customHeight="1" x14ac:dyDescent="0.2">
      <c r="A388" s="201" t="s">
        <v>46</v>
      </c>
    </row>
    <row r="389" spans="1:1" ht="18" customHeight="1" x14ac:dyDescent="0.25">
      <c r="A389" s="263"/>
    </row>
    <row r="390" spans="1:1" ht="18" customHeight="1" x14ac:dyDescent="0.25">
      <c r="A390" s="263" t="s">
        <v>94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8396-0AEE-497D-9B37-B70E534ABFDF}">
  <dimension ref="A1:G384"/>
  <sheetViews>
    <sheetView showGridLines="0" workbookViewId="0">
      <pane ySplit="2655" topLeftCell="A287" activePane="bottomLeft"/>
      <selection activeCell="H1" sqref="H1:K1048576"/>
      <selection pane="bottomLeft" activeCell="H302" sqref="H302"/>
    </sheetView>
  </sheetViews>
  <sheetFormatPr defaultColWidth="12.42578125" defaultRowHeight="12.75" x14ac:dyDescent="0.25"/>
  <cols>
    <col min="1" max="1" width="10.28515625" style="224" customWidth="1"/>
    <col min="2" max="2" width="11.28515625" style="224" customWidth="1"/>
    <col min="3" max="6" width="13.85546875" style="224" customWidth="1"/>
    <col min="7" max="7" width="16.42578125" style="224" customWidth="1"/>
    <col min="8" max="16384" width="12.42578125" style="224"/>
  </cols>
  <sheetData>
    <row r="1" spans="1:7" s="55" customFormat="1" ht="21" customHeight="1" x14ac:dyDescent="0.25">
      <c r="A1" s="682" t="s">
        <v>99</v>
      </c>
      <c r="B1" s="682"/>
      <c r="C1" s="682"/>
      <c r="D1" s="682"/>
      <c r="E1" s="682"/>
      <c r="F1" s="682"/>
      <c r="G1" s="682"/>
    </row>
    <row r="2" spans="1:7" s="55" customFormat="1" ht="15.75" customHeight="1" x14ac:dyDescent="0.25">
      <c r="A2" s="682"/>
      <c r="B2" s="682"/>
      <c r="C2" s="682"/>
      <c r="D2" s="682"/>
      <c r="E2" s="682"/>
      <c r="F2" s="682"/>
      <c r="G2" s="682"/>
    </row>
    <row r="3" spans="1:7" s="55" customFormat="1" ht="15" customHeight="1" thickBot="1" x14ac:dyDescent="0.3">
      <c r="A3" s="683"/>
      <c r="B3" s="683"/>
      <c r="C3" s="683"/>
      <c r="D3" s="683"/>
      <c r="E3" s="683"/>
      <c r="F3" s="683"/>
      <c r="G3" s="683"/>
    </row>
    <row r="4" spans="1:7" s="55" customFormat="1" ht="17.25" customHeight="1" thickBot="1" x14ac:dyDescent="0.3">
      <c r="A4" s="264" t="s">
        <v>96</v>
      </c>
      <c r="B4" s="56"/>
      <c r="C4" s="57"/>
      <c r="D4" s="58" t="s">
        <v>58</v>
      </c>
      <c r="E4" s="59"/>
      <c r="F4" s="59"/>
      <c r="G4" s="59"/>
    </row>
    <row r="5" spans="1:7" s="55" customFormat="1" ht="15" customHeight="1" thickBot="1" x14ac:dyDescent="0.3">
      <c r="A5" s="265" t="s">
        <v>3</v>
      </c>
      <c r="B5" s="60"/>
      <c r="C5" s="61"/>
      <c r="D5" s="62" t="s">
        <v>4</v>
      </c>
      <c r="E5" s="63"/>
      <c r="F5" s="64"/>
      <c r="G5" s="65" t="s">
        <v>51</v>
      </c>
    </row>
    <row r="6" spans="1:7" s="55" customFormat="1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8"/>
    </row>
    <row r="7" spans="1:7" ht="18" hidden="1" customHeight="1" x14ac:dyDescent="0.3">
      <c r="A7" s="218">
        <v>2000</v>
      </c>
      <c r="B7" s="266" t="s">
        <v>22</v>
      </c>
      <c r="C7" s="220">
        <v>100</v>
      </c>
      <c r="D7" s="221">
        <v>0.59012048935318528</v>
      </c>
      <c r="E7" s="221"/>
      <c r="F7" s="222"/>
      <c r="G7" s="223">
        <f>+$C$301/C7</f>
        <v>7.3646444269899654</v>
      </c>
    </row>
    <row r="8" spans="1:7" ht="18" hidden="1" customHeight="1" x14ac:dyDescent="0.3">
      <c r="A8" s="225">
        <v>2000</v>
      </c>
      <c r="B8" s="267" t="s">
        <v>23</v>
      </c>
      <c r="C8" s="227">
        <f>+C7*(1+D8/100)</f>
        <v>100.3579178473871</v>
      </c>
      <c r="D8" s="228">
        <v>0.35791784738710142</v>
      </c>
      <c r="E8" s="228"/>
      <c r="F8" s="229"/>
      <c r="G8" s="230">
        <f>+$C$301/C8</f>
        <v>7.3383790586302107</v>
      </c>
    </row>
    <row r="9" spans="1:7" ht="18" hidden="1" customHeight="1" x14ac:dyDescent="0.3">
      <c r="A9" s="225">
        <v>2000</v>
      </c>
      <c r="B9" s="267" t="s">
        <v>12</v>
      </c>
      <c r="C9" s="227">
        <f t="shared" ref="C9:C45" si="0">+C8*(1+D9/100)</f>
        <v>101.02320594317224</v>
      </c>
      <c r="D9" s="228">
        <v>0.66291540324385778</v>
      </c>
      <c r="E9" s="228"/>
      <c r="F9" s="229"/>
      <c r="G9" s="230">
        <f>+$C$301/C9</f>
        <v>7.2900521798256319</v>
      </c>
    </row>
    <row r="10" spans="1:7" ht="18" hidden="1" customHeight="1" x14ac:dyDescent="0.3">
      <c r="A10" s="225">
        <v>2001</v>
      </c>
      <c r="B10" s="267" t="s">
        <v>13</v>
      </c>
      <c r="C10" s="227">
        <f>+C9*(1+D10/100)</f>
        <v>101.69104694799725</v>
      </c>
      <c r="D10" s="228">
        <v>0.66107682743772322</v>
      </c>
      <c r="E10" s="228">
        <f t="shared" ref="E10:E21" si="1">100*((C10/$C$9)-1)</f>
        <v>0.66107682743772322</v>
      </c>
      <c r="F10" s="229"/>
      <c r="G10" s="230">
        <f>+$C$301/C10</f>
        <v>7.2421758335874902</v>
      </c>
    </row>
    <row r="11" spans="1:7" ht="18" hidden="1" customHeight="1" x14ac:dyDescent="0.3">
      <c r="A11" s="225">
        <v>2001</v>
      </c>
      <c r="B11" s="267" t="s">
        <v>14</v>
      </c>
      <c r="C11" s="227">
        <f t="shared" si="0"/>
        <v>101.76967654642466</v>
      </c>
      <c r="D11" s="228">
        <v>7.7322046322936266E-2</v>
      </c>
      <c r="E11" s="228">
        <f t="shared" si="1"/>
        <v>0.73891003189141546</v>
      </c>
      <c r="F11" s="229"/>
      <c r="G11" s="230">
        <f>+$C$301/C11</f>
        <v>7.2365803615681212</v>
      </c>
    </row>
    <row r="12" spans="1:7" ht="18" hidden="1" customHeight="1" x14ac:dyDescent="0.3">
      <c r="A12" s="225">
        <v>2001</v>
      </c>
      <c r="B12" s="267" t="s">
        <v>15</v>
      </c>
      <c r="C12" s="227">
        <f t="shared" si="0"/>
        <v>102.42730591509027</v>
      </c>
      <c r="D12" s="228">
        <v>0.64619382804622649</v>
      </c>
      <c r="E12" s="228">
        <f t="shared" si="1"/>
        <v>1.3898786509585426</v>
      </c>
      <c r="F12" s="229"/>
      <c r="G12" s="230">
        <f>+$C$301/C12</f>
        <v>7.1901182611354395</v>
      </c>
    </row>
    <row r="13" spans="1:7" ht="18" hidden="1" customHeight="1" x14ac:dyDescent="0.3">
      <c r="A13" s="225">
        <v>2001</v>
      </c>
      <c r="B13" s="267" t="s">
        <v>16</v>
      </c>
      <c r="C13" s="227">
        <f t="shared" si="0"/>
        <v>103.70018636235993</v>
      </c>
      <c r="D13" s="228">
        <v>1.2427159299931656</v>
      </c>
      <c r="E13" s="228">
        <f t="shared" si="1"/>
        <v>2.6498668243547296</v>
      </c>
      <c r="F13" s="229"/>
      <c r="G13" s="230">
        <f>+$C$301/C13</f>
        <v>7.1018622871666421</v>
      </c>
    </row>
    <row r="14" spans="1:7" ht="18" hidden="1" customHeight="1" x14ac:dyDescent="0.3">
      <c r="A14" s="225">
        <v>2001</v>
      </c>
      <c r="B14" s="267" t="s">
        <v>17</v>
      </c>
      <c r="C14" s="227">
        <f t="shared" si="0"/>
        <v>104.51915958234409</v>
      </c>
      <c r="D14" s="228">
        <v>0.78975096257052346</v>
      </c>
      <c r="E14" s="228">
        <f t="shared" si="1"/>
        <v>3.4605451356774397</v>
      </c>
      <c r="F14" s="229"/>
      <c r="G14" s="230">
        <f>+$C$301/C14</f>
        <v>7.0462147384449878</v>
      </c>
    </row>
    <row r="15" spans="1:7" ht="18" hidden="1" customHeight="1" x14ac:dyDescent="0.3">
      <c r="A15" s="225">
        <v>2001</v>
      </c>
      <c r="B15" s="267" t="s">
        <v>18</v>
      </c>
      <c r="C15" s="227">
        <f t="shared" si="0"/>
        <v>105.88751882770418</v>
      </c>
      <c r="D15" s="228">
        <v>1.3091946498881457</v>
      </c>
      <c r="E15" s="228">
        <f t="shared" si="1"/>
        <v>4.8150450573388293</v>
      </c>
      <c r="F15" s="229"/>
      <c r="G15" s="230">
        <f>+$C$301/C15</f>
        <v>6.9551581796655491</v>
      </c>
    </row>
    <row r="16" spans="1:7" ht="18" hidden="1" customHeight="1" x14ac:dyDescent="0.3">
      <c r="A16" s="225">
        <v>2001</v>
      </c>
      <c r="B16" s="267" t="s">
        <v>19</v>
      </c>
      <c r="C16" s="227">
        <f t="shared" si="0"/>
        <v>107.72306042735698</v>
      </c>
      <c r="D16" s="228">
        <v>1.7334824915857361</v>
      </c>
      <c r="E16" s="228">
        <f t="shared" si="1"/>
        <v>6.6319955119555019</v>
      </c>
      <c r="F16" s="229"/>
      <c r="G16" s="230">
        <f>+$C$301/C16</f>
        <v>6.8366461162290424</v>
      </c>
    </row>
    <row r="17" spans="1:7" ht="18" hidden="1" customHeight="1" x14ac:dyDescent="0.3">
      <c r="A17" s="225">
        <v>2001</v>
      </c>
      <c r="B17" s="267" t="s">
        <v>20</v>
      </c>
      <c r="C17" s="227">
        <f t="shared" si="0"/>
        <v>109.60812846238291</v>
      </c>
      <c r="D17" s="228">
        <v>1.7499206089647945</v>
      </c>
      <c r="E17" s="228">
        <f t="shared" si="1"/>
        <v>8.4979707771696269</v>
      </c>
      <c r="F17" s="229"/>
      <c r="G17" s="230">
        <f>+$C$301/C17</f>
        <v>6.7190677646845174</v>
      </c>
    </row>
    <row r="18" spans="1:7" ht="18" hidden="1" customHeight="1" x14ac:dyDescent="0.3">
      <c r="A18" s="225">
        <v>2001</v>
      </c>
      <c r="B18" s="267" t="s">
        <v>21</v>
      </c>
      <c r="C18" s="227">
        <f t="shared" si="0"/>
        <v>109.98238492762506</v>
      </c>
      <c r="D18" s="228">
        <v>0.34144955350696726</v>
      </c>
      <c r="E18" s="228">
        <f t="shared" si="1"/>
        <v>8.8684366139524009</v>
      </c>
      <c r="F18" s="229"/>
      <c r="G18" s="230">
        <f>+$C$301/C18</f>
        <v>6.6962036073652511</v>
      </c>
    </row>
    <row r="19" spans="1:7" ht="18" hidden="1" customHeight="1" x14ac:dyDescent="0.3">
      <c r="A19" s="225">
        <v>2001</v>
      </c>
      <c r="B19" s="267" t="s">
        <v>22</v>
      </c>
      <c r="C19" s="227">
        <f t="shared" si="0"/>
        <v>111.6667943121187</v>
      </c>
      <c r="D19" s="228">
        <v>1.5315265127248123</v>
      </c>
      <c r="E19" s="228">
        <f t="shared" si="1"/>
        <v>10.535785584684088</v>
      </c>
      <c r="F19" s="229">
        <f t="shared" ref="F19:F82" si="2">100*((C19/C7)-1)</f>
        <v>11.6667943121187</v>
      </c>
      <c r="G19" s="230">
        <f>+$C$301/C19</f>
        <v>6.5951964255417996</v>
      </c>
    </row>
    <row r="20" spans="1:7" ht="18" hidden="1" customHeight="1" x14ac:dyDescent="0.3">
      <c r="A20" s="225">
        <v>2001</v>
      </c>
      <c r="B20" s="267" t="s">
        <v>23</v>
      </c>
      <c r="C20" s="227">
        <f t="shared" si="0"/>
        <v>113.11633606494605</v>
      </c>
      <c r="D20" s="228">
        <v>1.2980956082394135</v>
      </c>
      <c r="E20" s="228">
        <f t="shared" si="1"/>
        <v>11.970645762891795</v>
      </c>
      <c r="F20" s="229">
        <f t="shared" si="2"/>
        <v>12.71291642076562</v>
      </c>
      <c r="G20" s="230">
        <f>+$C$301/C20</f>
        <v>6.5106815542200156</v>
      </c>
    </row>
    <row r="21" spans="1:7" ht="18" hidden="1" customHeight="1" x14ac:dyDescent="0.3">
      <c r="A21" s="225">
        <v>2001</v>
      </c>
      <c r="B21" s="267" t="s">
        <v>12</v>
      </c>
      <c r="C21" s="227">
        <f t="shared" si="0"/>
        <v>113.02800541216722</v>
      </c>
      <c r="D21" s="228">
        <v>-7.8088325569636297E-2</v>
      </c>
      <c r="E21" s="228">
        <f t="shared" si="1"/>
        <v>11.883209760486046</v>
      </c>
      <c r="F21" s="229">
        <f t="shared" si="2"/>
        <v>11.883209760486046</v>
      </c>
      <c r="G21" s="230">
        <f>+$C$301/C21</f>
        <v>6.5157696096061315</v>
      </c>
    </row>
    <row r="22" spans="1:7" ht="18" hidden="1" customHeight="1" x14ac:dyDescent="0.3">
      <c r="A22" s="225">
        <v>2002</v>
      </c>
      <c r="B22" s="267" t="s">
        <v>13</v>
      </c>
      <c r="C22" s="227">
        <f>+C21*(1+D22/100)</f>
        <v>113.18934926348579</v>
      </c>
      <c r="D22" s="228">
        <v>0.14274679158516879</v>
      </c>
      <c r="E22" s="228">
        <f t="shared" ref="E22:E28" si="3">100*((C22/$C$21)-1)</f>
        <v>0.14274679158516879</v>
      </c>
      <c r="F22" s="229">
        <f t="shared" si="2"/>
        <v>11.307094046704558</v>
      </c>
      <c r="G22" s="230">
        <f>+$C$301/C22</f>
        <v>6.5064818155693347</v>
      </c>
    </row>
    <row r="23" spans="1:7" ht="18" hidden="1" customHeight="1" x14ac:dyDescent="0.3">
      <c r="A23" s="225">
        <v>2002</v>
      </c>
      <c r="B23" s="267" t="s">
        <v>14</v>
      </c>
      <c r="C23" s="227">
        <f t="shared" si="0"/>
        <v>113.08621173827582</v>
      </c>
      <c r="D23" s="228">
        <v>-9.1119461222355369E-2</v>
      </c>
      <c r="E23" s="228">
        <f t="shared" si="3"/>
        <v>5.1497260255417565E-2</v>
      </c>
      <c r="F23" s="229">
        <f t="shared" si="2"/>
        <v>11.119751556534485</v>
      </c>
      <c r="G23" s="230">
        <f>+$C$301/C23</f>
        <v>6.5124158938443637</v>
      </c>
    </row>
    <row r="24" spans="1:7" ht="18" hidden="1" customHeight="1" x14ac:dyDescent="0.3">
      <c r="A24" s="225">
        <v>2002</v>
      </c>
      <c r="B24" s="267" t="s">
        <v>15</v>
      </c>
      <c r="C24" s="227">
        <f t="shared" si="0"/>
        <v>112.928952541421</v>
      </c>
      <c r="D24" s="228">
        <v>-0.13906133598212689</v>
      </c>
      <c r="E24" s="228">
        <f t="shared" si="3"/>
        <v>-8.7635688504816844E-2</v>
      </c>
      <c r="F24" s="229">
        <f t="shared" si="2"/>
        <v>10.252780284035135</v>
      </c>
      <c r="G24" s="230">
        <f>+$C$301/C24</f>
        <v>6.5214847576742567</v>
      </c>
    </row>
    <row r="25" spans="1:7" ht="18" hidden="1" customHeight="1" x14ac:dyDescent="0.3">
      <c r="A25" s="225">
        <v>2002</v>
      </c>
      <c r="B25" s="267" t="s">
        <v>16</v>
      </c>
      <c r="C25" s="227">
        <f t="shared" si="0"/>
        <v>113.51203696612293</v>
      </c>
      <c r="D25" s="228">
        <v>0.51632855134122746</v>
      </c>
      <c r="E25" s="228">
        <f t="shared" si="3"/>
        <v>0.42824037475548415</v>
      </c>
      <c r="F25" s="229">
        <f t="shared" si="2"/>
        <v>9.4617482841134137</v>
      </c>
      <c r="G25" s="230">
        <f>+$C$301/C25</f>
        <v>6.4879854364589589</v>
      </c>
    </row>
    <row r="26" spans="1:7" ht="18" hidden="1" customHeight="1" x14ac:dyDescent="0.3">
      <c r="A26" s="225">
        <v>2002</v>
      </c>
      <c r="B26" s="267" t="s">
        <v>17</v>
      </c>
      <c r="C26" s="227">
        <f t="shared" si="0"/>
        <v>114.43159480227725</v>
      </c>
      <c r="D26" s="228">
        <v>0.81009720266824736</v>
      </c>
      <c r="E26" s="228">
        <f t="shared" si="3"/>
        <v>1.2418067407203193</v>
      </c>
      <c r="F26" s="229">
        <f t="shared" si="2"/>
        <v>9.4838451242269741</v>
      </c>
      <c r="G26" s="230">
        <f>+$C$301/C26</f>
        <v>6.4358488053191101</v>
      </c>
    </row>
    <row r="27" spans="1:7" ht="18" hidden="1" customHeight="1" x14ac:dyDescent="0.3">
      <c r="A27" s="225">
        <v>2002</v>
      </c>
      <c r="B27" s="267" t="s">
        <v>18</v>
      </c>
      <c r="C27" s="227">
        <f t="shared" si="0"/>
        <v>117.07232391309901</v>
      </c>
      <c r="D27" s="228">
        <v>2.3076923076922995</v>
      </c>
      <c r="E27" s="228">
        <f t="shared" si="3"/>
        <v>3.5781561270446183</v>
      </c>
      <c r="F27" s="229">
        <f t="shared" si="2"/>
        <v>10.562911671954733</v>
      </c>
      <c r="G27" s="230">
        <f>+$C$301/C27</f>
        <v>6.2906792833946206</v>
      </c>
    </row>
    <row r="28" spans="1:7" ht="18" hidden="1" customHeight="1" x14ac:dyDescent="0.3">
      <c r="A28" s="225">
        <v>2002</v>
      </c>
      <c r="B28" s="267" t="s">
        <v>19</v>
      </c>
      <c r="C28" s="227">
        <f t="shared" si="0"/>
        <v>120.18074596002148</v>
      </c>
      <c r="D28" s="228">
        <v>2.6551297036093713</v>
      </c>
      <c r="E28" s="228">
        <f t="shared" si="3"/>
        <v>6.3282905168246861</v>
      </c>
      <c r="F28" s="229">
        <f t="shared" si="2"/>
        <v>11.564548466449608</v>
      </c>
      <c r="G28" s="230">
        <f>+$C$301/C28</f>
        <v>6.1279736351776668</v>
      </c>
    </row>
    <row r="29" spans="1:7" ht="18" hidden="1" customHeight="1" x14ac:dyDescent="0.3">
      <c r="A29" s="225">
        <v>2002</v>
      </c>
      <c r="B29" s="267" t="s">
        <v>20</v>
      </c>
      <c r="C29" s="227">
        <f t="shared" si="0"/>
        <v>124.0279798830768</v>
      </c>
      <c r="D29" s="228">
        <v>3.2012065596057404</v>
      </c>
      <c r="E29" s="228">
        <f>100*((C29/$C$21)-1)</f>
        <v>9.7320787275659182</v>
      </c>
      <c r="F29" s="229">
        <f t="shared" si="2"/>
        <v>13.15582304248788</v>
      </c>
      <c r="G29" s="230">
        <f>+$C$301/C29</f>
        <v>5.9378895261639641</v>
      </c>
    </row>
    <row r="30" spans="1:7" ht="18" hidden="1" customHeight="1" x14ac:dyDescent="0.3">
      <c r="A30" s="225">
        <v>2002</v>
      </c>
      <c r="B30" s="267" t="s">
        <v>21</v>
      </c>
      <c r="C30" s="227">
        <f t="shared" si="0"/>
        <v>128.28623216154813</v>
      </c>
      <c r="D30" s="228">
        <v>3.4332997138917021</v>
      </c>
      <c r="E30" s="228">
        <f>100*((C30/$C$21)-1)</f>
        <v>13.499509872566851</v>
      </c>
      <c r="F30" s="229">
        <f t="shared" si="2"/>
        <v>16.642526206326668</v>
      </c>
      <c r="G30" s="230">
        <f>+$C$301/C30</f>
        <v>5.7407909663414429</v>
      </c>
    </row>
    <row r="31" spans="1:7" ht="18" hidden="1" customHeight="1" x14ac:dyDescent="0.3">
      <c r="A31" s="225">
        <v>2002</v>
      </c>
      <c r="B31" s="267" t="s">
        <v>22</v>
      </c>
      <c r="C31" s="227">
        <f t="shared" si="0"/>
        <v>135.49973194455086</v>
      </c>
      <c r="D31" s="228">
        <v>5.6229726771606536</v>
      </c>
      <c r="E31" s="228">
        <f>100*((C31/$C$21)-1)</f>
        <v>19.881556301412552</v>
      </c>
      <c r="F31" s="229">
        <f t="shared" si="2"/>
        <v>21.342904826135655</v>
      </c>
      <c r="G31" s="230">
        <f>+$C$301/C31</f>
        <v>5.435172690971612</v>
      </c>
    </row>
    <row r="32" spans="1:7" ht="18" hidden="1" customHeight="1" x14ac:dyDescent="0.3">
      <c r="A32" s="225">
        <v>2002</v>
      </c>
      <c r="B32" s="267" t="s">
        <v>23</v>
      </c>
      <c r="C32" s="227">
        <f t="shared" si="0"/>
        <v>144.62127594393817</v>
      </c>
      <c r="D32" s="228">
        <v>6.7317801064876059</v>
      </c>
      <c r="E32" s="228">
        <f>100*((C32/$C$21)-1)</f>
        <v>27.951719059858782</v>
      </c>
      <c r="F32" s="229">
        <f t="shared" si="2"/>
        <v>27.851803704907361</v>
      </c>
      <c r="G32" s="230">
        <f>+$C$301/C32</f>
        <v>5.0923658216408203</v>
      </c>
    </row>
    <row r="33" spans="1:7" ht="18" hidden="1" customHeight="1" x14ac:dyDescent="0.3">
      <c r="A33" s="225">
        <v>2002</v>
      </c>
      <c r="B33" s="267" t="s">
        <v>12</v>
      </c>
      <c r="C33" s="227">
        <f t="shared" si="0"/>
        <v>151.05511730617042</v>
      </c>
      <c r="D33" s="228">
        <v>4.448751624018521</v>
      </c>
      <c r="E33" s="228">
        <f>100*((C33/$C$21)-1)</f>
        <v>33.643973239493839</v>
      </c>
      <c r="F33" s="229">
        <f t="shared" si="2"/>
        <v>33.643973239493839</v>
      </c>
      <c r="G33" s="230">
        <f>+$C$301/C33</f>
        <v>4.8754683444869489</v>
      </c>
    </row>
    <row r="34" spans="1:7" ht="18" hidden="1" customHeight="1" x14ac:dyDescent="0.3">
      <c r="A34" s="225">
        <v>2003</v>
      </c>
      <c r="B34" s="267" t="s">
        <v>13</v>
      </c>
      <c r="C34" s="227">
        <f t="shared" si="0"/>
        <v>154.91154170176921</v>
      </c>
      <c r="D34" s="228">
        <v>2.5529915598835995</v>
      </c>
      <c r="E34" s="228">
        <f t="shared" ref="E34:E45" si="4">100*((C34/$C$33)-1)</f>
        <v>2.5529915598835995</v>
      </c>
      <c r="F34" s="229">
        <f t="shared" si="2"/>
        <v>36.860528583092346</v>
      </c>
      <c r="G34" s="230">
        <f>+$C$301/C34</f>
        <v>4.7540966580580193</v>
      </c>
    </row>
    <row r="35" spans="1:7" ht="18" hidden="1" customHeight="1" x14ac:dyDescent="0.3">
      <c r="A35" s="225">
        <v>2003</v>
      </c>
      <c r="B35" s="267" t="s">
        <v>14</v>
      </c>
      <c r="C35" s="227">
        <f t="shared" si="0"/>
        <v>158.99568558372269</v>
      </c>
      <c r="D35" s="228">
        <v>2.6364361474215725</v>
      </c>
      <c r="E35" s="228">
        <f t="shared" si="4"/>
        <v>5.2567356996305659</v>
      </c>
      <c r="F35" s="229">
        <f t="shared" si="2"/>
        <v>40.596880149897238</v>
      </c>
      <c r="G35" s="230">
        <f>+$C$301/C35</f>
        <v>4.6319775281650326</v>
      </c>
    </row>
    <row r="36" spans="1:7" ht="18" hidden="1" customHeight="1" x14ac:dyDescent="0.3">
      <c r="A36" s="225">
        <v>2003</v>
      </c>
      <c r="B36" s="267" t="s">
        <v>15</v>
      </c>
      <c r="C36" s="227">
        <f t="shared" si="0"/>
        <v>161.73342523805877</v>
      </c>
      <c r="D36" s="228">
        <v>1.7218955623135246</v>
      </c>
      <c r="E36" s="228">
        <f t="shared" si="4"/>
        <v>7.0691467606785574</v>
      </c>
      <c r="F36" s="229">
        <f t="shared" si="2"/>
        <v>43.216971023207606</v>
      </c>
      <c r="G36" s="230">
        <f>+$C$301/C36</f>
        <v>4.5535698116513599</v>
      </c>
    </row>
    <row r="37" spans="1:7" ht="18" hidden="1" customHeight="1" x14ac:dyDescent="0.3">
      <c r="A37" s="225">
        <v>2003</v>
      </c>
      <c r="B37" s="267" t="s">
        <v>16</v>
      </c>
      <c r="C37" s="227">
        <f t="shared" si="0"/>
        <v>163.03132419391898</v>
      </c>
      <c r="D37" s="228">
        <v>0.80249271537395916</v>
      </c>
      <c r="E37" s="228">
        <f t="shared" si="4"/>
        <v>7.9283688638460692</v>
      </c>
      <c r="F37" s="229">
        <f t="shared" si="2"/>
        <v>43.624701442521726</v>
      </c>
      <c r="G37" s="230">
        <f>+$C$301/C37</f>
        <v>4.5173186584867748</v>
      </c>
    </row>
    <row r="38" spans="1:7" ht="18" hidden="1" customHeight="1" x14ac:dyDescent="0.3">
      <c r="A38" s="225">
        <v>2003</v>
      </c>
      <c r="B38" s="267" t="s">
        <v>17</v>
      </c>
      <c r="C38" s="227">
        <f t="shared" si="0"/>
        <v>161.21569528477701</v>
      </c>
      <c r="D38" s="228">
        <v>-1.1136687493149111</v>
      </c>
      <c r="E38" s="228">
        <f t="shared" si="4"/>
        <v>6.7264043481640723</v>
      </c>
      <c r="F38" s="229">
        <f t="shared" si="2"/>
        <v>40.883901481349213</v>
      </c>
      <c r="G38" s="230">
        <f>+$C$301/C38</f>
        <v>4.5681931985473261</v>
      </c>
    </row>
    <row r="39" spans="1:7" ht="18" hidden="1" customHeight="1" x14ac:dyDescent="0.3">
      <c r="A39" s="225">
        <v>2003</v>
      </c>
      <c r="B39" s="267" t="s">
        <v>18</v>
      </c>
      <c r="C39" s="227">
        <f t="shared" si="0"/>
        <v>158.52033392050242</v>
      </c>
      <c r="D39" s="228">
        <v>-1.6718976148776377</v>
      </c>
      <c r="E39" s="228">
        <f t="shared" si="4"/>
        <v>4.9420481394224502</v>
      </c>
      <c r="F39" s="229">
        <f t="shared" si="2"/>
        <v>35.403764631997589</v>
      </c>
      <c r="G39" s="230">
        <f>+$C$301/C39</f>
        <v>4.6458673438596954</v>
      </c>
    </row>
    <row r="40" spans="1:7" ht="18" hidden="1" customHeight="1" x14ac:dyDescent="0.3">
      <c r="A40" s="225">
        <v>2003</v>
      </c>
      <c r="B40" s="267" t="s">
        <v>19</v>
      </c>
      <c r="C40" s="227">
        <f t="shared" si="0"/>
        <v>157.33118888973985</v>
      </c>
      <c r="D40" s="228">
        <v>-0.75015299384804113</v>
      </c>
      <c r="E40" s="228">
        <f t="shared" si="4"/>
        <v>4.1548222234991217</v>
      </c>
      <c r="F40" s="229">
        <f t="shared" si="2"/>
        <v>30.912142068145076</v>
      </c>
      <c r="G40" s="230">
        <f>+$C$301/C40</f>
        <v>4.6809818694951977</v>
      </c>
    </row>
    <row r="41" spans="1:7" ht="18" hidden="1" customHeight="1" x14ac:dyDescent="0.3">
      <c r="A41" s="225">
        <v>2003</v>
      </c>
      <c r="B41" s="267" t="s">
        <v>20</v>
      </c>
      <c r="C41" s="227">
        <f t="shared" si="0"/>
        <v>157.64315437440962</v>
      </c>
      <c r="D41" s="228">
        <v>0.19828584965972951</v>
      </c>
      <c r="E41" s="228">
        <f t="shared" si="4"/>
        <v>4.3613464977065641</v>
      </c>
      <c r="F41" s="229">
        <f t="shared" si="2"/>
        <v>27.102896074758618</v>
      </c>
      <c r="G41" s="230">
        <f>+$C$301/C41</f>
        <v>4.6717185127484839</v>
      </c>
    </row>
    <row r="42" spans="1:7" ht="18" hidden="1" customHeight="1" x14ac:dyDescent="0.3">
      <c r="A42" s="225">
        <v>2003</v>
      </c>
      <c r="B42" s="267" t="s">
        <v>21</v>
      </c>
      <c r="C42" s="227">
        <f t="shared" si="0"/>
        <v>160.07301319853971</v>
      </c>
      <c r="D42" s="228">
        <v>1.541366533658084</v>
      </c>
      <c r="E42" s="228">
        <f t="shared" si="4"/>
        <v>5.9699373666971534</v>
      </c>
      <c r="F42" s="229">
        <f t="shared" si="2"/>
        <v>24.778014367873212</v>
      </c>
      <c r="G42" s="230">
        <f>+$C$301/C42</f>
        <v>4.6008032708521229</v>
      </c>
    </row>
    <row r="43" spans="1:7" ht="18" hidden="1" customHeight="1" x14ac:dyDescent="0.3">
      <c r="A43" s="225">
        <v>2003</v>
      </c>
      <c r="B43" s="267" t="s">
        <v>22</v>
      </c>
      <c r="C43" s="227">
        <f t="shared" si="0"/>
        <v>160.65252355058584</v>
      </c>
      <c r="D43" s="228">
        <v>0.36202876454094479</v>
      </c>
      <c r="E43" s="228">
        <f t="shared" si="4"/>
        <v>6.3535790217306154</v>
      </c>
      <c r="F43" s="229">
        <f t="shared" si="2"/>
        <v>18.562982557285057</v>
      </c>
      <c r="G43" s="230">
        <f>+$C$301/C43</f>
        <v>4.5842071224427459</v>
      </c>
    </row>
    <row r="44" spans="1:7" ht="18" hidden="1" customHeight="1" x14ac:dyDescent="0.3">
      <c r="A44" s="225">
        <v>2003</v>
      </c>
      <c r="B44" s="267" t="s">
        <v>23</v>
      </c>
      <c r="C44" s="227">
        <f t="shared" si="0"/>
        <v>161.57361313216404</v>
      </c>
      <c r="D44" s="228">
        <v>0.57334274073084224</v>
      </c>
      <c r="E44" s="228">
        <f t="shared" si="4"/>
        <v>6.9633495465591499</v>
      </c>
      <c r="F44" s="229">
        <f t="shared" si="2"/>
        <v>11.721883296616298</v>
      </c>
      <c r="G44" s="230">
        <f>+$C$301/C44</f>
        <v>4.5580737375513358</v>
      </c>
    </row>
    <row r="45" spans="1:7" ht="18" hidden="1" customHeight="1" x14ac:dyDescent="0.3">
      <c r="A45" s="225">
        <v>2003</v>
      </c>
      <c r="B45" s="267" t="s">
        <v>12</v>
      </c>
      <c r="C45" s="227">
        <f t="shared" si="0"/>
        <v>162.60754129330368</v>
      </c>
      <c r="D45" s="228">
        <v>0.63991151840734339</v>
      </c>
      <c r="E45" s="228">
        <f t="shared" si="4"/>
        <v>7.6478203407819079</v>
      </c>
      <c r="F45" s="229">
        <f t="shared" si="2"/>
        <v>7.6478203407819079</v>
      </c>
      <c r="G45" s="230">
        <f>+$C$301/C45</f>
        <v>4.5290915589861687</v>
      </c>
    </row>
    <row r="46" spans="1:7" ht="18" hidden="1" customHeight="1" x14ac:dyDescent="0.3">
      <c r="A46" s="225">
        <v>2004</v>
      </c>
      <c r="B46" s="267" t="s">
        <v>13</v>
      </c>
      <c r="C46" s="227">
        <f>+C45*(1+D46/100)</f>
        <v>164.19800362513078</v>
      </c>
      <c r="D46" s="228">
        <v>0.97809875186434247</v>
      </c>
      <c r="E46" s="228">
        <f t="shared" ref="E46:E57" si="5">100*((C46/$C$45)-1)</f>
        <v>0.97809875186434247</v>
      </c>
      <c r="F46" s="229">
        <f t="shared" si="2"/>
        <v>5.9946869170275141</v>
      </c>
      <c r="G46" s="230">
        <f>+$C$301/C46</f>
        <v>4.4852216618928455</v>
      </c>
    </row>
    <row r="47" spans="1:7" ht="18" hidden="1" customHeight="1" x14ac:dyDescent="0.3">
      <c r="A47" s="225">
        <v>2004</v>
      </c>
      <c r="B47" s="267" t="s">
        <v>14</v>
      </c>
      <c r="C47" s="227">
        <f t="shared" ref="C47:C110" si="6">+C46*(1+D47/100)</f>
        <v>165.4938602537591</v>
      </c>
      <c r="D47" s="228">
        <v>0.78920364439192259</v>
      </c>
      <c r="E47" s="228">
        <f t="shared" si="5"/>
        <v>1.775021587251735</v>
      </c>
      <c r="F47" s="229">
        <f t="shared" si="2"/>
        <v>4.0870132080500055</v>
      </c>
      <c r="G47" s="230">
        <f>+$C$301/C47</f>
        <v>4.4501013002521237</v>
      </c>
    </row>
    <row r="48" spans="1:7" ht="18" hidden="1" customHeight="1" x14ac:dyDescent="0.3">
      <c r="A48" s="225">
        <v>2004</v>
      </c>
      <c r="B48" s="267" t="s">
        <v>15</v>
      </c>
      <c r="C48" s="227">
        <f t="shared" si="6"/>
        <v>167.69599959153447</v>
      </c>
      <c r="D48" s="228">
        <v>1.3306471517425145</v>
      </c>
      <c r="E48" s="228">
        <f t="shared" si="5"/>
        <v>3.1292880131878142</v>
      </c>
      <c r="F48" s="229">
        <f t="shared" si="2"/>
        <v>3.6866679504865996</v>
      </c>
      <c r="G48" s="230">
        <f>+$C$301/C48</f>
        <v>4.3916637516269903</v>
      </c>
    </row>
    <row r="49" spans="1:7" ht="18" hidden="1" customHeight="1" x14ac:dyDescent="0.3">
      <c r="A49" s="225">
        <v>2004</v>
      </c>
      <c r="B49" s="267" t="s">
        <v>16</v>
      </c>
      <c r="C49" s="227">
        <f t="shared" si="6"/>
        <v>170.46845880881256</v>
      </c>
      <c r="D49" s="228">
        <v>1.6532649699641633</v>
      </c>
      <c r="E49" s="228">
        <f t="shared" si="5"/>
        <v>4.8342884056832958</v>
      </c>
      <c r="F49" s="229">
        <f t="shared" si="2"/>
        <v>4.561782621631294</v>
      </c>
      <c r="G49" s="230">
        <f>+$C$301/C49</f>
        <v>4.3202387576283066</v>
      </c>
    </row>
    <row r="50" spans="1:7" ht="18" hidden="1" customHeight="1" x14ac:dyDescent="0.3">
      <c r="A50" s="225">
        <v>2004</v>
      </c>
      <c r="B50" s="267" t="s">
        <v>17</v>
      </c>
      <c r="C50" s="227">
        <f t="shared" si="6"/>
        <v>173.06425672053297</v>
      </c>
      <c r="D50" s="228">
        <v>1.5227438142276561</v>
      </c>
      <c r="E50" s="228">
        <f t="shared" si="5"/>
        <v>6.4306460475704208</v>
      </c>
      <c r="F50" s="229">
        <f t="shared" si="2"/>
        <v>7.3495086286891942</v>
      </c>
      <c r="G50" s="230">
        <f>+$C$301/C50</f>
        <v>4.2554393186355721</v>
      </c>
    </row>
    <row r="51" spans="1:7" ht="18" hidden="1" customHeight="1" x14ac:dyDescent="0.3">
      <c r="A51" s="225">
        <v>2004</v>
      </c>
      <c r="B51" s="267" t="s">
        <v>18</v>
      </c>
      <c r="C51" s="227">
        <f t="shared" si="6"/>
        <v>176.05677669704619</v>
      </c>
      <c r="D51" s="228">
        <v>1.7291380861766292</v>
      </c>
      <c r="E51" s="228">
        <f t="shared" si="5"/>
        <v>8.2709788837427958</v>
      </c>
      <c r="F51" s="229">
        <f t="shared" si="2"/>
        <v>11.062582536154796</v>
      </c>
      <c r="G51" s="230">
        <f>+$C$301/C51</f>
        <v>4.1831076117353039</v>
      </c>
    </row>
    <row r="52" spans="1:7" ht="18" hidden="1" customHeight="1" x14ac:dyDescent="0.3">
      <c r="A52" s="225">
        <v>2004</v>
      </c>
      <c r="B52" s="267" t="s">
        <v>19</v>
      </c>
      <c r="C52" s="227">
        <f t="shared" si="6"/>
        <v>178.83434173240397</v>
      </c>
      <c r="D52" s="228">
        <v>1.5776530091411001</v>
      </c>
      <c r="E52" s="228">
        <f t="shared" si="5"/>
        <v>9.9791192401287088</v>
      </c>
      <c r="F52" s="229">
        <f t="shared" si="2"/>
        <v>13.667444449131994</v>
      </c>
      <c r="G52" s="230">
        <f>+$C$301/C52</f>
        <v>4.1181376885709895</v>
      </c>
    </row>
    <row r="53" spans="1:7" ht="18" hidden="1" customHeight="1" x14ac:dyDescent="0.3">
      <c r="A53" s="225">
        <v>2004</v>
      </c>
      <c r="B53" s="267" t="s">
        <v>20</v>
      </c>
      <c r="C53" s="227">
        <f t="shared" si="6"/>
        <v>181.37244389982374</v>
      </c>
      <c r="D53" s="228">
        <v>1.4192476360147976</v>
      </c>
      <c r="E53" s="228">
        <f t="shared" si="5"/>
        <v>11.539995290054117</v>
      </c>
      <c r="F53" s="229">
        <f t="shared" si="2"/>
        <v>15.052534072653723</v>
      </c>
      <c r="G53" s="230">
        <f>+$C$301/C53</f>
        <v>4.0605090104302901</v>
      </c>
    </row>
    <row r="54" spans="1:7" ht="18" hidden="1" customHeight="1" x14ac:dyDescent="0.3">
      <c r="A54" s="225">
        <v>2004</v>
      </c>
      <c r="B54" s="267" t="s">
        <v>21</v>
      </c>
      <c r="C54" s="227">
        <f t="shared" si="6"/>
        <v>183.00630568532836</v>
      </c>
      <c r="D54" s="228">
        <v>0.90083242546317166</v>
      </c>
      <c r="E54" s="228">
        <f t="shared" si="5"/>
        <v>12.544783734987019</v>
      </c>
      <c r="F54" s="229">
        <f t="shared" si="2"/>
        <v>14.32677003358731</v>
      </c>
      <c r="G54" s="230">
        <f>+$C$301/C54</f>
        <v>4.0242571967182164</v>
      </c>
    </row>
    <row r="55" spans="1:7" ht="18" hidden="1" customHeight="1" x14ac:dyDescent="0.3">
      <c r="A55" s="225">
        <v>2004</v>
      </c>
      <c r="B55" s="267" t="s">
        <v>22</v>
      </c>
      <c r="C55" s="227">
        <f t="shared" si="6"/>
        <v>183.8150672691531</v>
      </c>
      <c r="D55" s="228">
        <v>0.44193099292184623</v>
      </c>
      <c r="E55" s="228">
        <f t="shared" si="5"/>
        <v>13.042154015228791</v>
      </c>
      <c r="F55" s="229">
        <f t="shared" si="2"/>
        <v>14.417790151471799</v>
      </c>
      <c r="G55" s="230">
        <f>+$C$301/C55</f>
        <v>4.0065510060751492</v>
      </c>
    </row>
    <row r="56" spans="1:7" ht="18" hidden="1" customHeight="1" x14ac:dyDescent="0.3">
      <c r="A56" s="225">
        <v>2004</v>
      </c>
      <c r="B56" s="267" t="s">
        <v>23</v>
      </c>
      <c r="C56" s="227">
        <f t="shared" si="6"/>
        <v>185.63937606903056</v>
      </c>
      <c r="D56" s="228">
        <v>0.9924696745377215</v>
      </c>
      <c r="E56" s="228">
        <f t="shared" si="5"/>
        <v>14.16406311327416</v>
      </c>
      <c r="F56" s="229">
        <f t="shared" si="2"/>
        <v>14.894612103017835</v>
      </c>
      <c r="G56" s="230">
        <f>+$C$301/C56</f>
        <v>3.9671779678096959</v>
      </c>
    </row>
    <row r="57" spans="1:7" ht="18" hidden="1" customHeight="1" x14ac:dyDescent="0.3">
      <c r="A57" s="225">
        <v>2004</v>
      </c>
      <c r="B57" s="267" t="s">
        <v>12</v>
      </c>
      <c r="C57" s="227">
        <f t="shared" si="6"/>
        <v>187.14508182073465</v>
      </c>
      <c r="D57" s="228">
        <v>0.81109179721881031</v>
      </c>
      <c r="E57" s="228">
        <f t="shared" si="5"/>
        <v>15.090038464557631</v>
      </c>
      <c r="F57" s="229">
        <f t="shared" si="2"/>
        <v>15.090038464557631</v>
      </c>
      <c r="G57" s="230">
        <f>+$C$301/C57</f>
        <v>3.9352594016040037</v>
      </c>
    </row>
    <row r="58" spans="1:7" ht="18" hidden="1" customHeight="1" x14ac:dyDescent="0.3">
      <c r="A58" s="225">
        <v>2005</v>
      </c>
      <c r="B58" s="267" t="s">
        <v>13</v>
      </c>
      <c r="C58" s="227">
        <f t="shared" si="6"/>
        <v>187.51474304970506</v>
      </c>
      <c r="D58" s="228">
        <v>0.19752655286153775</v>
      </c>
      <c r="E58" s="228">
        <f t="shared" ref="E58:E69" si="7">100*((C58/$C$57)-1)</f>
        <v>0.19752655286153775</v>
      </c>
      <c r="F58" s="229">
        <f t="shared" si="2"/>
        <v>14.200379365030003</v>
      </c>
      <c r="G58" s="230">
        <f>+$C$301/C58</f>
        <v>3.9275015431921525</v>
      </c>
    </row>
    <row r="59" spans="1:7" ht="18" hidden="1" customHeight="1" x14ac:dyDescent="0.3">
      <c r="A59" s="225">
        <v>2005</v>
      </c>
      <c r="B59" s="267" t="s">
        <v>14</v>
      </c>
      <c r="C59" s="227">
        <f t="shared" si="6"/>
        <v>187.89461591483484</v>
      </c>
      <c r="D59" s="228">
        <v>0.20258293238792913</v>
      </c>
      <c r="E59" s="228">
        <f t="shared" si="7"/>
        <v>0.40050964033251368</v>
      </c>
      <c r="F59" s="229">
        <f t="shared" si="2"/>
        <v>13.535701944910628</v>
      </c>
      <c r="G59" s="230">
        <f>+$C$301/C59</f>
        <v>3.919561181214509</v>
      </c>
    </row>
    <row r="60" spans="1:7" ht="18" hidden="1" customHeight="1" x14ac:dyDescent="0.3">
      <c r="A60" s="225">
        <v>2005</v>
      </c>
      <c r="B60" s="267" t="s">
        <v>15</v>
      </c>
      <c r="C60" s="227">
        <f t="shared" si="6"/>
        <v>189.6607183886037</v>
      </c>
      <c r="D60" s="228">
        <v>0.93994309798071107</v>
      </c>
      <c r="E60" s="228">
        <f t="shared" si="7"/>
        <v>1.3442173010342673</v>
      </c>
      <c r="F60" s="229">
        <f t="shared" si="2"/>
        <v>13.097938442520874</v>
      </c>
      <c r="G60" s="230">
        <f>+$C$301/C60</f>
        <v>3.8830626022939767</v>
      </c>
    </row>
    <row r="61" spans="1:7" ht="18" hidden="1" customHeight="1" x14ac:dyDescent="0.3">
      <c r="A61" s="225">
        <v>2005</v>
      </c>
      <c r="B61" s="267" t="s">
        <v>16</v>
      </c>
      <c r="C61" s="227">
        <f t="shared" si="6"/>
        <v>191.4727732250899</v>
      </c>
      <c r="D61" s="228">
        <v>0.95541915684058676</v>
      </c>
      <c r="E61" s="228">
        <f t="shared" si="7"/>
        <v>2.3124793674784927</v>
      </c>
      <c r="F61" s="229">
        <f t="shared" si="2"/>
        <v>12.32152537956277</v>
      </c>
      <c r="G61" s="230">
        <f>+$C$301/C61</f>
        <v>3.8463141797880063</v>
      </c>
    </row>
    <row r="62" spans="1:7" ht="18" hidden="1" customHeight="1" x14ac:dyDescent="0.3">
      <c r="A62" s="225">
        <v>2005</v>
      </c>
      <c r="B62" s="267" t="s">
        <v>17</v>
      </c>
      <c r="C62" s="227">
        <f t="shared" si="6"/>
        <v>189.99055423655244</v>
      </c>
      <c r="D62" s="228">
        <v>-0.77411475457922485</v>
      </c>
      <c r="E62" s="228">
        <f t="shared" si="7"/>
        <v>1.5204633689190228</v>
      </c>
      <c r="F62" s="229">
        <f t="shared" si="2"/>
        <v>9.7803543243203173</v>
      </c>
      <c r="G62" s="230">
        <f>+$C$301/C62</f>
        <v>3.8763213553345568</v>
      </c>
    </row>
    <row r="63" spans="1:7" ht="18" hidden="1" customHeight="1" x14ac:dyDescent="0.3">
      <c r="A63" s="225">
        <v>2005</v>
      </c>
      <c r="B63" s="267" t="s">
        <v>18</v>
      </c>
      <c r="C63" s="227">
        <f t="shared" si="6"/>
        <v>188.08608409282365</v>
      </c>
      <c r="D63" s="228">
        <v>-1.002402541211378</v>
      </c>
      <c r="E63" s="228">
        <f t="shared" si="7"/>
        <v>0.50281966425940183</v>
      </c>
      <c r="F63" s="229">
        <f t="shared" si="2"/>
        <v>6.8326295763537548</v>
      </c>
      <c r="G63" s="230">
        <f>+$C$301/C63</f>
        <v>3.9155711399442978</v>
      </c>
    </row>
    <row r="64" spans="1:7" ht="18" hidden="1" customHeight="1" x14ac:dyDescent="0.3">
      <c r="A64" s="225">
        <v>2005</v>
      </c>
      <c r="B64" s="267" t="s">
        <v>19</v>
      </c>
      <c r="C64" s="227">
        <f t="shared" si="6"/>
        <v>186.85660309923148</v>
      </c>
      <c r="D64" s="228">
        <v>-0.65367993571784355</v>
      </c>
      <c r="E64" s="228">
        <f t="shared" si="7"/>
        <v>-0.15414710271653975</v>
      </c>
      <c r="F64" s="229">
        <f t="shared" si="2"/>
        <v>4.4858617696770464</v>
      </c>
      <c r="G64" s="230">
        <f>+$C$301/C64</f>
        <v>3.9413348550914846</v>
      </c>
    </row>
    <row r="65" spans="1:7" ht="18" hidden="1" customHeight="1" x14ac:dyDescent="0.3">
      <c r="A65" s="225">
        <v>2005</v>
      </c>
      <c r="B65" s="267" t="s">
        <v>20</v>
      </c>
      <c r="C65" s="227">
        <f t="shared" si="6"/>
        <v>185.20793444129575</v>
      </c>
      <c r="D65" s="228">
        <v>-0.88231757967910385</v>
      </c>
      <c r="E65" s="228">
        <f t="shared" si="7"/>
        <v>-1.0351046154098098</v>
      </c>
      <c r="F65" s="229">
        <f t="shared" si="2"/>
        <v>2.1147041187747684</v>
      </c>
      <c r="G65" s="230">
        <f>+$C$301/C65</f>
        <v>3.9764195034118761</v>
      </c>
    </row>
    <row r="66" spans="1:7" ht="18" hidden="1" customHeight="1" x14ac:dyDescent="0.3">
      <c r="A66" s="225">
        <v>2005</v>
      </c>
      <c r="B66" s="267" t="s">
        <v>21</v>
      </c>
      <c r="C66" s="227">
        <f t="shared" si="6"/>
        <v>183.79260166960242</v>
      </c>
      <c r="D66" s="228">
        <v>-0.76418581955620679</v>
      </c>
      <c r="E66" s="228">
        <f t="shared" si="7"/>
        <v>-1.7913803122774796</v>
      </c>
      <c r="F66" s="229">
        <f t="shared" si="2"/>
        <v>0.42965513200734495</v>
      </c>
      <c r="G66" s="230">
        <f>+$C$301/C66</f>
        <v>4.0070407405348831</v>
      </c>
    </row>
    <row r="67" spans="1:7" ht="18" hidden="1" customHeight="1" x14ac:dyDescent="0.3">
      <c r="A67" s="225">
        <v>2005</v>
      </c>
      <c r="B67" s="267" t="s">
        <v>22</v>
      </c>
      <c r="C67" s="227">
        <f t="shared" si="6"/>
        <v>185.11960378851691</v>
      </c>
      <c r="D67" s="228">
        <v>0.72201062875207889</v>
      </c>
      <c r="E67" s="228">
        <f t="shared" si="7"/>
        <v>-1.0823036397814234</v>
      </c>
      <c r="F67" s="229">
        <f t="shared" si="2"/>
        <v>0.70970053692802626</v>
      </c>
      <c r="G67" s="230">
        <f>+$C$301/C67</f>
        <v>3.9783168698888494</v>
      </c>
    </row>
    <row r="68" spans="1:7" ht="18" hidden="1" customHeight="1" x14ac:dyDescent="0.3">
      <c r="A68" s="225">
        <v>2005</v>
      </c>
      <c r="B68" s="267" t="s">
        <v>23</v>
      </c>
      <c r="C68" s="227">
        <f t="shared" si="6"/>
        <v>185.8527992647621</v>
      </c>
      <c r="D68" s="228">
        <v>0.39606581974040989</v>
      </c>
      <c r="E68" s="228">
        <f t="shared" si="7"/>
        <v>-0.69052445482399305</v>
      </c>
      <c r="F68" s="229">
        <f t="shared" si="2"/>
        <v>0.11496655518394849</v>
      </c>
      <c r="G68" s="230">
        <f>+$C$301/C68</f>
        <v>3.962622277482323</v>
      </c>
    </row>
    <row r="69" spans="1:7" ht="18" hidden="1" customHeight="1" x14ac:dyDescent="0.3">
      <c r="A69" s="225">
        <v>2005</v>
      </c>
      <c r="B69" s="267" t="s">
        <v>12</v>
      </c>
      <c r="C69" s="227">
        <f t="shared" si="6"/>
        <v>185.35549258379916</v>
      </c>
      <c r="D69" s="228">
        <v>-0.26758094735742644</v>
      </c>
      <c r="E69" s="228">
        <f t="shared" si="7"/>
        <v>-0.95625769030346364</v>
      </c>
      <c r="F69" s="229">
        <f t="shared" si="2"/>
        <v>-0.95625769030346364</v>
      </c>
      <c r="G69" s="230">
        <f>+$C$301/C69</f>
        <v>3.9732539480373972</v>
      </c>
    </row>
    <row r="70" spans="1:7" ht="18" hidden="1" customHeight="1" x14ac:dyDescent="0.3">
      <c r="A70" s="225">
        <v>2006</v>
      </c>
      <c r="B70" s="267" t="s">
        <v>27</v>
      </c>
      <c r="C70" s="227">
        <f t="shared" si="6"/>
        <v>187.40343621556752</v>
      </c>
      <c r="D70" s="228">
        <v>1.1048734532873361</v>
      </c>
      <c r="E70" s="228">
        <f t="shared" ref="E70:E81" si="8">100*((C70/$C$69)-1)</f>
        <v>1.1048734532873361</v>
      </c>
      <c r="F70" s="229">
        <f t="shared" si="2"/>
        <v>-5.9358977500789667E-2</v>
      </c>
      <c r="G70" s="230">
        <f>+$C$301/C70</f>
        <v>3.9298342526219847</v>
      </c>
    </row>
    <row r="71" spans="1:7" ht="18" hidden="1" customHeight="1" x14ac:dyDescent="0.3">
      <c r="A71" s="225">
        <v>2006</v>
      </c>
      <c r="B71" s="267" t="s">
        <v>28</v>
      </c>
      <c r="C71" s="227">
        <f t="shared" si="6"/>
        <v>187.28344949069452</v>
      </c>
      <c r="D71" s="228">
        <v>-6.4025893706121106E-2</v>
      </c>
      <c r="E71" s="228">
        <f t="shared" si="8"/>
        <v>1.0401401544784195</v>
      </c>
      <c r="F71" s="229">
        <f t="shared" si="2"/>
        <v>-0.32527085524224342</v>
      </c>
      <c r="G71" s="230">
        <f>+$C$301/C71</f>
        <v>3.9323519761183645</v>
      </c>
    </row>
    <row r="72" spans="1:7" ht="18" hidden="1" customHeight="1" x14ac:dyDescent="0.3">
      <c r="A72" s="225">
        <v>2006</v>
      </c>
      <c r="B72" s="267" t="s">
        <v>29</v>
      </c>
      <c r="C72" s="227">
        <f t="shared" si="6"/>
        <v>186.3919736539786</v>
      </c>
      <c r="D72" s="228">
        <v>-0.47600353322210243</v>
      </c>
      <c r="E72" s="228">
        <f t="shared" si="8"/>
        <v>0.55918551737055289</v>
      </c>
      <c r="F72" s="229">
        <f t="shared" si="2"/>
        <v>-1.7234695525763177</v>
      </c>
      <c r="G72" s="230">
        <f>+$C$301/C72</f>
        <v>3.951159635587004</v>
      </c>
    </row>
    <row r="73" spans="1:7" ht="18" hidden="1" customHeight="1" x14ac:dyDescent="0.3">
      <c r="A73" s="225">
        <v>2006</v>
      </c>
      <c r="B73" s="267" t="s">
        <v>30</v>
      </c>
      <c r="C73" s="227">
        <f t="shared" si="6"/>
        <v>184.96591866431788</v>
      </c>
      <c r="D73" s="228">
        <v>-0.76508390447544983</v>
      </c>
      <c r="E73" s="228">
        <f t="shared" si="8"/>
        <v>-0.21017662549447369</v>
      </c>
      <c r="F73" s="229">
        <f t="shared" si="2"/>
        <v>-3.3983184403574396</v>
      </c>
      <c r="G73" s="230">
        <f>+$C$301/C73</f>
        <v>3.9816223876116119</v>
      </c>
    </row>
    <row r="74" spans="1:7" ht="18" hidden="1" customHeight="1" x14ac:dyDescent="0.3">
      <c r="A74" s="225">
        <v>2006</v>
      </c>
      <c r="B74" s="267" t="s">
        <v>31</v>
      </c>
      <c r="C74" s="227">
        <f t="shared" si="6"/>
        <v>185.76344744836732</v>
      </c>
      <c r="D74" s="228">
        <v>0.4311760727644165</v>
      </c>
      <c r="E74" s="228">
        <f t="shared" si="8"/>
        <v>0.22009321595026776</v>
      </c>
      <c r="F74" s="229">
        <f t="shared" si="2"/>
        <v>-2.2249036564849778</v>
      </c>
      <c r="G74" s="230">
        <f>+$C$301/C74</f>
        <v>3.96452829022618</v>
      </c>
    </row>
    <row r="75" spans="1:7" ht="18" hidden="1" customHeight="1" x14ac:dyDescent="0.3">
      <c r="A75" s="225">
        <v>2006</v>
      </c>
      <c r="B75" s="267" t="s">
        <v>32</v>
      </c>
      <c r="C75" s="227">
        <f t="shared" si="6"/>
        <v>187.81853922544727</v>
      </c>
      <c r="D75" s="228">
        <v>1.1062950248332148</v>
      </c>
      <c r="E75" s="228">
        <f t="shared" si="8"/>
        <v>1.3288231210815349</v>
      </c>
      <c r="F75" s="229">
        <f t="shared" si="2"/>
        <v>-0.14224596607814721</v>
      </c>
      <c r="G75" s="230">
        <f>+$C$301/C75</f>
        <v>3.9211488159589201</v>
      </c>
    </row>
    <row r="76" spans="1:7" ht="18" hidden="1" customHeight="1" x14ac:dyDescent="0.3">
      <c r="A76" s="225">
        <v>2006</v>
      </c>
      <c r="B76" s="267" t="s">
        <v>33</v>
      </c>
      <c r="C76" s="227">
        <f t="shared" si="6"/>
        <v>188.21985652651185</v>
      </c>
      <c r="D76" s="228">
        <v>0.21367289018410229</v>
      </c>
      <c r="E76" s="228">
        <f t="shared" si="8"/>
        <v>1.5453353460338937</v>
      </c>
      <c r="F76" s="229">
        <f t="shared" si="2"/>
        <v>0.72957198443579507</v>
      </c>
      <c r="G76" s="230">
        <f>+$C$301/C76</f>
        <v>3.9127882482221596</v>
      </c>
    </row>
    <row r="77" spans="1:7" ht="18" hidden="1" customHeight="1" x14ac:dyDescent="0.3">
      <c r="A77" s="225">
        <v>2006</v>
      </c>
      <c r="B77" s="267" t="s">
        <v>34</v>
      </c>
      <c r="C77" s="227">
        <f t="shared" si="6"/>
        <v>189.0944831635648</v>
      </c>
      <c r="D77" s="228">
        <v>0.46468351065274138</v>
      </c>
      <c r="E77" s="228">
        <f t="shared" si="8"/>
        <v>2.0171997752239434</v>
      </c>
      <c r="F77" s="229">
        <f t="shared" si="2"/>
        <v>2.0984785203686629</v>
      </c>
      <c r="G77" s="230">
        <f>+$C$301/C77</f>
        <v>3.8946902647707722</v>
      </c>
    </row>
    <row r="78" spans="1:7" ht="18" hidden="1" customHeight="1" x14ac:dyDescent="0.3">
      <c r="A78" s="225">
        <v>2006</v>
      </c>
      <c r="B78" s="267" t="s">
        <v>36</v>
      </c>
      <c r="C78" s="227">
        <f t="shared" si="6"/>
        <v>189.78223685890063</v>
      </c>
      <c r="D78" s="228">
        <v>0.36370902198183952</v>
      </c>
      <c r="E78" s="228">
        <f t="shared" si="8"/>
        <v>2.388245534779676</v>
      </c>
      <c r="F78" s="229">
        <f t="shared" si="2"/>
        <v>3.2589098445135356</v>
      </c>
      <c r="G78" s="230">
        <f>+$C$301/C78</f>
        <v>3.8805762588125852</v>
      </c>
    </row>
    <row r="79" spans="1:7" ht="18" hidden="1" customHeight="1" x14ac:dyDescent="0.3">
      <c r="A79" s="225">
        <v>2006</v>
      </c>
      <c r="B79" s="267" t="s">
        <v>35</v>
      </c>
      <c r="C79" s="227">
        <f t="shared" si="6"/>
        <v>191.01069668887689</v>
      </c>
      <c r="D79" s="228">
        <v>0.64729968953289863</v>
      </c>
      <c r="E79" s="228">
        <f t="shared" si="8"/>
        <v>3.0510043302445</v>
      </c>
      <c r="F79" s="229">
        <f t="shared" si="2"/>
        <v>3.1823171505326098</v>
      </c>
      <c r="G79" s="230">
        <f>+$C$301/C79</f>
        <v>3.855618849967176</v>
      </c>
    </row>
    <row r="80" spans="1:7" ht="18" hidden="1" customHeight="1" x14ac:dyDescent="0.3">
      <c r="A80" s="225">
        <v>2006</v>
      </c>
      <c r="B80" s="267" t="s">
        <v>23</v>
      </c>
      <c r="C80" s="227">
        <f t="shared" si="6"/>
        <v>192.95346046820345</v>
      </c>
      <c r="D80" s="228">
        <v>1.0170968500737843</v>
      </c>
      <c r="E80" s="228">
        <f t="shared" si="8"/>
        <v>4.0991328492568035</v>
      </c>
      <c r="F80" s="229">
        <f t="shared" si="2"/>
        <v>3.8205834033879116</v>
      </c>
      <c r="G80" s="230">
        <f>+$C$301/C80</f>
        <v>3.8167983145363573</v>
      </c>
    </row>
    <row r="81" spans="1:7" ht="18" hidden="1" customHeight="1" x14ac:dyDescent="0.3">
      <c r="A81" s="225">
        <v>2006</v>
      </c>
      <c r="B81" s="267" t="s">
        <v>12</v>
      </c>
      <c r="C81" s="227">
        <f t="shared" si="6"/>
        <v>193.51050522069892</v>
      </c>
      <c r="D81" s="228">
        <v>0.28869383899299272</v>
      </c>
      <c r="E81" s="228">
        <f t="shared" si="8"/>
        <v>4.3996606322377341</v>
      </c>
      <c r="F81" s="229">
        <f t="shared" si="2"/>
        <v>4.3996606322377341</v>
      </c>
      <c r="G81" s="230">
        <f>+$C$301/C81</f>
        <v>3.8058111721586285</v>
      </c>
    </row>
    <row r="82" spans="1:7" ht="18" hidden="1" customHeight="1" x14ac:dyDescent="0.3">
      <c r="A82" s="225">
        <v>2007</v>
      </c>
      <c r="B82" s="267" t="s">
        <v>27</v>
      </c>
      <c r="C82" s="227">
        <f t="shared" si="6"/>
        <v>194.27535676903824</v>
      </c>
      <c r="D82" s="228">
        <v>0.39525065963059713</v>
      </c>
      <c r="E82" s="228">
        <f t="shared" ref="E82:E90" si="9">100*((C82/$C$81)-1)</f>
        <v>0.39525065963059713</v>
      </c>
      <c r="F82" s="229">
        <f t="shared" si="2"/>
        <v>3.666912780385756</v>
      </c>
      <c r="G82" s="230">
        <f>+$C$301/C82</f>
        <v>3.7908278998788965</v>
      </c>
    </row>
    <row r="83" spans="1:7" ht="18" hidden="1" customHeight="1" x14ac:dyDescent="0.3">
      <c r="A83" s="225">
        <v>2007</v>
      </c>
      <c r="B83" s="267" t="s">
        <v>14</v>
      </c>
      <c r="C83" s="227">
        <f t="shared" si="6"/>
        <v>194.67514232467892</v>
      </c>
      <c r="D83" s="228">
        <v>0.20578294761077753</v>
      </c>
      <c r="E83" s="228">
        <f t="shared" si="9"/>
        <v>0.60184696569922647</v>
      </c>
      <c r="F83" s="229">
        <f t="shared" ref="F83:F146" si="10">100*((C83/C71)-1)</f>
        <v>3.9467944733427407</v>
      </c>
      <c r="G83" s="230">
        <f>+$C$301/C83</f>
        <v>3.7830430423968675</v>
      </c>
    </row>
    <row r="84" spans="1:7" ht="18" hidden="1" customHeight="1" x14ac:dyDescent="0.3">
      <c r="A84" s="225">
        <v>2007</v>
      </c>
      <c r="B84" s="267" t="s">
        <v>29</v>
      </c>
      <c r="C84" s="227">
        <f t="shared" si="6"/>
        <v>195.30775318475398</v>
      </c>
      <c r="D84" s="228">
        <v>0.32495718380931571</v>
      </c>
      <c r="E84" s="228">
        <f t="shared" si="9"/>
        <v>0.928759894459108</v>
      </c>
      <c r="F84" s="229">
        <f t="shared" si="10"/>
        <v>4.7833494951487587</v>
      </c>
      <c r="G84" s="230">
        <f>+$C$301/C84</f>
        <v>3.770789590735439</v>
      </c>
    </row>
    <row r="85" spans="1:7" ht="18" hidden="1" customHeight="1" x14ac:dyDescent="0.3">
      <c r="A85" s="225">
        <v>2007</v>
      </c>
      <c r="B85" s="267" t="s">
        <v>30</v>
      </c>
      <c r="C85" s="227">
        <f t="shared" si="6"/>
        <v>195.03101784483414</v>
      </c>
      <c r="D85" s="228">
        <v>-0.14169193767645805</v>
      </c>
      <c r="E85" s="228">
        <f t="shared" si="9"/>
        <v>0.78575197889183546</v>
      </c>
      <c r="F85" s="229">
        <f t="shared" si="10"/>
        <v>5.4415966212579603</v>
      </c>
      <c r="G85" s="230">
        <f>+$C$301/C85</f>
        <v>3.7761400767796052</v>
      </c>
    </row>
    <row r="86" spans="1:7" ht="18" hidden="1" customHeight="1" x14ac:dyDescent="0.3">
      <c r="A86" s="225">
        <v>2007</v>
      </c>
      <c r="B86" s="267" t="s">
        <v>31</v>
      </c>
      <c r="C86" s="227">
        <f t="shared" si="6"/>
        <v>194.8497613030047</v>
      </c>
      <c r="D86" s="228">
        <v>-9.293728958212899E-2</v>
      </c>
      <c r="E86" s="228">
        <f t="shared" si="9"/>
        <v>0.69208443271766562</v>
      </c>
      <c r="F86" s="229">
        <f t="shared" si="10"/>
        <v>4.8913357172502447</v>
      </c>
      <c r="G86" s="230">
        <f>+$C$301/C86</f>
        <v>3.7796527836323288</v>
      </c>
    </row>
    <row r="87" spans="1:7" ht="18" hidden="1" customHeight="1" x14ac:dyDescent="0.3">
      <c r="A87" s="225">
        <v>2007</v>
      </c>
      <c r="B87" s="267" t="s">
        <v>32</v>
      </c>
      <c r="C87" s="227">
        <f t="shared" si="6"/>
        <v>194.86456817543583</v>
      </c>
      <c r="D87" s="228">
        <v>7.5991226943905588E-3</v>
      </c>
      <c r="E87" s="228">
        <f t="shared" si="9"/>
        <v>0.69973614775724613</v>
      </c>
      <c r="F87" s="229">
        <f t="shared" si="10"/>
        <v>3.7515087589574447</v>
      </c>
      <c r="G87" s="230">
        <f>+$C$301/C87</f>
        <v>3.779365585004455</v>
      </c>
    </row>
    <row r="88" spans="1:7" ht="18" hidden="1" customHeight="1" x14ac:dyDescent="0.3">
      <c r="A88" s="225">
        <v>2007</v>
      </c>
      <c r="B88" s="267" t="s">
        <v>33</v>
      </c>
      <c r="C88" s="227">
        <f t="shared" si="6"/>
        <v>195.38076638329372</v>
      </c>
      <c r="D88" s="228">
        <v>0.26490100929643656</v>
      </c>
      <c r="E88" s="228">
        <f t="shared" si="9"/>
        <v>0.96649076517152377</v>
      </c>
      <c r="F88" s="229">
        <f t="shared" si="10"/>
        <v>3.8045453805630736</v>
      </c>
      <c r="G88" s="230">
        <f>+$C$301/C88</f>
        <v>3.7693804581266548</v>
      </c>
    </row>
    <row r="89" spans="1:7" ht="18" hidden="1" customHeight="1" x14ac:dyDescent="0.3">
      <c r="A89" s="225">
        <v>2007</v>
      </c>
      <c r="B89" s="267" t="s">
        <v>34</v>
      </c>
      <c r="C89" s="227">
        <f t="shared" si="6"/>
        <v>197.944397641112</v>
      </c>
      <c r="D89" s="228">
        <v>1.3121205865213037</v>
      </c>
      <c r="E89" s="228">
        <f t="shared" si="9"/>
        <v>2.2912928759894591</v>
      </c>
      <c r="F89" s="229">
        <f t="shared" si="10"/>
        <v>4.6801547720946024</v>
      </c>
      <c r="G89" s="230">
        <f>+$C$301/C89</f>
        <v>3.7205621956235491</v>
      </c>
    </row>
    <row r="90" spans="1:7" ht="18" hidden="1" customHeight="1" x14ac:dyDescent="0.3">
      <c r="A90" s="225">
        <v>2007</v>
      </c>
      <c r="B90" s="267" t="s">
        <v>36</v>
      </c>
      <c r="C90" s="227">
        <f t="shared" si="6"/>
        <v>201.57565545939593</v>
      </c>
      <c r="D90" s="228">
        <v>1.8344837548106119</v>
      </c>
      <c r="E90" s="228">
        <f t="shared" si="9"/>
        <v>4.1678100263852436</v>
      </c>
      <c r="F90" s="229">
        <f t="shared" si="10"/>
        <v>6.2141846337618434</v>
      </c>
      <c r="G90" s="230">
        <f>+$C$301/C90</f>
        <v>3.6535386231069213</v>
      </c>
    </row>
    <row r="91" spans="1:7" ht="18" hidden="1" customHeight="1" x14ac:dyDescent="0.3">
      <c r="A91" s="225">
        <v>2007</v>
      </c>
      <c r="B91" s="267" t="s">
        <v>35</v>
      </c>
      <c r="C91" s="227">
        <f t="shared" si="6"/>
        <v>204.44359347476447</v>
      </c>
      <c r="D91" s="228">
        <v>1.4227601090183395</v>
      </c>
      <c r="E91" s="228">
        <f>100*((C91/$C$81)-1)</f>
        <v>5.6498680738786611</v>
      </c>
      <c r="F91" s="229">
        <f t="shared" si="10"/>
        <v>7.0325364069884655</v>
      </c>
      <c r="G91" s="230">
        <f>+$C$301/C91</f>
        <v>3.6022867245771737</v>
      </c>
    </row>
    <row r="92" spans="1:7" ht="18" hidden="1" customHeight="1" x14ac:dyDescent="0.3">
      <c r="A92" s="225">
        <v>2007</v>
      </c>
      <c r="B92" s="267" t="s">
        <v>25</v>
      </c>
      <c r="C92" s="227">
        <f t="shared" si="6"/>
        <v>206.42465088968876</v>
      </c>
      <c r="D92" s="228">
        <v>0.96899950800797274</v>
      </c>
      <c r="E92" s="228">
        <f>100*((C92/$C$81)-1)</f>
        <v>6.6736147757256115</v>
      </c>
      <c r="F92" s="229">
        <f t="shared" si="10"/>
        <v>6.9815749294142471</v>
      </c>
      <c r="G92" s="230">
        <f>+$C$301/C92</f>
        <v>3.5677155781775096</v>
      </c>
    </row>
    <row r="93" spans="1:7" ht="18" hidden="1" customHeight="1" x14ac:dyDescent="0.3">
      <c r="A93" s="225">
        <v>2007</v>
      </c>
      <c r="B93" s="267" t="s">
        <v>26</v>
      </c>
      <c r="C93" s="227">
        <f t="shared" si="6"/>
        <v>211.29815424676417</v>
      </c>
      <c r="D93" s="228">
        <v>2.3609115171422834</v>
      </c>
      <c r="E93" s="228">
        <f>100*((C93/$C$81)-1)</f>
        <v>9.1920844327177065</v>
      </c>
      <c r="F93" s="229">
        <f t="shared" si="10"/>
        <v>9.1920844327177065</v>
      </c>
      <c r="G93" s="230">
        <f>+$C$301/C93</f>
        <v>3.4854277138593357</v>
      </c>
    </row>
    <row r="94" spans="1:7" ht="18" hidden="1" customHeight="1" x14ac:dyDescent="0.3">
      <c r="A94" s="225">
        <v>2008</v>
      </c>
      <c r="B94" s="267" t="s">
        <v>27</v>
      </c>
      <c r="C94" s="227">
        <f t="shared" si="6"/>
        <v>213.90875903091572</v>
      </c>
      <c r="D94" s="228">
        <v>1.2355076140905474</v>
      </c>
      <c r="E94" s="228">
        <f t="shared" ref="E94:E105" si="11">100*((C94/$C$93)-1)</f>
        <v>1.2355076140905474</v>
      </c>
      <c r="F94" s="229">
        <f t="shared" si="10"/>
        <v>10.105966391413389</v>
      </c>
      <c r="G94" s="230">
        <f>+$C$301/C94</f>
        <v>3.442890539103904</v>
      </c>
    </row>
    <row r="95" spans="1:7" ht="18" hidden="1" customHeight="1" x14ac:dyDescent="0.3">
      <c r="A95" s="225">
        <v>2008</v>
      </c>
      <c r="B95" s="267" t="s">
        <v>28</v>
      </c>
      <c r="C95" s="227">
        <f t="shared" si="6"/>
        <v>215.28018176712362</v>
      </c>
      <c r="D95" s="228">
        <v>0.64112509577491927</v>
      </c>
      <c r="E95" s="228">
        <f t="shared" si="11"/>
        <v>1.8845538592396016</v>
      </c>
      <c r="F95" s="229">
        <f t="shared" si="10"/>
        <v>10.584319701217758</v>
      </c>
      <c r="G95" s="230">
        <f>+$C$301/C95</f>
        <v>3.420957919366943</v>
      </c>
    </row>
    <row r="96" spans="1:7" ht="18" hidden="1" customHeight="1" x14ac:dyDescent="0.3">
      <c r="A96" s="225">
        <v>2008</v>
      </c>
      <c r="B96" s="267" t="s">
        <v>29</v>
      </c>
      <c r="C96" s="227">
        <f t="shared" si="6"/>
        <v>217.3505909984427</v>
      </c>
      <c r="D96" s="228">
        <v>0.96172774210991907</v>
      </c>
      <c r="E96" s="228">
        <f t="shared" si="11"/>
        <v>2.8644058786288396</v>
      </c>
      <c r="F96" s="229">
        <f t="shared" si="10"/>
        <v>11.286207257136894</v>
      </c>
      <c r="G96" s="230">
        <f>+$C$301/C96</f>
        <v>3.3883710153071234</v>
      </c>
    </row>
    <row r="97" spans="1:7" ht="18" hidden="1" customHeight="1" x14ac:dyDescent="0.3">
      <c r="A97" s="225">
        <v>2008</v>
      </c>
      <c r="B97" s="267" t="s">
        <v>30</v>
      </c>
      <c r="C97" s="227">
        <f t="shared" si="6"/>
        <v>218.75673329759258</v>
      </c>
      <c r="D97" s="228">
        <v>0.64694661868205383</v>
      </c>
      <c r="E97" s="228">
        <f t="shared" si="11"/>
        <v>3.5298836742879924</v>
      </c>
      <c r="F97" s="229">
        <f t="shared" si="10"/>
        <v>12.165098513526962</v>
      </c>
      <c r="G97" s="230">
        <f>+$C$301/C97</f>
        <v>3.3665909688691689</v>
      </c>
    </row>
    <row r="98" spans="1:7" ht="18" hidden="1" customHeight="1" x14ac:dyDescent="0.3">
      <c r="A98" s="225">
        <v>2008</v>
      </c>
      <c r="B98" s="267" t="s">
        <v>31</v>
      </c>
      <c r="C98" s="227">
        <f t="shared" si="6"/>
        <v>223.16305430037522</v>
      </c>
      <c r="D98" s="228">
        <v>2.0142561723064167</v>
      </c>
      <c r="E98" s="228">
        <f t="shared" si="11"/>
        <v>5.6152407463790022</v>
      </c>
      <c r="F98" s="229">
        <f t="shared" si="10"/>
        <v>14.530832785235702</v>
      </c>
      <c r="G98" s="230">
        <f>+$C$301/C98</f>
        <v>3.3001181356288609</v>
      </c>
    </row>
    <row r="99" spans="1:7" ht="18" hidden="1" customHeight="1" x14ac:dyDescent="0.3">
      <c r="A99" s="225">
        <v>2008</v>
      </c>
      <c r="B99" s="267" t="s">
        <v>32</v>
      </c>
      <c r="C99" s="227">
        <f t="shared" si="6"/>
        <v>228.2285364172474</v>
      </c>
      <c r="D99" s="228">
        <v>2.2698569585152262</v>
      </c>
      <c r="E99" s="228">
        <f t="shared" si="11"/>
        <v>8.0125556377132803</v>
      </c>
      <c r="F99" s="229">
        <f t="shared" si="10"/>
        <v>17.121618647354154</v>
      </c>
      <c r="G99" s="230">
        <f>+$C$301/C99</f>
        <v>3.2268727401931558</v>
      </c>
    </row>
    <row r="100" spans="1:7" ht="18" hidden="1" customHeight="1" x14ac:dyDescent="0.3">
      <c r="A100" s="225">
        <v>2008</v>
      </c>
      <c r="B100" s="267" t="s">
        <v>33</v>
      </c>
      <c r="C100" s="227">
        <f t="shared" si="6"/>
        <v>233.25572489852181</v>
      </c>
      <c r="D100" s="228">
        <v>2.2026993469754785</v>
      </c>
      <c r="E100" s="228">
        <f t="shared" si="11"/>
        <v>10.39174749539673</v>
      </c>
      <c r="F100" s="229">
        <f t="shared" si="10"/>
        <v>19.385203168323038</v>
      </c>
      <c r="G100" s="230">
        <f>+$C$301/C100</f>
        <v>3.1573263336597477</v>
      </c>
    </row>
    <row r="101" spans="1:7" ht="18" hidden="1" customHeight="1" x14ac:dyDescent="0.3">
      <c r="A101" s="225">
        <v>2008</v>
      </c>
      <c r="B101" s="267" t="s">
        <v>34</v>
      </c>
      <c r="C101" s="227">
        <f t="shared" si="6"/>
        <v>231.52689489673477</v>
      </c>
      <c r="D101" s="228">
        <v>-0.74117366359996995</v>
      </c>
      <c r="E101" s="228">
        <f t="shared" si="11"/>
        <v>9.5735529361730798</v>
      </c>
      <c r="F101" s="229">
        <f t="shared" si="10"/>
        <v>16.965621485539771</v>
      </c>
      <c r="G101" s="230">
        <f>+$C$301/C101</f>
        <v>3.1809023440990436</v>
      </c>
    </row>
    <row r="102" spans="1:7" ht="18" hidden="1" customHeight="1" x14ac:dyDescent="0.3">
      <c r="A102" s="225">
        <v>2008</v>
      </c>
      <c r="B102" s="267" t="s">
        <v>36</v>
      </c>
      <c r="C102" s="227">
        <f t="shared" si="6"/>
        <v>231.62135253120925</v>
      </c>
      <c r="D102" s="228">
        <v>4.0797694158434261E-2</v>
      </c>
      <c r="E102" s="228">
        <f t="shared" si="11"/>
        <v>9.6182564191785058</v>
      </c>
      <c r="F102" s="229">
        <f t="shared" si="10"/>
        <v>14.905419507796424</v>
      </c>
      <c r="G102" s="230">
        <f>+$C$301/C102</f>
        <v>3.179605138519185</v>
      </c>
    </row>
    <row r="103" spans="1:7" ht="18" hidden="1" customHeight="1" x14ac:dyDescent="0.3">
      <c r="A103" s="225">
        <v>2008</v>
      </c>
      <c r="B103" s="267" t="s">
        <v>35</v>
      </c>
      <c r="C103" s="227">
        <f t="shared" si="6"/>
        <v>234.50307625539295</v>
      </c>
      <c r="D103" s="228">
        <v>1.2441528782608291</v>
      </c>
      <c r="E103" s="228">
        <f t="shared" si="11"/>
        <v>10.982075111517053</v>
      </c>
      <c r="F103" s="229">
        <f t="shared" si="10"/>
        <v>14.70306908117367</v>
      </c>
      <c r="G103" s="230">
        <f>+$C$301/C103</f>
        <v>3.1405321177830809</v>
      </c>
    </row>
    <row r="104" spans="1:7" ht="18" hidden="1" customHeight="1" x14ac:dyDescent="0.3">
      <c r="A104" s="225">
        <v>2008</v>
      </c>
      <c r="B104" s="267" t="s">
        <v>25</v>
      </c>
      <c r="C104" s="227">
        <f t="shared" si="6"/>
        <v>235.20257333231208</v>
      </c>
      <c r="D104" s="228">
        <v>0.29828908349045502</v>
      </c>
      <c r="E104" s="228">
        <f t="shared" si="11"/>
        <v>11.313122526205866</v>
      </c>
      <c r="F104" s="229">
        <f t="shared" si="10"/>
        <v>13.94112685601776</v>
      </c>
      <c r="G104" s="230">
        <f>+$C$301/C104</f>
        <v>3.1311921135253207</v>
      </c>
    </row>
    <row r="105" spans="1:7" ht="18" hidden="1" customHeight="1" x14ac:dyDescent="0.3">
      <c r="A105" s="225">
        <v>2008</v>
      </c>
      <c r="B105" s="267" t="s">
        <v>26</v>
      </c>
      <c r="C105" s="227">
        <f t="shared" si="6"/>
        <v>234.20591764315429</v>
      </c>
      <c r="D105" s="228">
        <v>-0.42374353096453765</v>
      </c>
      <c r="E105" s="228">
        <f t="shared" si="11"/>
        <v>10.841440370386458</v>
      </c>
      <c r="F105" s="229">
        <f t="shared" si="10"/>
        <v>10.841440370386458</v>
      </c>
      <c r="G105" s="230">
        <f>+$C$301/C105</f>
        <v>3.144516800045607</v>
      </c>
    </row>
    <row r="106" spans="1:7" ht="18" hidden="1" customHeight="1" x14ac:dyDescent="0.3">
      <c r="A106" s="225">
        <v>2009</v>
      </c>
      <c r="B106" s="267" t="s">
        <v>27</v>
      </c>
      <c r="C106" s="227">
        <f t="shared" si="6"/>
        <v>231.98182328763619</v>
      </c>
      <c r="D106" s="228">
        <v>-0.94963200669713199</v>
      </c>
      <c r="E106" s="228">
        <f t="shared" ref="E106:E117" si="12">100*((C106/$C$105)-1)</f>
        <v>-0.94963200669712089</v>
      </c>
      <c r="F106" s="229">
        <f t="shared" si="10"/>
        <v>8.4489594248491784</v>
      </c>
      <c r="G106" s="230">
        <f>+$C$301/C106</f>
        <v>3.1746644295740714</v>
      </c>
    </row>
    <row r="107" spans="1:7" ht="18" hidden="1" customHeight="1" x14ac:dyDescent="0.3">
      <c r="A107" s="225">
        <v>2009</v>
      </c>
      <c r="B107" s="267" t="s">
        <v>28</v>
      </c>
      <c r="C107" s="227">
        <f t="shared" si="6"/>
        <v>232.44441040565718</v>
      </c>
      <c r="D107" s="228">
        <v>0.19940662223669747</v>
      </c>
      <c r="E107" s="228">
        <f t="shared" si="12"/>
        <v>-0.75211901356865285</v>
      </c>
      <c r="F107" s="229">
        <f t="shared" si="10"/>
        <v>7.972972011469559</v>
      </c>
      <c r="G107" s="230">
        <f>+$C$301/C107</f>
        <v>3.1683465367643557</v>
      </c>
    </row>
    <row r="108" spans="1:7" ht="18" hidden="1" customHeight="1" x14ac:dyDescent="0.3">
      <c r="A108" s="225">
        <v>2009</v>
      </c>
      <c r="B108" s="267" t="s">
        <v>29</v>
      </c>
      <c r="C108" s="227">
        <f t="shared" si="6"/>
        <v>229.56370784508943</v>
      </c>
      <c r="D108" s="228">
        <v>-1.2393081664301642</v>
      </c>
      <c r="E108" s="228">
        <f t="shared" si="12"/>
        <v>-1.9821061076423896</v>
      </c>
      <c r="F108" s="229">
        <f t="shared" si="10"/>
        <v>5.619086099809234</v>
      </c>
      <c r="G108" s="230">
        <f>+$C$301/C108</f>
        <v>3.2081048420596425</v>
      </c>
    </row>
    <row r="109" spans="1:7" ht="18" hidden="1" customHeight="1" x14ac:dyDescent="0.3">
      <c r="A109" s="225">
        <v>2009</v>
      </c>
      <c r="B109" s="267" t="s">
        <v>30</v>
      </c>
      <c r="C109" s="227">
        <f t="shared" si="6"/>
        <v>228.5588828470041</v>
      </c>
      <c r="D109" s="228">
        <v>-0.43771073725790144</v>
      </c>
      <c r="E109" s="228">
        <f t="shared" si="12"/>
        <v>-2.4111409536432982</v>
      </c>
      <c r="F109" s="229">
        <f t="shared" si="10"/>
        <v>4.4808447272234986</v>
      </c>
      <c r="G109" s="230">
        <f>+$C$301/C109</f>
        <v>3.2222087959363246</v>
      </c>
    </row>
    <row r="110" spans="1:7" ht="18" hidden="1" customHeight="1" x14ac:dyDescent="0.3">
      <c r="A110" s="225">
        <v>2009</v>
      </c>
      <c r="B110" s="267" t="s">
        <v>17</v>
      </c>
      <c r="C110" s="227">
        <f t="shared" si="6"/>
        <v>227.87061856986028</v>
      </c>
      <c r="D110" s="228">
        <v>-0.30113214965463708</v>
      </c>
      <c r="E110" s="228">
        <f t="shared" si="12"/>
        <v>-2.7050123827130346</v>
      </c>
      <c r="F110" s="229">
        <f t="shared" si="10"/>
        <v>2.1094729520723998</v>
      </c>
      <c r="G110" s="230">
        <f>+$C$301/C110</f>
        <v>3.2319412099775042</v>
      </c>
    </row>
    <row r="111" spans="1:7" ht="18" hidden="1" customHeight="1" x14ac:dyDescent="0.3">
      <c r="A111" s="225">
        <v>2009</v>
      </c>
      <c r="B111" s="267" t="s">
        <v>32</v>
      </c>
      <c r="C111" s="227">
        <f t="shared" ref="C111:C174" si="13">+C110*(1+D111/100)</f>
        <v>226.85098669934382</v>
      </c>
      <c r="D111" s="228">
        <v>-0.44746087798233081</v>
      </c>
      <c r="E111" s="228">
        <f t="shared" si="12"/>
        <v>-3.1403693885381445</v>
      </c>
      <c r="F111" s="229">
        <f t="shared" si="10"/>
        <v>-0.6035834692402986</v>
      </c>
      <c r="G111" s="230">
        <f>+$C$301/C111</f>
        <v>3.2464678836732026</v>
      </c>
    </row>
    <row r="112" spans="1:7" ht="18" hidden="1" customHeight="1" x14ac:dyDescent="0.3">
      <c r="A112" s="225">
        <v>2009</v>
      </c>
      <c r="B112" s="267" t="s">
        <v>33</v>
      </c>
      <c r="C112" s="227">
        <f t="shared" si="13"/>
        <v>224.93068851956798</v>
      </c>
      <c r="D112" s="228">
        <v>-0.84650201778531109</v>
      </c>
      <c r="E112" s="228">
        <f t="shared" si="12"/>
        <v>-3.9602881160835657</v>
      </c>
      <c r="F112" s="229">
        <f t="shared" si="10"/>
        <v>-3.5690598301823639</v>
      </c>
      <c r="G112" s="230">
        <f>+$C$301/C112</f>
        <v>3.2741839165931661</v>
      </c>
    </row>
    <row r="113" spans="1:7" ht="18" hidden="1" customHeight="1" x14ac:dyDescent="0.3">
      <c r="A113" s="225">
        <v>2009</v>
      </c>
      <c r="B113" s="267" t="s">
        <v>34</v>
      </c>
      <c r="C113" s="227">
        <f t="shared" si="13"/>
        <v>223.5500753108166</v>
      </c>
      <c r="D113" s="228">
        <v>-0.61379495071934853</v>
      </c>
      <c r="E113" s="228">
        <f t="shared" si="12"/>
        <v>-4.549775018312463</v>
      </c>
      <c r="F113" s="229">
        <f t="shared" si="10"/>
        <v>-3.4453101396604402</v>
      </c>
      <c r="G113" s="230">
        <f>+$C$301/C113</f>
        <v>3.2944048069545082</v>
      </c>
    </row>
    <row r="114" spans="1:7" ht="18" hidden="1" customHeight="1" x14ac:dyDescent="0.3">
      <c r="A114" s="225">
        <v>2009</v>
      </c>
      <c r="B114" s="267" t="s">
        <v>36</v>
      </c>
      <c r="C114" s="227">
        <f t="shared" si="13"/>
        <v>224.72594521457194</v>
      </c>
      <c r="D114" s="228">
        <v>0.52599843776408584</v>
      </c>
      <c r="E114" s="228">
        <f t="shared" si="12"/>
        <v>-4.0477083260664788</v>
      </c>
      <c r="F114" s="229">
        <f t="shared" si="10"/>
        <v>-2.9770171192261774</v>
      </c>
      <c r="G114" s="230">
        <f>+$C$301/C114</f>
        <v>3.2771669599422908</v>
      </c>
    </row>
    <row r="115" spans="1:7" ht="18" hidden="1" customHeight="1" x14ac:dyDescent="0.3">
      <c r="A115" s="225">
        <v>2009</v>
      </c>
      <c r="B115" s="267" t="s">
        <v>35</v>
      </c>
      <c r="C115" s="227">
        <f t="shared" si="13"/>
        <v>224.80968063107903</v>
      </c>
      <c r="D115" s="228">
        <v>3.7261125513188276E-2</v>
      </c>
      <c r="E115" s="228">
        <f t="shared" si="12"/>
        <v>-4.0119554222330711</v>
      </c>
      <c r="F115" s="229">
        <f t="shared" si="10"/>
        <v>-4.1335899635521312</v>
      </c>
      <c r="G115" s="230">
        <f>+$C$301/C115</f>
        <v>3.2759463054776625</v>
      </c>
    </row>
    <row r="116" spans="1:7" ht="18" hidden="1" customHeight="1" x14ac:dyDescent="0.3">
      <c r="A116" s="225">
        <v>2009</v>
      </c>
      <c r="B116" s="267" t="s">
        <v>25</v>
      </c>
      <c r="C116" s="227">
        <f t="shared" si="13"/>
        <v>224.97919379132514</v>
      </c>
      <c r="D116" s="228">
        <v>7.540296297305904E-2</v>
      </c>
      <c r="E116" s="228">
        <f t="shared" si="12"/>
        <v>-3.9395775925215371</v>
      </c>
      <c r="F116" s="229">
        <f t="shared" si="10"/>
        <v>-4.3466274182904385</v>
      </c>
      <c r="G116" s="230">
        <f>+$C$301/C116</f>
        <v>3.2734780060688151</v>
      </c>
    </row>
    <row r="117" spans="1:7" ht="18" hidden="1" customHeight="1" x14ac:dyDescent="0.3">
      <c r="A117" s="225">
        <v>2009</v>
      </c>
      <c r="B117" s="267" t="s">
        <v>12</v>
      </c>
      <c r="C117" s="227">
        <f t="shared" si="13"/>
        <v>223.84365985039946</v>
      </c>
      <c r="D117" s="228">
        <v>-0.50472842478888058</v>
      </c>
      <c r="E117" s="228">
        <f t="shared" si="12"/>
        <v>-4.4244218493843519</v>
      </c>
      <c r="F117" s="229">
        <f t="shared" si="10"/>
        <v>-4.4244218493843519</v>
      </c>
      <c r="G117" s="230">
        <f>+$C$301/C117</f>
        <v>3.2900839951919787</v>
      </c>
    </row>
    <row r="118" spans="1:7" ht="18" hidden="1" customHeight="1" x14ac:dyDescent="0.3">
      <c r="A118" s="225">
        <v>2010</v>
      </c>
      <c r="B118" s="267" t="s">
        <v>13</v>
      </c>
      <c r="C118" s="227">
        <f t="shared" si="13"/>
        <v>224.98481019121286</v>
      </c>
      <c r="D118" s="228">
        <v>0.50979792841845395</v>
      </c>
      <c r="E118" s="228">
        <f t="shared" ref="E118:E129" si="14">100*((C118/$C$117)-1)</f>
        <v>0.50979792841845395</v>
      </c>
      <c r="F118" s="229">
        <f t="shared" si="10"/>
        <v>-3.0161902330372081</v>
      </c>
      <c r="G118" s="230">
        <f>+$C$301/C118</f>
        <v>3.2733962887231414</v>
      </c>
    </row>
    <row r="119" spans="1:7" ht="18" hidden="1" customHeight="1" x14ac:dyDescent="0.3">
      <c r="A119" s="225">
        <v>2010</v>
      </c>
      <c r="B119" s="267" t="s">
        <v>14</v>
      </c>
      <c r="C119" s="227">
        <f t="shared" si="13"/>
        <v>228.18207347272212</v>
      </c>
      <c r="D119" s="228">
        <v>1.4211018418496479</v>
      </c>
      <c r="E119" s="228">
        <f t="shared" si="14"/>
        <v>1.9381445180185697</v>
      </c>
      <c r="F119" s="229">
        <f t="shared" si="10"/>
        <v>-1.8337016259055261</v>
      </c>
      <c r="G119" s="230">
        <f>+$C$301/C119</f>
        <v>3.2275298032430086</v>
      </c>
    </row>
    <row r="120" spans="1:7" ht="18" hidden="1" customHeight="1" x14ac:dyDescent="0.3">
      <c r="A120" s="225">
        <v>2010</v>
      </c>
      <c r="B120" s="267" t="s">
        <v>15</v>
      </c>
      <c r="C120" s="227">
        <f t="shared" si="13"/>
        <v>230.61601695131597</v>
      </c>
      <c r="D120" s="228">
        <v>1.0666672633618646</v>
      </c>
      <c r="E120" s="228">
        <f t="shared" si="14"/>
        <v>3.0254853344707788</v>
      </c>
      <c r="F120" s="229">
        <f t="shared" si="10"/>
        <v>0.45839523856123776</v>
      </c>
      <c r="G120" s="230">
        <f>+$C$301/C120</f>
        <v>3.1934661453045012</v>
      </c>
    </row>
    <row r="121" spans="1:7" ht="18" hidden="1" customHeight="1" x14ac:dyDescent="0.3">
      <c r="A121" s="225">
        <v>2010</v>
      </c>
      <c r="B121" s="267" t="s">
        <v>16</v>
      </c>
      <c r="C121" s="227">
        <f t="shared" si="13"/>
        <v>232.26979142733134</v>
      </c>
      <c r="D121" s="228">
        <v>0.71711171577666377</v>
      </c>
      <c r="E121" s="228">
        <f t="shared" si="14"/>
        <v>3.7642931600400331</v>
      </c>
      <c r="F121" s="229">
        <f t="shared" si="10"/>
        <v>1.6236116199479733</v>
      </c>
      <c r="G121" s="230">
        <f>+$C$301/C121</f>
        <v>3.1707284798996738</v>
      </c>
    </row>
    <row r="122" spans="1:7" ht="18" hidden="1" customHeight="1" x14ac:dyDescent="0.3">
      <c r="A122" s="225">
        <v>2010</v>
      </c>
      <c r="B122" s="267" t="s">
        <v>17</v>
      </c>
      <c r="C122" s="227">
        <f t="shared" si="13"/>
        <v>235.72694084909742</v>
      </c>
      <c r="D122" s="228">
        <v>1.4884197383230102</v>
      </c>
      <c r="E122" s="228">
        <f t="shared" si="14"/>
        <v>5.3087413807654249</v>
      </c>
      <c r="F122" s="229">
        <f t="shared" si="10"/>
        <v>3.4477118325057621</v>
      </c>
      <c r="G122" s="230">
        <f>+$C$301/C122</f>
        <v>3.1242268704893195</v>
      </c>
    </row>
    <row r="123" spans="1:7" ht="18" hidden="1" customHeight="1" x14ac:dyDescent="0.3">
      <c r="A123" s="225">
        <v>2010</v>
      </c>
      <c r="B123" s="267" t="s">
        <v>18</v>
      </c>
      <c r="C123" s="227">
        <f t="shared" si="13"/>
        <v>238.29261443414757</v>
      </c>
      <c r="D123" s="228">
        <v>1.0884091465356072</v>
      </c>
      <c r="E123" s="228">
        <f t="shared" si="14"/>
        <v>6.4549313540551934</v>
      </c>
      <c r="F123" s="229">
        <f t="shared" si="10"/>
        <v>5.0436755428213687</v>
      </c>
      <c r="G123" s="230">
        <f>+$C$301/C123</f>
        <v>3.0905886212538043</v>
      </c>
    </row>
    <row r="124" spans="1:7" ht="18" hidden="1" customHeight="1" x14ac:dyDescent="0.3">
      <c r="A124" s="225">
        <v>2010</v>
      </c>
      <c r="B124" s="267" t="s">
        <v>19</v>
      </c>
      <c r="C124" s="227">
        <f t="shared" si="13"/>
        <v>238.77205075183156</v>
      </c>
      <c r="D124" s="228">
        <v>0.20119646545591063</v>
      </c>
      <c r="E124" s="228">
        <f t="shared" si="14"/>
        <v>6.6691149132430683</v>
      </c>
      <c r="F124" s="229">
        <f t="shared" si="10"/>
        <v>6.1536121742051364</v>
      </c>
      <c r="G124" s="230">
        <f>+$C$301/C124</f>
        <v>3.0843829517737111</v>
      </c>
    </row>
    <row r="125" spans="1:7" ht="18" hidden="1" customHeight="1" x14ac:dyDescent="0.3">
      <c r="A125" s="225">
        <v>2010</v>
      </c>
      <c r="B125" s="268" t="s">
        <v>20</v>
      </c>
      <c r="C125" s="227">
        <f t="shared" si="13"/>
        <v>241.72372418370716</v>
      </c>
      <c r="D125" s="228">
        <v>1.2361888347407257</v>
      </c>
      <c r="E125" s="228">
        <f t="shared" si="14"/>
        <v>7.9877466019173449</v>
      </c>
      <c r="F125" s="229">
        <f t="shared" si="10"/>
        <v>8.129565086311219</v>
      </c>
      <c r="G125" s="230">
        <f>+$C$301/C125</f>
        <v>3.0467197424911934</v>
      </c>
    </row>
    <row r="126" spans="1:7" ht="18" hidden="1" customHeight="1" x14ac:dyDescent="0.3">
      <c r="A126" s="225">
        <v>2010</v>
      </c>
      <c r="B126" s="268" t="s">
        <v>21</v>
      </c>
      <c r="C126" s="227">
        <f t="shared" si="13"/>
        <v>245.58882847004145</v>
      </c>
      <c r="D126" s="228">
        <v>1.5989759794519998</v>
      </c>
      <c r="E126" s="228">
        <f t="shared" si="14"/>
        <v>9.7144447308334936</v>
      </c>
      <c r="F126" s="229">
        <f t="shared" si="10"/>
        <v>9.2837003024057942</v>
      </c>
      <c r="G126" s="230">
        <f>+$C$301/C126</f>
        <v>2.9987701284581654</v>
      </c>
    </row>
    <row r="127" spans="1:7" ht="18" hidden="1" customHeight="1" x14ac:dyDescent="0.3">
      <c r="A127" s="225">
        <v>2010</v>
      </c>
      <c r="B127" s="268" t="s">
        <v>22</v>
      </c>
      <c r="C127" s="227">
        <f t="shared" si="13"/>
        <v>248.78660233335873</v>
      </c>
      <c r="D127" s="228">
        <v>1.3020844161514278</v>
      </c>
      <c r="E127" s="228">
        <f t="shared" si="14"/>
        <v>11.143019417940758</v>
      </c>
      <c r="F127" s="229">
        <f t="shared" si="10"/>
        <v>10.665431148237214</v>
      </c>
      <c r="G127" s="230">
        <f>+$C$301/C127</f>
        <v>2.9602254936227617</v>
      </c>
    </row>
    <row r="128" spans="1:7" ht="18" hidden="1" customHeight="1" x14ac:dyDescent="0.3">
      <c r="A128" s="225">
        <v>2010</v>
      </c>
      <c r="B128" s="268" t="s">
        <v>23</v>
      </c>
      <c r="C128" s="227">
        <f t="shared" si="13"/>
        <v>253.3603941691556</v>
      </c>
      <c r="D128" s="228">
        <v>1.8384397684197973</v>
      </c>
      <c r="E128" s="228">
        <f t="shared" si="14"/>
        <v>13.186316886742699</v>
      </c>
      <c r="F128" s="229">
        <f t="shared" si="10"/>
        <v>12.615033372443696</v>
      </c>
      <c r="G128" s="230">
        <f>+$C$301/C128</f>
        <v>2.9067859841080663</v>
      </c>
    </row>
    <row r="129" spans="1:7" ht="18" hidden="1" customHeight="1" x14ac:dyDescent="0.3">
      <c r="A129" s="225">
        <v>2010</v>
      </c>
      <c r="B129" s="268" t="s">
        <v>12</v>
      </c>
      <c r="C129" s="227">
        <f t="shared" si="13"/>
        <v>254.95443057363849</v>
      </c>
      <c r="D129" s="228">
        <v>0.62915769045521763</v>
      </c>
      <c r="E129" s="228">
        <f t="shared" si="14"/>
        <v>13.89843730397866</v>
      </c>
      <c r="F129" s="229">
        <f t="shared" si="10"/>
        <v>13.89843730397866</v>
      </c>
      <c r="G129" s="230">
        <f>+$C$301/C129</f>
        <v>2.8886120591902542</v>
      </c>
    </row>
    <row r="130" spans="1:7" ht="18" customHeight="1" x14ac:dyDescent="0.25">
      <c r="A130" s="269">
        <v>2011</v>
      </c>
      <c r="B130" s="270" t="s">
        <v>13</v>
      </c>
      <c r="C130" s="271">
        <f t="shared" si="13"/>
        <v>256.88136631691793</v>
      </c>
      <c r="D130" s="33">
        <v>0.75579613931160416</v>
      </c>
      <c r="E130" s="33">
        <f t="shared" ref="E130:E141" si="15">100*((C130/$C$129)-1)</f>
        <v>0.75579613931160416</v>
      </c>
      <c r="F130" s="272">
        <f t="shared" si="10"/>
        <v>14.177204273744714</v>
      </c>
      <c r="G130" s="241">
        <f>+$C$301/C130</f>
        <v>2.8669438085688577</v>
      </c>
    </row>
    <row r="131" spans="1:7" ht="18" customHeight="1" x14ac:dyDescent="0.25">
      <c r="A131" s="242">
        <v>2011</v>
      </c>
      <c r="B131" s="273" t="s">
        <v>14</v>
      </c>
      <c r="C131" s="244">
        <f t="shared" si="13"/>
        <v>259.97089683694554</v>
      </c>
      <c r="D131" s="37">
        <v>1.2027071345517504</v>
      </c>
      <c r="E131" s="37">
        <f t="shared" si="15"/>
        <v>1.9675932879535285</v>
      </c>
      <c r="F131" s="245">
        <f t="shared" si="10"/>
        <v>13.931341266396014</v>
      </c>
      <c r="G131" s="246">
        <f>+$C$301/C131</f>
        <v>2.8328726471290708</v>
      </c>
    </row>
    <row r="132" spans="1:7" ht="18" customHeight="1" x14ac:dyDescent="0.25">
      <c r="A132" s="242">
        <v>2011</v>
      </c>
      <c r="B132" s="273" t="s">
        <v>15</v>
      </c>
      <c r="C132" s="244">
        <f t="shared" si="13"/>
        <v>261.65683796686307</v>
      </c>
      <c r="D132" s="37">
        <v>0.64851148741273956</v>
      </c>
      <c r="E132" s="37">
        <f t="shared" si="15"/>
        <v>2.6288648438642204</v>
      </c>
      <c r="F132" s="245">
        <f t="shared" si="10"/>
        <v>13.459958864045408</v>
      </c>
      <c r="G132" s="246">
        <f t="shared" ref="G132:G195" si="16">+$C$301/C132</f>
        <v>2.814619516239298</v>
      </c>
    </row>
    <row r="133" spans="1:7" ht="18" customHeight="1" x14ac:dyDescent="0.25">
      <c r="A133" s="242">
        <v>2011</v>
      </c>
      <c r="B133" s="273" t="s">
        <v>16</v>
      </c>
      <c r="C133" s="244">
        <f t="shared" si="13"/>
        <v>262.40535089734732</v>
      </c>
      <c r="D133" s="37">
        <v>0.2860666422098479</v>
      </c>
      <c r="E133" s="37">
        <f t="shared" si="15"/>
        <v>2.9224517914611337</v>
      </c>
      <c r="F133" s="245">
        <f t="shared" si="10"/>
        <v>12.974377462014598</v>
      </c>
      <c r="G133" s="246">
        <f t="shared" si="16"/>
        <v>2.8065907961880723</v>
      </c>
    </row>
    <row r="134" spans="1:7" ht="18" customHeight="1" x14ac:dyDescent="0.25">
      <c r="A134" s="242">
        <v>2011</v>
      </c>
      <c r="B134" s="273" t="s">
        <v>17</v>
      </c>
      <c r="C134" s="244">
        <f t="shared" si="13"/>
        <v>262.47530060503925</v>
      </c>
      <c r="D134" s="37">
        <v>2.6657119396666928E-2</v>
      </c>
      <c r="E134" s="37">
        <f t="shared" si="15"/>
        <v>2.9498879523211619</v>
      </c>
      <c r="F134" s="245">
        <f t="shared" si="10"/>
        <v>11.347179774867143</v>
      </c>
      <c r="G134" s="246">
        <f t="shared" si="16"/>
        <v>2.8058428393123145</v>
      </c>
    </row>
    <row r="135" spans="1:7" ht="18" customHeight="1" x14ac:dyDescent="0.25">
      <c r="A135" s="242">
        <v>2011</v>
      </c>
      <c r="B135" s="273" t="s">
        <v>18</v>
      </c>
      <c r="C135" s="244">
        <f t="shared" si="13"/>
        <v>261.29483546501217</v>
      </c>
      <c r="D135" s="37">
        <v>-0.44974332339307033</v>
      </c>
      <c r="E135" s="37">
        <f t="shared" si="15"/>
        <v>2.4868777048149271</v>
      </c>
      <c r="F135" s="245">
        <f t="shared" si="10"/>
        <v>9.652930740420107</v>
      </c>
      <c r="G135" s="246">
        <f t="shared" si="16"/>
        <v>2.8185189400638206</v>
      </c>
    </row>
    <row r="136" spans="1:7" ht="18" customHeight="1" x14ac:dyDescent="0.25">
      <c r="A136" s="242">
        <v>2011</v>
      </c>
      <c r="B136" s="273" t="s">
        <v>19</v>
      </c>
      <c r="C136" s="244">
        <f t="shared" si="13"/>
        <v>260.71685685838992</v>
      </c>
      <c r="D136" s="37">
        <v>-0.22119786852795587</v>
      </c>
      <c r="E136" s="37">
        <f t="shared" si="15"/>
        <v>2.2601789158110286</v>
      </c>
      <c r="F136" s="245">
        <f t="shared" si="10"/>
        <v>9.1906929799613568</v>
      </c>
      <c r="G136" s="246">
        <f t="shared" si="16"/>
        <v>2.8247672650449758</v>
      </c>
    </row>
    <row r="137" spans="1:7" ht="18" customHeight="1" x14ac:dyDescent="0.25">
      <c r="A137" s="242">
        <v>2011</v>
      </c>
      <c r="B137" s="273" t="s">
        <v>20</v>
      </c>
      <c r="C137" s="244">
        <f t="shared" si="13"/>
        <v>262.19550177427158</v>
      </c>
      <c r="D137" s="37">
        <v>0.56714588143595979</v>
      </c>
      <c r="E137" s="37">
        <f t="shared" si="15"/>
        <v>2.8401433088810935</v>
      </c>
      <c r="F137" s="245">
        <f t="shared" si="10"/>
        <v>8.4690808317209765</v>
      </c>
      <c r="G137" s="246">
        <f t="shared" si="16"/>
        <v>2.8088370613353653</v>
      </c>
    </row>
    <row r="138" spans="1:7" ht="18" customHeight="1" x14ac:dyDescent="0.25">
      <c r="A138" s="242">
        <v>2011</v>
      </c>
      <c r="B138" s="273" t="s">
        <v>21</v>
      </c>
      <c r="C138" s="244">
        <f t="shared" si="13"/>
        <v>264.14643486252567</v>
      </c>
      <c r="D138" s="37">
        <v>0.74407572786419074</v>
      </c>
      <c r="E138" s="37">
        <f t="shared" si="15"/>
        <v>3.6053518537432216</v>
      </c>
      <c r="F138" s="245">
        <f t="shared" si="10"/>
        <v>7.5563723757687162</v>
      </c>
      <c r="G138" s="246">
        <f t="shared" si="16"/>
        <v>2.7880915488497418</v>
      </c>
    </row>
    <row r="139" spans="1:7" ht="18" customHeight="1" x14ac:dyDescent="0.25">
      <c r="A139" s="242">
        <v>2011</v>
      </c>
      <c r="B139" s="273" t="s">
        <v>22</v>
      </c>
      <c r="C139" s="244">
        <f t="shared" si="13"/>
        <v>265.93602409946118</v>
      </c>
      <c r="D139" s="37">
        <v>0.67749891754809166</v>
      </c>
      <c r="E139" s="37">
        <f t="shared" si="15"/>
        <v>4.3072769910742492</v>
      </c>
      <c r="F139" s="245">
        <f t="shared" si="10"/>
        <v>6.8932256018848115</v>
      </c>
      <c r="G139" s="246">
        <f t="shared" si="16"/>
        <v>2.7693293723288717</v>
      </c>
    </row>
    <row r="140" spans="1:7" ht="18" customHeight="1" x14ac:dyDescent="0.25">
      <c r="A140" s="242">
        <v>2011</v>
      </c>
      <c r="B140" s="273" t="s">
        <v>23</v>
      </c>
      <c r="C140" s="244">
        <f t="shared" si="13"/>
        <v>267.32072196267632</v>
      </c>
      <c r="D140" s="37">
        <v>0.52068833769480793</v>
      </c>
      <c r="E140" s="37">
        <f t="shared" si="15"/>
        <v>4.8503928177337841</v>
      </c>
      <c r="F140" s="245">
        <f t="shared" si="10"/>
        <v>5.510067127619056</v>
      </c>
      <c r="G140" s="246">
        <f t="shared" si="16"/>
        <v>2.7549844893873314</v>
      </c>
    </row>
    <row r="141" spans="1:7" ht="18" customHeight="1" x14ac:dyDescent="0.25">
      <c r="A141" s="242">
        <v>2011</v>
      </c>
      <c r="B141" s="273" t="s">
        <v>12</v>
      </c>
      <c r="C141" s="244">
        <f t="shared" si="13"/>
        <v>266.03099231574362</v>
      </c>
      <c r="D141" s="37">
        <v>-0.48246527147745022</v>
      </c>
      <c r="E141" s="37">
        <f t="shared" si="15"/>
        <v>4.3445260853805401</v>
      </c>
      <c r="F141" s="245">
        <f t="shared" si="10"/>
        <v>4.3445260853805401</v>
      </c>
      <c r="G141" s="246">
        <f t="shared" si="16"/>
        <v>2.7683407722093922</v>
      </c>
    </row>
    <row r="142" spans="1:7" ht="18" customHeight="1" x14ac:dyDescent="0.25">
      <c r="A142" s="242">
        <f>2012</f>
        <v>2012</v>
      </c>
      <c r="B142" s="273" t="s">
        <v>13</v>
      </c>
      <c r="C142" s="244">
        <f t="shared" si="13"/>
        <v>265.83288657425123</v>
      </c>
      <c r="D142" s="37">
        <v>-7.4467166313185729E-2</v>
      </c>
      <c r="E142" s="37">
        <f t="shared" ref="E142:E153" si="17">100*((C142/$C$141)-1)</f>
        <v>-7.4467166313185729E-2</v>
      </c>
      <c r="F142" s="245">
        <f t="shared" si="10"/>
        <v>3.4846903789392369</v>
      </c>
      <c r="G142" s="246">
        <f t="shared" si="16"/>
        <v>2.7704038134246818</v>
      </c>
    </row>
    <row r="143" spans="1:7" ht="18" customHeight="1" x14ac:dyDescent="0.25">
      <c r="A143" s="242">
        <f>2012</f>
        <v>2012</v>
      </c>
      <c r="B143" s="273" t="s">
        <v>14</v>
      </c>
      <c r="C143" s="244">
        <f t="shared" si="13"/>
        <v>265.14921753337916</v>
      </c>
      <c r="D143" s="37">
        <v>-0.25718000871992608</v>
      </c>
      <c r="E143" s="37">
        <f t="shared" si="17"/>
        <v>-0.331455660368285</v>
      </c>
      <c r="F143" s="245">
        <f t="shared" si="10"/>
        <v>1.991884768425245</v>
      </c>
      <c r="G143" s="246">
        <f t="shared" si="16"/>
        <v>2.7775471093226378</v>
      </c>
    </row>
    <row r="144" spans="1:7" ht="18" customHeight="1" x14ac:dyDescent="0.25">
      <c r="A144" s="242">
        <f>2012</f>
        <v>2012</v>
      </c>
      <c r="B144" s="273" t="s">
        <v>15</v>
      </c>
      <c r="C144" s="244">
        <f t="shared" si="13"/>
        <v>266.25718005667443</v>
      </c>
      <c r="D144" s="37">
        <v>0.41786377255885743</v>
      </c>
      <c r="E144" s="37">
        <f t="shared" si="17"/>
        <v>8.5023079063795137E-2</v>
      </c>
      <c r="F144" s="245">
        <f t="shared" si="10"/>
        <v>1.7581585581929016</v>
      </c>
      <c r="G144" s="246">
        <f t="shared" si="16"/>
        <v>2.7659890431583318</v>
      </c>
    </row>
    <row r="145" spans="1:7" ht="18" customHeight="1" x14ac:dyDescent="0.25">
      <c r="A145" s="242">
        <f>2012</f>
        <v>2012</v>
      </c>
      <c r="B145" s="273" t="s">
        <v>16</v>
      </c>
      <c r="C145" s="244">
        <f t="shared" si="13"/>
        <v>268.83102295065214</v>
      </c>
      <c r="D145" s="37">
        <v>0.96667548774829193</v>
      </c>
      <c r="E145" s="37">
        <f t="shared" si="17"/>
        <v>1.0525204640763342</v>
      </c>
      <c r="F145" s="245">
        <f t="shared" si="10"/>
        <v>2.4487580117291685</v>
      </c>
      <c r="G145" s="246">
        <f t="shared" si="16"/>
        <v>2.7395069014567763</v>
      </c>
    </row>
    <row r="146" spans="1:7" ht="18" customHeight="1" x14ac:dyDescent="0.25">
      <c r="A146" s="242">
        <f>2012</f>
        <v>2012</v>
      </c>
      <c r="B146" s="273" t="s">
        <v>17</v>
      </c>
      <c r="C146" s="244">
        <f t="shared" si="13"/>
        <v>271.98131270582815</v>
      </c>
      <c r="D146" s="37">
        <v>1.1718475496610647</v>
      </c>
      <c r="E146" s="37">
        <f t="shared" si="17"/>
        <v>2.2367019490053597</v>
      </c>
      <c r="F146" s="245">
        <f t="shared" si="10"/>
        <v>3.6216787175312515</v>
      </c>
      <c r="G146" s="246">
        <f t="shared" si="16"/>
        <v>2.7077758959695442</v>
      </c>
    </row>
    <row r="147" spans="1:7" ht="18" customHeight="1" x14ac:dyDescent="0.25">
      <c r="A147" s="242">
        <f>2012</f>
        <v>2012</v>
      </c>
      <c r="B147" s="273" t="s">
        <v>18</v>
      </c>
      <c r="C147" s="244">
        <f t="shared" si="13"/>
        <v>273.98126164764733</v>
      </c>
      <c r="D147" s="37">
        <v>0.7353258655613315</v>
      </c>
      <c r="E147" s="37">
        <f t="shared" si="17"/>
        <v>2.9884748625332413</v>
      </c>
      <c r="F147" s="245">
        <f t="shared" ref="F147:F210" si="18">100*((C147/C135)-1)</f>
        <v>4.8552150523977433</v>
      </c>
      <c r="G147" s="246">
        <f t="shared" si="16"/>
        <v>2.6880102612496328</v>
      </c>
    </row>
    <row r="148" spans="1:7" ht="18" customHeight="1" x14ac:dyDescent="0.25">
      <c r="A148" s="242">
        <f>2012</f>
        <v>2012</v>
      </c>
      <c r="B148" s="273" t="s">
        <v>19</v>
      </c>
      <c r="C148" s="244">
        <f t="shared" si="13"/>
        <v>278.93850042122989</v>
      </c>
      <c r="D148" s="37">
        <v>1.8093349683007798</v>
      </c>
      <c r="E148" s="37">
        <f t="shared" si="17"/>
        <v>4.85188135154071</v>
      </c>
      <c r="F148" s="245">
        <f t="shared" si="18"/>
        <v>6.989054632833791</v>
      </c>
      <c r="G148" s="246">
        <f t="shared" si="16"/>
        <v>2.6402394850006319</v>
      </c>
    </row>
    <row r="149" spans="1:7" ht="18" customHeight="1" x14ac:dyDescent="0.25">
      <c r="A149" s="242">
        <f>2012</f>
        <v>2012</v>
      </c>
      <c r="B149" s="273" t="s">
        <v>20</v>
      </c>
      <c r="C149" s="244">
        <f t="shared" si="13"/>
        <v>284.48597176482588</v>
      </c>
      <c r="D149" s="37">
        <v>1.9887793672148657</v>
      </c>
      <c r="E149" s="37">
        <f t="shared" si="17"/>
        <v>6.9371539339967647</v>
      </c>
      <c r="F149" s="245">
        <f t="shared" si="18"/>
        <v>8.5014692623310175</v>
      </c>
      <c r="G149" s="246">
        <f t="shared" si="16"/>
        <v>2.5887548624288748</v>
      </c>
    </row>
    <row r="150" spans="1:7" ht="18" customHeight="1" x14ac:dyDescent="0.25">
      <c r="A150" s="242">
        <f>2012</f>
        <v>2012</v>
      </c>
      <c r="B150" s="273" t="s">
        <v>21</v>
      </c>
      <c r="C150" s="244">
        <f t="shared" si="13"/>
        <v>288.03604707564261</v>
      </c>
      <c r="D150" s="37">
        <v>1.2478911662299641</v>
      </c>
      <c r="E150" s="37">
        <f t="shared" si="17"/>
        <v>8.2716132313568558</v>
      </c>
      <c r="F150" s="245">
        <f t="shared" si="18"/>
        <v>9.0440789880621431</v>
      </c>
      <c r="G150" s="246">
        <f t="shared" si="16"/>
        <v>2.5568481798585085</v>
      </c>
    </row>
    <row r="151" spans="1:7" ht="18" customHeight="1" x14ac:dyDescent="0.25">
      <c r="A151" s="242">
        <f>2012</f>
        <v>2012</v>
      </c>
      <c r="B151" s="273" t="s">
        <v>22</v>
      </c>
      <c r="C151" s="244">
        <f t="shared" si="13"/>
        <v>287.46113195986811</v>
      </c>
      <c r="D151" s="37">
        <v>-0.19959832167238956</v>
      </c>
      <c r="E151" s="37">
        <f t="shared" si="17"/>
        <v>8.0555049084994437</v>
      </c>
      <c r="F151" s="245">
        <f t="shared" si="18"/>
        <v>8.0940925296967059</v>
      </c>
      <c r="G151" s="246">
        <f t="shared" si="16"/>
        <v>2.5619618126384229</v>
      </c>
    </row>
    <row r="152" spans="1:7" ht="18" customHeight="1" x14ac:dyDescent="0.25">
      <c r="A152" s="242">
        <f>2012</f>
        <v>2012</v>
      </c>
      <c r="B152" s="273" t="s">
        <v>23</v>
      </c>
      <c r="C152" s="244">
        <f t="shared" si="13"/>
        <v>286.915830588956</v>
      </c>
      <c r="D152" s="37">
        <v>-0.18969568762021716</v>
      </c>
      <c r="E152" s="37">
        <f t="shared" si="17"/>
        <v>7.8505282754517625</v>
      </c>
      <c r="F152" s="245">
        <f t="shared" si="18"/>
        <v>7.3301869314177592</v>
      </c>
      <c r="G152" s="246">
        <f t="shared" si="16"/>
        <v>2.566830980316583</v>
      </c>
    </row>
    <row r="153" spans="1:7" ht="18" customHeight="1" x14ac:dyDescent="0.25">
      <c r="A153" s="242">
        <f>2012</f>
        <v>2012</v>
      </c>
      <c r="B153" s="273" t="s">
        <v>12</v>
      </c>
      <c r="C153" s="244">
        <f t="shared" si="13"/>
        <v>288.99849378366639</v>
      </c>
      <c r="D153" s="37">
        <v>0.72587949937628071</v>
      </c>
      <c r="E153" s="37">
        <f t="shared" si="17"/>
        <v>8.6333931501722851</v>
      </c>
      <c r="F153" s="245">
        <f t="shared" si="18"/>
        <v>8.6333931501722851</v>
      </c>
      <c r="G153" s="246">
        <f t="shared" si="16"/>
        <v>2.5483331523875923</v>
      </c>
    </row>
    <row r="154" spans="1:7" ht="18" customHeight="1" x14ac:dyDescent="0.25">
      <c r="A154" s="242">
        <f>2013</f>
        <v>2013</v>
      </c>
      <c r="B154" s="273" t="s">
        <v>13</v>
      </c>
      <c r="C154" s="244">
        <f t="shared" si="13"/>
        <v>289.30688519568037</v>
      </c>
      <c r="D154" s="37">
        <v>0.10671038730216686</v>
      </c>
      <c r="E154" s="37">
        <f t="shared" ref="E154:E165" si="19">100*((C154/$C$153)-1)</f>
        <v>0.10671038730216686</v>
      </c>
      <c r="F154" s="245">
        <f t="shared" si="18"/>
        <v>8.8303591492892686</v>
      </c>
      <c r="G154" s="246">
        <f t="shared" si="16"/>
        <v>2.5456167149318598</v>
      </c>
    </row>
    <row r="155" spans="1:7" ht="18" customHeight="1" x14ac:dyDescent="0.25">
      <c r="A155" s="242">
        <f>2013</f>
        <v>2013</v>
      </c>
      <c r="B155" s="273" t="s">
        <v>14</v>
      </c>
      <c r="C155" s="244">
        <f t="shared" si="13"/>
        <v>289.912435219933</v>
      </c>
      <c r="D155" s="37">
        <v>0.20931061624858138</v>
      </c>
      <c r="E155" s="37">
        <f t="shared" si="19"/>
        <v>0.31624435971999709</v>
      </c>
      <c r="F155" s="245">
        <f t="shared" si="18"/>
        <v>9.3393515986659246</v>
      </c>
      <c r="G155" s="246">
        <f t="shared" si="16"/>
        <v>2.5402995981883318</v>
      </c>
    </row>
    <row r="156" spans="1:7" ht="18" customHeight="1" x14ac:dyDescent="0.25">
      <c r="A156" s="242">
        <f>2013</f>
        <v>2013</v>
      </c>
      <c r="B156" s="273" t="s">
        <v>15</v>
      </c>
      <c r="C156" s="244">
        <f t="shared" si="13"/>
        <v>289.95532409180248</v>
      </c>
      <c r="D156" s="37">
        <v>1.4793733092877126E-2</v>
      </c>
      <c r="E156" s="37">
        <f t="shared" si="19"/>
        <v>0.33108487715938217</v>
      </c>
      <c r="F156" s="245">
        <f t="shared" si="18"/>
        <v>8.9004713525786538</v>
      </c>
      <c r="G156" s="246">
        <f t="shared" si="16"/>
        <v>2.5399238486334026</v>
      </c>
    </row>
    <row r="157" spans="1:7" ht="18" customHeight="1" x14ac:dyDescent="0.25">
      <c r="A157" s="242">
        <f>2013</f>
        <v>2013</v>
      </c>
      <c r="B157" s="273" t="s">
        <v>16</v>
      </c>
      <c r="C157" s="244">
        <f t="shared" si="13"/>
        <v>289.60404380791897</v>
      </c>
      <c r="D157" s="37">
        <v>-0.1211497960880048</v>
      </c>
      <c r="E157" s="37">
        <f t="shared" si="19"/>
        <v>0.20953397241780802</v>
      </c>
      <c r="F157" s="245">
        <f t="shared" si="18"/>
        <v>7.7271665409985202</v>
      </c>
      <c r="G157" s="246">
        <f t="shared" si="16"/>
        <v>2.543004693634249</v>
      </c>
    </row>
    <row r="158" spans="1:7" ht="18" customHeight="1" x14ac:dyDescent="0.25">
      <c r="A158" s="242">
        <f>2013</f>
        <v>2013</v>
      </c>
      <c r="B158" s="273" t="s">
        <v>17</v>
      </c>
      <c r="C158" s="244">
        <f t="shared" si="13"/>
        <v>288.72277960736244</v>
      </c>
      <c r="D158" s="37">
        <v>-0.30429968759035919</v>
      </c>
      <c r="E158" s="37">
        <f t="shared" si="19"/>
        <v>-9.5403326395993027E-2</v>
      </c>
      <c r="F158" s="245">
        <f t="shared" si="18"/>
        <v>6.1553739611668323</v>
      </c>
      <c r="G158" s="246">
        <f t="shared" si="16"/>
        <v>2.5507666686380732</v>
      </c>
    </row>
    <row r="159" spans="1:7" ht="18" customHeight="1" x14ac:dyDescent="0.25">
      <c r="A159" s="242">
        <f>2013</f>
        <v>2013</v>
      </c>
      <c r="B159" s="273" t="s">
        <v>18</v>
      </c>
      <c r="C159" s="244">
        <f t="shared" si="13"/>
        <v>290.69719945878313</v>
      </c>
      <c r="D159" s="37">
        <v>0.68384623274468925</v>
      </c>
      <c r="E159" s="37">
        <f t="shared" si="19"/>
        <v>0.58779049429522612</v>
      </c>
      <c r="F159" s="245">
        <f t="shared" si="18"/>
        <v>6.1011244749406446</v>
      </c>
      <c r="G159" s="246">
        <f t="shared" si="16"/>
        <v>2.5334418221783284</v>
      </c>
    </row>
    <row r="160" spans="1:7" ht="18" customHeight="1" x14ac:dyDescent="0.25">
      <c r="A160" s="242">
        <f>2013</f>
        <v>2013</v>
      </c>
      <c r="B160" s="273" t="s">
        <v>19</v>
      </c>
      <c r="C160" s="244">
        <f t="shared" si="13"/>
        <v>291.57591075029984</v>
      </c>
      <c r="D160" s="37">
        <v>0.30227717816087019</v>
      </c>
      <c r="E160" s="37">
        <f t="shared" si="19"/>
        <v>0.89184442897574101</v>
      </c>
      <c r="F160" s="245">
        <f t="shared" si="18"/>
        <v>4.5305364121431602</v>
      </c>
      <c r="G160" s="246">
        <f t="shared" si="16"/>
        <v>2.525806884402364</v>
      </c>
    </row>
    <row r="161" spans="1:7" ht="18" customHeight="1" x14ac:dyDescent="0.25">
      <c r="A161" s="242">
        <f>2013</f>
        <v>2013</v>
      </c>
      <c r="B161" s="273" t="s">
        <v>20</v>
      </c>
      <c r="C161" s="244">
        <f t="shared" si="13"/>
        <v>291.98029154221217</v>
      </c>
      <c r="D161" s="37">
        <v>0.13868799753442573</v>
      </c>
      <c r="E161" s="37">
        <f t="shared" si="19"/>
        <v>1.0317693076898227</v>
      </c>
      <c r="F161" s="245">
        <f t="shared" si="18"/>
        <v>2.6343371980329433</v>
      </c>
      <c r="G161" s="246">
        <f t="shared" si="16"/>
        <v>2.5223087449124093</v>
      </c>
    </row>
    <row r="162" spans="1:7" ht="18" customHeight="1" x14ac:dyDescent="0.25">
      <c r="A162" s="242">
        <f>2013</f>
        <v>2013</v>
      </c>
      <c r="B162" s="273" t="s">
        <v>21</v>
      </c>
      <c r="C162" s="244">
        <f t="shared" si="13"/>
        <v>298.1419928007964</v>
      </c>
      <c r="D162" s="37">
        <v>2.1103140989546576</v>
      </c>
      <c r="E162" s="37">
        <f t="shared" si="19"/>
        <v>3.163856979813362</v>
      </c>
      <c r="F162" s="245">
        <f t="shared" si="18"/>
        <v>3.5085697876209965</v>
      </c>
      <c r="G162" s="246">
        <f t="shared" si="16"/>
        <v>2.4701801842153288</v>
      </c>
    </row>
    <row r="163" spans="1:7" ht="18" customHeight="1" x14ac:dyDescent="0.25">
      <c r="A163" s="242">
        <f>2013</f>
        <v>2013</v>
      </c>
      <c r="B163" s="273" t="s">
        <v>22</v>
      </c>
      <c r="C163" s="244">
        <f t="shared" si="13"/>
        <v>301.40103648107004</v>
      </c>
      <c r="D163" s="37">
        <v>1.0931179635775612</v>
      </c>
      <c r="E163" s="37">
        <f t="shared" si="19"/>
        <v>4.2915596323791716</v>
      </c>
      <c r="F163" s="245">
        <f t="shared" si="18"/>
        <v>4.849318036898298</v>
      </c>
      <c r="G163" s="246">
        <f t="shared" si="16"/>
        <v>2.4434701728215567</v>
      </c>
    </row>
    <row r="164" spans="1:7" ht="18" customHeight="1" x14ac:dyDescent="0.25">
      <c r="A164" s="242">
        <f>2013</f>
        <v>2013</v>
      </c>
      <c r="B164" s="273" t="s">
        <v>23</v>
      </c>
      <c r="C164" s="244">
        <f t="shared" si="13"/>
        <v>301.90242781649675</v>
      </c>
      <c r="D164" s="37">
        <v>0.16635355381673378</v>
      </c>
      <c r="E164" s="37">
        <f t="shared" si="19"/>
        <v>4.4650523481585269</v>
      </c>
      <c r="F164" s="245">
        <f t="shared" si="18"/>
        <v>5.2233427471664928</v>
      </c>
      <c r="G164" s="246">
        <f t="shared" si="16"/>
        <v>2.4394121240609454</v>
      </c>
    </row>
    <row r="165" spans="1:7" ht="18" customHeight="1" x14ac:dyDescent="0.25">
      <c r="A165" s="242">
        <f>2013</f>
        <v>2013</v>
      </c>
      <c r="B165" s="273" t="s">
        <v>12</v>
      </c>
      <c r="C165" s="244">
        <f t="shared" si="13"/>
        <v>303.79617574225813</v>
      </c>
      <c r="D165" s="37">
        <v>0.62727151267309988</v>
      </c>
      <c r="E165" s="37">
        <f t="shared" si="19"/>
        <v>5.1203318622375704</v>
      </c>
      <c r="F165" s="245">
        <f t="shared" si="18"/>
        <v>5.1203318622375704</v>
      </c>
      <c r="G165" s="246">
        <f t="shared" si="16"/>
        <v>2.4242057718455805</v>
      </c>
    </row>
    <row r="166" spans="1:7" ht="18" customHeight="1" x14ac:dyDescent="0.25">
      <c r="A166" s="242">
        <f>2014</f>
        <v>2014</v>
      </c>
      <c r="B166" s="273" t="s">
        <v>13</v>
      </c>
      <c r="C166" s="244">
        <f t="shared" si="13"/>
        <v>304.74126266881092</v>
      </c>
      <c r="D166" s="37">
        <v>0.31109243697478028</v>
      </c>
      <c r="E166" s="37">
        <f t="shared" ref="E166:E177" si="20">100*((C166/$C$165)-1)</f>
        <v>0.31109243697478028</v>
      </c>
      <c r="F166" s="245">
        <f t="shared" si="18"/>
        <v>5.3349499313475102</v>
      </c>
      <c r="G166" s="246">
        <f t="shared" si="16"/>
        <v>2.416687639374183</v>
      </c>
    </row>
    <row r="167" spans="1:7" ht="18" customHeight="1" x14ac:dyDescent="0.25">
      <c r="A167" s="242">
        <f>2014</f>
        <v>2014</v>
      </c>
      <c r="B167" s="273" t="s">
        <v>14</v>
      </c>
      <c r="C167" s="244">
        <f t="shared" si="13"/>
        <v>305.55206657986753</v>
      </c>
      <c r="D167" s="37">
        <v>0.26606305426311039</v>
      </c>
      <c r="E167" s="37">
        <f t="shared" si="20"/>
        <v>0.5779831932772872</v>
      </c>
      <c r="F167" s="245">
        <f t="shared" si="18"/>
        <v>5.3946052186654159</v>
      </c>
      <c r="G167" s="246">
        <f t="shared" si="16"/>
        <v>2.4102747886553528</v>
      </c>
    </row>
    <row r="168" spans="1:7" ht="18" customHeight="1" x14ac:dyDescent="0.25">
      <c r="A168" s="242">
        <f>2014</f>
        <v>2014</v>
      </c>
      <c r="B168" s="273" t="s">
        <v>15</v>
      </c>
      <c r="C168" s="244">
        <f t="shared" si="13"/>
        <v>312.2631538638276</v>
      </c>
      <c r="D168" s="37">
        <v>2.1963809176875237</v>
      </c>
      <c r="E168" s="37">
        <f t="shared" si="20"/>
        <v>2.7870588235293869</v>
      </c>
      <c r="F168" s="245">
        <f t="shared" si="18"/>
        <v>7.6935403210469211</v>
      </c>
      <c r="G168" s="246">
        <f t="shared" si="16"/>
        <v>2.3584737218793208</v>
      </c>
    </row>
    <row r="169" spans="1:7" ht="18" customHeight="1" x14ac:dyDescent="0.25">
      <c r="A169" s="242">
        <f>2014</f>
        <v>2014</v>
      </c>
      <c r="B169" s="273" t="s">
        <v>16</v>
      </c>
      <c r="C169" s="244">
        <f t="shared" si="13"/>
        <v>314.73590155982725</v>
      </c>
      <c r="D169" s="37">
        <v>0.79187943418965734</v>
      </c>
      <c r="E169" s="37">
        <f t="shared" si="20"/>
        <v>3.6010084033613499</v>
      </c>
      <c r="F169" s="245">
        <f t="shared" si="18"/>
        <v>8.6780065020698025</v>
      </c>
      <c r="G169" s="246">
        <f t="shared" si="16"/>
        <v>2.3399441851059501</v>
      </c>
    </row>
    <row r="170" spans="1:7" ht="18" customHeight="1" x14ac:dyDescent="0.25">
      <c r="A170" s="242">
        <f>2014</f>
        <v>2014</v>
      </c>
      <c r="B170" s="273" t="s">
        <v>17</v>
      </c>
      <c r="C170" s="244">
        <f t="shared" si="13"/>
        <v>312.68693676444292</v>
      </c>
      <c r="D170" s="37">
        <v>-0.65101082692813339</v>
      </c>
      <c r="E170" s="37">
        <f t="shared" si="20"/>
        <v>2.9265546218487426</v>
      </c>
      <c r="F170" s="245">
        <f t="shared" si="18"/>
        <v>8.3000576503418309</v>
      </c>
      <c r="G170" s="246">
        <f t="shared" si="16"/>
        <v>2.35527729530255</v>
      </c>
    </row>
    <row r="171" spans="1:7" ht="18" customHeight="1" x14ac:dyDescent="0.25">
      <c r="A171" s="242">
        <f>2014</f>
        <v>2014</v>
      </c>
      <c r="B171" s="273" t="s">
        <v>18</v>
      </c>
      <c r="C171" s="244">
        <f t="shared" si="13"/>
        <v>308.18411579995393</v>
      </c>
      <c r="D171" s="37">
        <v>-1.4400412793327266</v>
      </c>
      <c r="E171" s="37">
        <f t="shared" si="20"/>
        <v>1.4443697478991879</v>
      </c>
      <c r="F171" s="245">
        <f t="shared" si="18"/>
        <v>6.0155090498731134</v>
      </c>
      <c r="G171" s="246">
        <f t="shared" si="16"/>
        <v>2.3896898150878245</v>
      </c>
    </row>
    <row r="172" spans="1:7" ht="18" customHeight="1" x14ac:dyDescent="0.25">
      <c r="A172" s="242">
        <f>2014</f>
        <v>2014</v>
      </c>
      <c r="B172" s="273" t="s">
        <v>19</v>
      </c>
      <c r="C172" s="244">
        <f t="shared" si="13"/>
        <v>304.76270710474574</v>
      </c>
      <c r="D172" s="37">
        <v>-1.1101833351557566</v>
      </c>
      <c r="E172" s="37">
        <f t="shared" si="20"/>
        <v>0.31815126050422915</v>
      </c>
      <c r="F172" s="245">
        <f t="shared" si="18"/>
        <v>4.522594586264983</v>
      </c>
      <c r="G172" s="246">
        <f t="shared" si="16"/>
        <v>2.4165175906705563</v>
      </c>
    </row>
    <row r="173" spans="1:7" ht="18" customHeight="1" x14ac:dyDescent="0.25">
      <c r="A173" s="242">
        <f>2014</f>
        <v>2014</v>
      </c>
      <c r="B173" s="273" t="s">
        <v>20</v>
      </c>
      <c r="C173" s="244">
        <f t="shared" si="13"/>
        <v>303.39945367746532</v>
      </c>
      <c r="D173" s="37">
        <v>-0.44731635318223661</v>
      </c>
      <c r="E173" s="37">
        <f t="shared" si="20"/>
        <v>-0.13058823529411567</v>
      </c>
      <c r="F173" s="245">
        <f t="shared" si="18"/>
        <v>3.9109359316473746</v>
      </c>
      <c r="G173" s="246">
        <f t="shared" si="16"/>
        <v>2.4273756388563221</v>
      </c>
    </row>
    <row r="174" spans="1:7" ht="18" customHeight="1" x14ac:dyDescent="0.25">
      <c r="A174" s="242">
        <f>2014</f>
        <v>2014</v>
      </c>
      <c r="B174" s="273" t="s">
        <v>21</v>
      </c>
      <c r="C174" s="244">
        <f t="shared" si="13"/>
        <v>303.78085828801903</v>
      </c>
      <c r="D174" s="37">
        <v>0.12571038145612334</v>
      </c>
      <c r="E174" s="37">
        <f t="shared" si="20"/>
        <v>-5.0420168067222271E-3</v>
      </c>
      <c r="F174" s="245">
        <f t="shared" si="18"/>
        <v>1.8913355459424519</v>
      </c>
      <c r="G174" s="246">
        <f t="shared" si="16"/>
        <v>2.424328006871137</v>
      </c>
    </row>
    <row r="175" spans="1:7" ht="18" customHeight="1" x14ac:dyDescent="0.25">
      <c r="A175" s="242">
        <f>2014</f>
        <v>2014</v>
      </c>
      <c r="B175" s="273" t="s">
        <v>22</v>
      </c>
      <c r="C175" s="244">
        <f t="shared" ref="C175:C238" si="21">+C174*(1+D175/100)</f>
        <v>304.49158816471351</v>
      </c>
      <c r="D175" s="37">
        <v>0.2339613762038395</v>
      </c>
      <c r="E175" s="37">
        <f t="shared" si="20"/>
        <v>0.22890756302520465</v>
      </c>
      <c r="F175" s="245">
        <f t="shared" si="18"/>
        <v>1.0253951743917078</v>
      </c>
      <c r="G175" s="246">
        <f t="shared" si="16"/>
        <v>2.4186692549963289</v>
      </c>
    </row>
    <row r="176" spans="1:7" ht="18" customHeight="1" x14ac:dyDescent="0.25">
      <c r="A176" s="242">
        <f>2014</f>
        <v>2014</v>
      </c>
      <c r="B176" s="273" t="s">
        <v>23</v>
      </c>
      <c r="C176" s="244">
        <f t="shared" si="21"/>
        <v>308.31431416098633</v>
      </c>
      <c r="D176" s="37">
        <v>1.255445517990772</v>
      </c>
      <c r="E176" s="37">
        <f t="shared" si="20"/>
        <v>1.4872268907563324</v>
      </c>
      <c r="F176" s="245">
        <f t="shared" si="18"/>
        <v>2.1238273540439501</v>
      </c>
      <c r="G176" s="246">
        <f t="shared" si="16"/>
        <v>2.3886806705784398</v>
      </c>
    </row>
    <row r="177" spans="1:7" ht="18" customHeight="1" x14ac:dyDescent="0.25">
      <c r="A177" s="242">
        <f>2014</f>
        <v>2014</v>
      </c>
      <c r="B177" s="273" t="s">
        <v>12</v>
      </c>
      <c r="C177" s="244">
        <f t="shared" si="21"/>
        <v>310.25809910392877</v>
      </c>
      <c r="D177" s="37">
        <v>0.6304556271518047</v>
      </c>
      <c r="E177" s="37">
        <f t="shared" si="20"/>
        <v>2.1270588235294152</v>
      </c>
      <c r="F177" s="245">
        <f t="shared" si="18"/>
        <v>2.1270588235294152</v>
      </c>
      <c r="G177" s="246">
        <f t="shared" si="16"/>
        <v>2.373715447964178</v>
      </c>
    </row>
    <row r="178" spans="1:7" ht="18" customHeight="1" x14ac:dyDescent="0.25">
      <c r="A178" s="242">
        <f>2015</f>
        <v>2015</v>
      </c>
      <c r="B178" s="273" t="s">
        <v>13</v>
      </c>
      <c r="C178" s="244">
        <f t="shared" si="21"/>
        <v>312.00326772357084</v>
      </c>
      <c r="D178" s="37">
        <v>0.56248930315836443</v>
      </c>
      <c r="E178" s="37">
        <f t="shared" ref="E178:E189" si="22">100*((C178/$C$177)-1)</f>
        <v>0.56248930315836443</v>
      </c>
      <c r="F178" s="245">
        <f t="shared" si="18"/>
        <v>2.3830068140960003</v>
      </c>
      <c r="G178" s="246">
        <f t="shared" si="16"/>
        <v>2.3604382353824911</v>
      </c>
    </row>
    <row r="179" spans="1:7" ht="18" customHeight="1" x14ac:dyDescent="0.25">
      <c r="A179" s="242">
        <f>2015</f>
        <v>2015</v>
      </c>
      <c r="B179" s="273" t="s">
        <v>14</v>
      </c>
      <c r="C179" s="244">
        <f t="shared" si="21"/>
        <v>311.72908529269091</v>
      </c>
      <c r="D179" s="37">
        <v>-8.7878063867863343E-2</v>
      </c>
      <c r="E179" s="37">
        <f t="shared" si="22"/>
        <v>0.47411693458141446</v>
      </c>
      <c r="F179" s="245">
        <f t="shared" si="18"/>
        <v>2.0215928440493025</v>
      </c>
      <c r="G179" s="246">
        <f t="shared" si="16"/>
        <v>2.3625143672670457</v>
      </c>
    </row>
    <row r="180" spans="1:7" ht="18" customHeight="1" x14ac:dyDescent="0.25">
      <c r="A180" s="242">
        <f>2015</f>
        <v>2015</v>
      </c>
      <c r="B180" s="273" t="s">
        <v>15</v>
      </c>
      <c r="C180" s="244">
        <f t="shared" si="21"/>
        <v>314.59855505348332</v>
      </c>
      <c r="D180" s="37">
        <v>0.92050113260948585</v>
      </c>
      <c r="E180" s="37">
        <f t="shared" si="22"/>
        <v>1.3989823189436201</v>
      </c>
      <c r="F180" s="245">
        <f t="shared" si="18"/>
        <v>0.74789521618492394</v>
      </c>
      <c r="G180" s="246">
        <f t="shared" si="16"/>
        <v>2.3409657510149526</v>
      </c>
    </row>
    <row r="181" spans="1:7" ht="18" customHeight="1" x14ac:dyDescent="0.25">
      <c r="A181" s="242">
        <f>2015</f>
        <v>2015</v>
      </c>
      <c r="B181" s="273" t="s">
        <v>16</v>
      </c>
      <c r="C181" s="244">
        <f t="shared" si="21"/>
        <v>319.02836281943257</v>
      </c>
      <c r="D181" s="37">
        <v>1.4080826802259638</v>
      </c>
      <c r="E181" s="37">
        <f t="shared" si="22"/>
        <v>2.8267638269020567</v>
      </c>
      <c r="F181" s="245">
        <f t="shared" si="18"/>
        <v>1.3638295594280647</v>
      </c>
      <c r="G181" s="246">
        <f t="shared" si="16"/>
        <v>2.3084607155001744</v>
      </c>
    </row>
    <row r="182" spans="1:7" ht="18" customHeight="1" x14ac:dyDescent="0.25">
      <c r="A182" s="242">
        <f>2015</f>
        <v>2015</v>
      </c>
      <c r="B182" s="273" t="s">
        <v>17</v>
      </c>
      <c r="C182" s="244">
        <f t="shared" si="21"/>
        <v>319.98110847310494</v>
      </c>
      <c r="D182" s="37">
        <v>0.29863979655364581</v>
      </c>
      <c r="E182" s="37">
        <f t="shared" si="22"/>
        <v>3.1338454651974157</v>
      </c>
      <c r="F182" s="245">
        <f t="shared" si="18"/>
        <v>2.3327395074892232</v>
      </c>
      <c r="G182" s="246">
        <f t="shared" si="16"/>
        <v>2.3015872599894376</v>
      </c>
    </row>
    <row r="183" spans="1:7" ht="18" customHeight="1" x14ac:dyDescent="0.25">
      <c r="A183" s="242">
        <f>2015</f>
        <v>2015</v>
      </c>
      <c r="B183" s="273" t="s">
        <v>18</v>
      </c>
      <c r="C183" s="244">
        <f t="shared" si="21"/>
        <v>321.3060682647876</v>
      </c>
      <c r="D183" s="37">
        <v>0.4140743802048652</v>
      </c>
      <c r="E183" s="37">
        <f t="shared" si="22"/>
        <v>3.5608962965888669</v>
      </c>
      <c r="F183" s="245">
        <f t="shared" si="18"/>
        <v>4.2578289379947343</v>
      </c>
      <c r="G183" s="246">
        <f t="shared" si="16"/>
        <v>2.2920962765386612</v>
      </c>
    </row>
    <row r="184" spans="1:7" ht="18" customHeight="1" x14ac:dyDescent="0.25">
      <c r="A184" s="242">
        <f>2015</f>
        <v>2015</v>
      </c>
      <c r="B184" s="273" t="s">
        <v>19</v>
      </c>
      <c r="C184" s="244">
        <f t="shared" si="21"/>
        <v>323.64555410890694</v>
      </c>
      <c r="D184" s="37">
        <v>0.72811754124462169</v>
      </c>
      <c r="E184" s="37">
        <f t="shared" si="22"/>
        <v>4.3149413483944965</v>
      </c>
      <c r="F184" s="245">
        <f t="shared" si="18"/>
        <v>6.1959178613252064</v>
      </c>
      <c r="G184" s="246">
        <f t="shared" si="16"/>
        <v>2.2755277597639294</v>
      </c>
    </row>
    <row r="185" spans="1:7" ht="18" customHeight="1" x14ac:dyDescent="0.25">
      <c r="A185" s="242">
        <f>2015</f>
        <v>2015</v>
      </c>
      <c r="B185" s="273" t="s">
        <v>20</v>
      </c>
      <c r="C185" s="244">
        <f t="shared" si="21"/>
        <v>324.29297184141319</v>
      </c>
      <c r="D185" s="37">
        <v>0.20003912437134286</v>
      </c>
      <c r="E185" s="37">
        <f t="shared" si="22"/>
        <v>4.5236120436562999</v>
      </c>
      <c r="F185" s="245">
        <f t="shared" si="18"/>
        <v>6.8864719137428532</v>
      </c>
      <c r="G185" s="246">
        <f t="shared" si="16"/>
        <v>2.2709849014524583</v>
      </c>
    </row>
    <row r="186" spans="1:7" ht="18" customHeight="1" x14ac:dyDescent="0.25">
      <c r="A186" s="242">
        <f>2015</f>
        <v>2015</v>
      </c>
      <c r="B186" s="273" t="s">
        <v>21</v>
      </c>
      <c r="C186" s="244">
        <f t="shared" si="21"/>
        <v>328.5180363023664</v>
      </c>
      <c r="D186" s="37">
        <v>1.3028541559079398</v>
      </c>
      <c r="E186" s="37">
        <f t="shared" si="22"/>
        <v>5.8854022670721706</v>
      </c>
      <c r="F186" s="245">
        <f t="shared" si="18"/>
        <v>8.1430996520833077</v>
      </c>
      <c r="G186" s="246">
        <f t="shared" si="16"/>
        <v>2.2417778061389551</v>
      </c>
    </row>
    <row r="187" spans="1:7" ht="18" customHeight="1" x14ac:dyDescent="0.25">
      <c r="A187" s="242">
        <f>2015</f>
        <v>2015</v>
      </c>
      <c r="B187" s="273" t="s">
        <v>22</v>
      </c>
      <c r="C187" s="244">
        <f t="shared" si="21"/>
        <v>337.14329478440669</v>
      </c>
      <c r="D187" s="37">
        <v>2.6255053083604984</v>
      </c>
      <c r="E187" s="37">
        <f t="shared" si="22"/>
        <v>8.6654291243730022</v>
      </c>
      <c r="F187" s="245">
        <f t="shared" si="18"/>
        <v>10.723352594565071</v>
      </c>
      <c r="G187" s="246">
        <f t="shared" si="16"/>
        <v>2.1844255961547274</v>
      </c>
    </row>
    <row r="188" spans="1:7" ht="18" customHeight="1" x14ac:dyDescent="0.25">
      <c r="A188" s="242">
        <f>2015</f>
        <v>2015</v>
      </c>
      <c r="B188" s="273" t="s">
        <v>23</v>
      </c>
      <c r="C188" s="244">
        <f t="shared" si="21"/>
        <v>343.66495621760987</v>
      </c>
      <c r="D188" s="37">
        <v>1.9343885920595216</v>
      </c>
      <c r="E188" s="37">
        <f t="shared" si="22"/>
        <v>10.7674407888674</v>
      </c>
      <c r="F188" s="245">
        <f t="shared" si="18"/>
        <v>11.465780352372867</v>
      </c>
      <c r="G188" s="246">
        <f t="shared" si="16"/>
        <v>2.1429721866452529</v>
      </c>
    </row>
    <row r="189" spans="1:7" ht="18" customHeight="1" x14ac:dyDescent="0.25">
      <c r="A189" s="242">
        <f>2015</f>
        <v>2015</v>
      </c>
      <c r="B189" s="273" t="s">
        <v>12</v>
      </c>
      <c r="C189" s="244">
        <f t="shared" si="21"/>
        <v>345.00625462714754</v>
      </c>
      <c r="D189" s="37">
        <v>0.39029245934762979</v>
      </c>
      <c r="E189" s="37">
        <f t="shared" si="22"/>
        <v>11.199757757678718</v>
      </c>
      <c r="F189" s="245">
        <f t="shared" si="18"/>
        <v>11.199757757678718</v>
      </c>
      <c r="G189" s="246">
        <f t="shared" si="16"/>
        <v>2.134640844395423</v>
      </c>
    </row>
    <row r="190" spans="1:7" ht="18" customHeight="1" x14ac:dyDescent="0.25">
      <c r="A190" s="242">
        <f>2016</f>
        <v>2016</v>
      </c>
      <c r="B190" s="273" t="s">
        <v>13</v>
      </c>
      <c r="C190" s="244">
        <f t="shared" si="21"/>
        <v>348.94998851190928</v>
      </c>
      <c r="D190" s="37">
        <v>1.1430905474521857</v>
      </c>
      <c r="E190" s="37">
        <f t="shared" ref="E190:E201" si="23">100*((C190/$C$189)-1)</f>
        <v>1.1430905474521857</v>
      </c>
      <c r="F190" s="245">
        <f t="shared" si="18"/>
        <v>11.841773664073463</v>
      </c>
      <c r="G190" s="246">
        <f t="shared" si="16"/>
        <v>2.1105157384862956</v>
      </c>
    </row>
    <row r="191" spans="1:7" ht="18" customHeight="1" x14ac:dyDescent="0.25">
      <c r="A191" s="242">
        <f>2016</f>
        <v>2016</v>
      </c>
      <c r="B191" s="273" t="s">
        <v>14</v>
      </c>
      <c r="C191" s="244">
        <f t="shared" si="21"/>
        <v>354.00679073804599</v>
      </c>
      <c r="D191" s="37">
        <v>1.4491481279885754</v>
      </c>
      <c r="E191" s="37">
        <f t="shared" si="23"/>
        <v>2.6088037507103756</v>
      </c>
      <c r="F191" s="245">
        <f t="shared" si="18"/>
        <v>13.56232300417506</v>
      </c>
      <c r="G191" s="246">
        <f t="shared" si="16"/>
        <v>2.0803681227797615</v>
      </c>
    </row>
    <row r="192" spans="1:7" ht="18" customHeight="1" x14ac:dyDescent="0.25">
      <c r="A192" s="242">
        <f>2016</f>
        <v>2016</v>
      </c>
      <c r="B192" s="273" t="s">
        <v>15</v>
      </c>
      <c r="C192" s="244">
        <f t="shared" si="21"/>
        <v>355.58142503382595</v>
      </c>
      <c r="D192" s="37">
        <v>0.44480341535175771</v>
      </c>
      <c r="E192" s="37">
        <f t="shared" si="23"/>
        <v>3.0652112142451227</v>
      </c>
      <c r="F192" s="245">
        <f t="shared" si="18"/>
        <v>13.027036940260373</v>
      </c>
      <c r="G192" s="246">
        <f t="shared" si="16"/>
        <v>2.0711555521465659</v>
      </c>
    </row>
    <row r="193" spans="1:7" ht="18" customHeight="1" x14ac:dyDescent="0.25">
      <c r="A193" s="242">
        <f>2016</f>
        <v>2016</v>
      </c>
      <c r="B193" s="273" t="s">
        <v>16</v>
      </c>
      <c r="C193" s="244">
        <f t="shared" si="21"/>
        <v>356.62199075846917</v>
      </c>
      <c r="D193" s="37">
        <v>0.29263781834054647</v>
      </c>
      <c r="E193" s="37">
        <f t="shared" si="23"/>
        <v>3.3668189998105724</v>
      </c>
      <c r="F193" s="245">
        <f t="shared" si="18"/>
        <v>11.783788628321524</v>
      </c>
      <c r="G193" s="246">
        <f t="shared" si="16"/>
        <v>2.0651122527039698</v>
      </c>
    </row>
    <row r="194" spans="1:7" ht="18" customHeight="1" x14ac:dyDescent="0.25">
      <c r="A194" s="242">
        <f>2016</f>
        <v>2016</v>
      </c>
      <c r="B194" s="273" t="s">
        <v>17</v>
      </c>
      <c r="C194" s="244">
        <f t="shared" si="21"/>
        <v>360.11896556125697</v>
      </c>
      <c r="D194" s="37">
        <v>0.98058305247816779</v>
      </c>
      <c r="E194" s="37">
        <f t="shared" si="23"/>
        <v>4.3804165088084934</v>
      </c>
      <c r="F194" s="245">
        <f t="shared" si="18"/>
        <v>12.543820877327105</v>
      </c>
      <c r="G194" s="246">
        <f t="shared" si="16"/>
        <v>2.0450587531572881</v>
      </c>
    </row>
    <row r="195" spans="1:7" ht="18" customHeight="1" x14ac:dyDescent="0.25">
      <c r="A195" s="242">
        <f>2016</f>
        <v>2016</v>
      </c>
      <c r="B195" s="273" t="s">
        <v>18</v>
      </c>
      <c r="C195" s="244">
        <f t="shared" si="21"/>
        <v>368.07759041386049</v>
      </c>
      <c r="D195" s="37">
        <v>2.2099988097543655</v>
      </c>
      <c r="E195" s="37">
        <f t="shared" si="23"/>
        <v>6.6872224712698047</v>
      </c>
      <c r="F195" s="245">
        <f t="shared" si="18"/>
        <v>14.556688083005209</v>
      </c>
      <c r="G195" s="246">
        <f t="shared" si="16"/>
        <v>2.0008402083672845</v>
      </c>
    </row>
    <row r="196" spans="1:7" ht="18" customHeight="1" x14ac:dyDescent="0.25">
      <c r="A196" s="242">
        <f>2016</f>
        <v>2016</v>
      </c>
      <c r="B196" s="273" t="s">
        <v>19</v>
      </c>
      <c r="C196" s="244">
        <f t="shared" si="21"/>
        <v>368.04077346696005</v>
      </c>
      <c r="D196" s="37">
        <v>-1.0002496174532638E-2</v>
      </c>
      <c r="E196" s="37">
        <f t="shared" si="23"/>
        <v>6.6765510859234212</v>
      </c>
      <c r="F196" s="245">
        <f t="shared" si="18"/>
        <v>13.717234423406932</v>
      </c>
      <c r="G196" s="246">
        <f t="shared" ref="G196:G259" si="24">+$C$301/C196</f>
        <v>2.0010403623529793</v>
      </c>
    </row>
    <row r="197" spans="1:7" ht="18" customHeight="1" x14ac:dyDescent="0.25">
      <c r="A197" s="242">
        <f>2016</f>
        <v>2016</v>
      </c>
      <c r="B197" s="273" t="s">
        <v>20</v>
      </c>
      <c r="C197" s="244">
        <f t="shared" si="21"/>
        <v>368.18797574398025</v>
      </c>
      <c r="D197" s="37">
        <v>3.9996187279345286E-2</v>
      </c>
      <c r="E197" s="37">
        <f t="shared" si="23"/>
        <v>6.7192176390788783</v>
      </c>
      <c r="F197" s="245">
        <f t="shared" si="18"/>
        <v>13.535601358648242</v>
      </c>
      <c r="G197" s="246">
        <f t="shared" si="24"/>
        <v>2.0002403424795641</v>
      </c>
    </row>
    <row r="198" spans="1:7" ht="18" customHeight="1" x14ac:dyDescent="0.25">
      <c r="A198" s="242">
        <f>2016</f>
        <v>2016</v>
      </c>
      <c r="B198" s="273" t="s">
        <v>21</v>
      </c>
      <c r="C198" s="244">
        <f t="shared" si="21"/>
        <v>368.85071354347946</v>
      </c>
      <c r="D198" s="37">
        <v>0.17999984876204689</v>
      </c>
      <c r="E198" s="37">
        <f t="shared" si="23"/>
        <v>6.9113120694292762</v>
      </c>
      <c r="F198" s="245">
        <f t="shared" si="18"/>
        <v>12.27715765474473</v>
      </c>
      <c r="G198" s="246">
        <f t="shared" si="24"/>
        <v>1.9966463820116305</v>
      </c>
    </row>
    <row r="199" spans="1:7" ht="18" customHeight="1" x14ac:dyDescent="0.25">
      <c r="A199" s="242">
        <f>2016</f>
        <v>2016</v>
      </c>
      <c r="B199" s="273" t="s">
        <v>22</v>
      </c>
      <c r="C199" s="244">
        <f t="shared" si="21"/>
        <v>369.40398316100237</v>
      </c>
      <c r="D199" s="37">
        <v>0.14999825056802862</v>
      </c>
      <c r="E199" s="37">
        <f t="shared" si="23"/>
        <v>7.071677167192747</v>
      </c>
      <c r="F199" s="245">
        <f t="shared" si="18"/>
        <v>9.5688358260915365</v>
      </c>
      <c r="G199" s="246">
        <f t="shared" si="24"/>
        <v>1.9936559329898</v>
      </c>
    </row>
    <row r="200" spans="1:7" ht="18" customHeight="1" x14ac:dyDescent="0.25">
      <c r="A200" s="242">
        <f>2016</f>
        <v>2016</v>
      </c>
      <c r="B200" s="273" t="s">
        <v>23</v>
      </c>
      <c r="C200" s="244">
        <f t="shared" si="21"/>
        <v>368.81293031549927</v>
      </c>
      <c r="D200" s="37">
        <v>-0.16000175213202183</v>
      </c>
      <c r="E200" s="37">
        <f t="shared" si="23"/>
        <v>6.900360607688083</v>
      </c>
      <c r="F200" s="245">
        <f t="shared" si="18"/>
        <v>7.3175846541553069</v>
      </c>
      <c r="G200" s="246">
        <f t="shared" si="24"/>
        <v>1.9968509294644077</v>
      </c>
    </row>
    <row r="201" spans="1:7" ht="18" customHeight="1" x14ac:dyDescent="0.25">
      <c r="A201" s="242">
        <f>2016</f>
        <v>2016</v>
      </c>
      <c r="B201" s="273" t="s">
        <v>12</v>
      </c>
      <c r="C201" s="244">
        <f t="shared" si="21"/>
        <v>371.35773799353984</v>
      </c>
      <c r="D201" s="37">
        <v>0.68999958213602497</v>
      </c>
      <c r="E201" s="37">
        <f t="shared" si="23"/>
        <v>7.6379726491830224</v>
      </c>
      <c r="F201" s="245">
        <f t="shared" si="18"/>
        <v>7.6379726491830224</v>
      </c>
      <c r="G201" s="246">
        <f t="shared" si="24"/>
        <v>1.9831670848657748</v>
      </c>
    </row>
    <row r="202" spans="1:7" ht="18" customHeight="1" x14ac:dyDescent="0.25">
      <c r="A202" s="242">
        <f>2017</f>
        <v>2017</v>
      </c>
      <c r="B202" s="273" t="s">
        <v>13</v>
      </c>
      <c r="C202" s="244">
        <f t="shared" si="21"/>
        <v>373.94025260361281</v>
      </c>
      <c r="D202" s="37">
        <v>0.69542501632695597</v>
      </c>
      <c r="E202" s="37">
        <f t="shared" ref="E202:E213" si="25">100*((C202/$C$201)-1)</f>
        <v>0.69542501632695597</v>
      </c>
      <c r="F202" s="245">
        <f t="shared" si="18"/>
        <v>7.1615603709500153</v>
      </c>
      <c r="G202" s="246">
        <f t="shared" si="24"/>
        <v>1.9694708915963364</v>
      </c>
    </row>
    <row r="203" spans="1:7" ht="18" customHeight="1" x14ac:dyDescent="0.25">
      <c r="A203" s="242">
        <f>2017</f>
        <v>2017</v>
      </c>
      <c r="B203" s="273" t="s">
        <v>14</v>
      </c>
      <c r="C203" s="244">
        <f t="shared" si="21"/>
        <v>373.58693111089423</v>
      </c>
      <c r="D203" s="37">
        <v>-9.4486081735922767E-2</v>
      </c>
      <c r="E203" s="37">
        <f t="shared" si="25"/>
        <v>0.60028185474167994</v>
      </c>
      <c r="F203" s="245">
        <f t="shared" si="18"/>
        <v>5.5310069990541333</v>
      </c>
      <c r="G203" s="246">
        <f t="shared" si="24"/>
        <v>1.9713335274043273</v>
      </c>
    </row>
    <row r="204" spans="1:7" ht="18" customHeight="1" x14ac:dyDescent="0.25">
      <c r="A204" s="242">
        <f>2017</f>
        <v>2017</v>
      </c>
      <c r="B204" s="273" t="s">
        <v>15</v>
      </c>
      <c r="C204" s="244">
        <f t="shared" si="21"/>
        <v>372.94053658808826</v>
      </c>
      <c r="D204" s="37">
        <v>-0.17302385843205315</v>
      </c>
      <c r="E204" s="37">
        <f t="shared" si="25"/>
        <v>0.42621936548308259</v>
      </c>
      <c r="F204" s="245">
        <f t="shared" si="18"/>
        <v>4.8818949281760116</v>
      </c>
      <c r="G204" s="246">
        <f t="shared" si="24"/>
        <v>1.9747503165965017</v>
      </c>
    </row>
    <row r="205" spans="1:7" ht="18" customHeight="1" x14ac:dyDescent="0.25">
      <c r="A205" s="242">
        <f>2017</f>
        <v>2017</v>
      </c>
      <c r="B205" s="273" t="s">
        <v>16</v>
      </c>
      <c r="C205" s="244">
        <f t="shared" si="21"/>
        <v>366.33771354786222</v>
      </c>
      <c r="D205" s="37">
        <v>-1.7704760926857466</v>
      </c>
      <c r="E205" s="37">
        <f t="shared" si="25"/>
        <v>-1.3518028391709347</v>
      </c>
      <c r="F205" s="245">
        <f t="shared" si="18"/>
        <v>2.7243756810199748</v>
      </c>
      <c r="G205" s="246">
        <f t="shared" si="24"/>
        <v>2.0103429580497645</v>
      </c>
    </row>
    <row r="206" spans="1:7" ht="18" customHeight="1" x14ac:dyDescent="0.25">
      <c r="A206" s="242">
        <f>2017</f>
        <v>2017</v>
      </c>
      <c r="B206" s="273" t="s">
        <v>17</v>
      </c>
      <c r="C206" s="244">
        <f t="shared" si="21"/>
        <v>360.64065976787128</v>
      </c>
      <c r="D206" s="37">
        <v>-1.5551371232890077</v>
      </c>
      <c r="E206" s="37">
        <f t="shared" si="25"/>
        <v>-2.8859175746743126</v>
      </c>
      <c r="F206" s="245">
        <f t="shared" si="18"/>
        <v>0.14486718459862935</v>
      </c>
      <c r="G206" s="246">
        <f t="shared" si="24"/>
        <v>2.042100419772487</v>
      </c>
    </row>
    <row r="207" spans="1:7" ht="18" customHeight="1" x14ac:dyDescent="0.25">
      <c r="A207" s="242">
        <f>2017</f>
        <v>2017</v>
      </c>
      <c r="B207" s="273" t="s">
        <v>18</v>
      </c>
      <c r="C207" s="244">
        <f t="shared" si="21"/>
        <v>356.24354315617722</v>
      </c>
      <c r="D207" s="37">
        <v>-1.219251488316464</v>
      </c>
      <c r="E207" s="37">
        <f t="shared" si="25"/>
        <v>-4.06998247000997</v>
      </c>
      <c r="F207" s="245">
        <f t="shared" si="18"/>
        <v>-3.2150958292183063</v>
      </c>
      <c r="G207" s="246">
        <f t="shared" si="24"/>
        <v>2.0673060799199678</v>
      </c>
    </row>
    <row r="208" spans="1:7" ht="18" customHeight="1" x14ac:dyDescent="0.25">
      <c r="A208" s="242">
        <f>2017</f>
        <v>2017</v>
      </c>
      <c r="B208" s="273" t="s">
        <v>19</v>
      </c>
      <c r="C208" s="244">
        <f t="shared" si="21"/>
        <v>352.10478012152885</v>
      </c>
      <c r="D208" s="37">
        <v>-1.1617791014485679</v>
      </c>
      <c r="E208" s="37">
        <f t="shared" si="25"/>
        <v>-5.1844773656893439</v>
      </c>
      <c r="F208" s="245">
        <f t="shared" si="18"/>
        <v>-4.3299532264627789</v>
      </c>
      <c r="G208" s="246">
        <f t="shared" si="24"/>
        <v>2.0916059203876927</v>
      </c>
    </row>
    <row r="209" spans="1:7" ht="18" customHeight="1" x14ac:dyDescent="0.25">
      <c r="A209" s="242">
        <f>2017</f>
        <v>2017</v>
      </c>
      <c r="B209" s="273" t="s">
        <v>20</v>
      </c>
      <c r="C209" s="244">
        <f t="shared" si="21"/>
        <v>351.93679923843001</v>
      </c>
      <c r="D209" s="37">
        <v>-4.7707640617900005E-2</v>
      </c>
      <c r="E209" s="37">
        <f t="shared" si="25"/>
        <v>-5.229711614477706</v>
      </c>
      <c r="F209" s="245">
        <f t="shared" si="18"/>
        <v>-4.4138259737331875</v>
      </c>
      <c r="G209" s="246">
        <f t="shared" si="24"/>
        <v>2.0926042525040325</v>
      </c>
    </row>
    <row r="210" spans="1:7" ht="18" customHeight="1" x14ac:dyDescent="0.25">
      <c r="A210" s="242">
        <f>2017</f>
        <v>2017</v>
      </c>
      <c r="B210" s="273" t="s">
        <v>21</v>
      </c>
      <c r="C210" s="244">
        <f t="shared" si="21"/>
        <v>354.54535343828422</v>
      </c>
      <c r="D210" s="37">
        <v>0.74119961467484785</v>
      </c>
      <c r="E210" s="37">
        <f t="shared" si="25"/>
        <v>-4.5272746021379762</v>
      </c>
      <c r="F210" s="245">
        <f t="shared" si="18"/>
        <v>-3.8783604260288151</v>
      </c>
      <c r="G210" s="246">
        <f t="shared" si="24"/>
        <v>2.0772079948502076</v>
      </c>
    </row>
    <row r="211" spans="1:7" ht="18" customHeight="1" x14ac:dyDescent="0.25">
      <c r="A211" s="242">
        <f>2017</f>
        <v>2017</v>
      </c>
      <c r="B211" s="273" t="s">
        <v>22</v>
      </c>
      <c r="C211" s="244">
        <f t="shared" si="21"/>
        <v>355.12843601730816</v>
      </c>
      <c r="D211" s="37">
        <v>0.16445923585497457</v>
      </c>
      <c r="E211" s="37">
        <f t="shared" si="25"/>
        <v>-4.3702608874987341</v>
      </c>
      <c r="F211" s="245">
        <f t="shared" ref="F211:F274" si="26">100*((C211/C199)-1)</f>
        <v>-3.8644811086057773</v>
      </c>
      <c r="G211" s="246">
        <f t="shared" si="24"/>
        <v>2.0737974434215762</v>
      </c>
    </row>
    <row r="212" spans="1:7" ht="18" customHeight="1" x14ac:dyDescent="0.25">
      <c r="A212" s="242">
        <f>2017</f>
        <v>2017</v>
      </c>
      <c r="B212" s="273" t="s">
        <v>23</v>
      </c>
      <c r="C212" s="244">
        <f t="shared" si="21"/>
        <v>357.46740387589739</v>
      </c>
      <c r="D212" s="37">
        <v>0.65862590020113743</v>
      </c>
      <c r="E212" s="37">
        <f t="shared" si="25"/>
        <v>-3.740418657409017</v>
      </c>
      <c r="F212" s="245">
        <f t="shared" si="26"/>
        <v>-3.076227948379251</v>
      </c>
      <c r="G212" s="246">
        <f t="shared" si="24"/>
        <v>2.0602282465862993</v>
      </c>
    </row>
    <row r="213" spans="1:7" ht="18" customHeight="1" x14ac:dyDescent="0.25">
      <c r="A213" s="242">
        <f>2017</f>
        <v>2017</v>
      </c>
      <c r="B213" s="273" t="s">
        <v>12</v>
      </c>
      <c r="C213" s="244">
        <f t="shared" si="21"/>
        <v>361.89770820005776</v>
      </c>
      <c r="D213" s="37">
        <v>1.2393589670342209</v>
      </c>
      <c r="E213" s="37">
        <f t="shared" si="25"/>
        <v>-2.5474169044100159</v>
      </c>
      <c r="F213" s="245">
        <f t="shared" si="26"/>
        <v>-2.5474169044100159</v>
      </c>
      <c r="G213" s="246">
        <f t="shared" si="24"/>
        <v>2.0350072023442536</v>
      </c>
    </row>
    <row r="214" spans="1:7" ht="18" customHeight="1" x14ac:dyDescent="0.25">
      <c r="A214" s="242">
        <f>2018</f>
        <v>2018</v>
      </c>
      <c r="B214" s="273" t="s">
        <v>13</v>
      </c>
      <c r="C214" s="244">
        <f t="shared" si="21"/>
        <v>365.18482347480068</v>
      </c>
      <c r="D214" s="37">
        <v>0.90829955544393659</v>
      </c>
      <c r="E214" s="37">
        <f t="shared" ref="E214:E225" si="27">100*((C214/$C$213)-1)</f>
        <v>0.90829955544393659</v>
      </c>
      <c r="F214" s="245">
        <f t="shared" si="26"/>
        <v>-2.3413978751555042</v>
      </c>
      <c r="G214" s="246">
        <f t="shared" si="24"/>
        <v>2.0166896194956903</v>
      </c>
    </row>
    <row r="215" spans="1:7" ht="18" customHeight="1" x14ac:dyDescent="0.25">
      <c r="A215" s="242">
        <f>2018</f>
        <v>2018</v>
      </c>
      <c r="B215" s="273" t="s">
        <v>14</v>
      </c>
      <c r="C215" s="244">
        <f t="shared" si="21"/>
        <v>365.11997979044332</v>
      </c>
      <c r="D215" s="37">
        <v>-1.775640174209725E-2</v>
      </c>
      <c r="E215" s="37">
        <f t="shared" si="27"/>
        <v>0.89038187238374977</v>
      </c>
      <c r="F215" s="245">
        <f t="shared" si="26"/>
        <v>-2.26639387391675</v>
      </c>
      <c r="G215" s="246">
        <f t="shared" si="24"/>
        <v>2.0170477746018785</v>
      </c>
    </row>
    <row r="216" spans="1:7" ht="18" customHeight="1" x14ac:dyDescent="0.25">
      <c r="A216" s="242">
        <f>2018</f>
        <v>2018</v>
      </c>
      <c r="B216" s="273" t="s">
        <v>15</v>
      </c>
      <c r="C216" s="244">
        <f t="shared" si="21"/>
        <v>368.37748141406252</v>
      </c>
      <c r="D216" s="37">
        <v>0.89217293052239466</v>
      </c>
      <c r="E216" s="37">
        <f t="shared" si="27"/>
        <v>1.7904985489498371</v>
      </c>
      <c r="F216" s="245">
        <f t="shared" si="26"/>
        <v>-1.2235342437622032</v>
      </c>
      <c r="G216" s="246">
        <f t="shared" si="24"/>
        <v>1.99921135209456</v>
      </c>
    </row>
    <row r="217" spans="1:7" ht="18" customHeight="1" x14ac:dyDescent="0.25">
      <c r="A217" s="242">
        <f>2018</f>
        <v>2018</v>
      </c>
      <c r="B217" s="273" t="s">
        <v>16</v>
      </c>
      <c r="C217" s="244">
        <f t="shared" si="21"/>
        <v>371.00594824139648</v>
      </c>
      <c r="D217" s="37">
        <v>0.71352538087949835</v>
      </c>
      <c r="E217" s="37">
        <f t="shared" si="27"/>
        <v>2.5167995914203711</v>
      </c>
      <c r="F217" s="245">
        <f t="shared" si="26"/>
        <v>1.2742981464626935</v>
      </c>
      <c r="G217" s="246">
        <f t="shared" si="24"/>
        <v>1.9850475341161189</v>
      </c>
    </row>
    <row r="218" spans="1:7" ht="18" customHeight="1" x14ac:dyDescent="0.25">
      <c r="A218" s="242">
        <f>2018</f>
        <v>2018</v>
      </c>
      <c r="B218" s="273" t="s">
        <v>17</v>
      </c>
      <c r="C218" s="244">
        <f t="shared" si="21"/>
        <v>378.33022109262163</v>
      </c>
      <c r="D218" s="37">
        <v>1.9741658822298946</v>
      </c>
      <c r="E218" s="37">
        <f t="shared" si="27"/>
        <v>4.5406512725081782</v>
      </c>
      <c r="F218" s="245">
        <f t="shared" si="26"/>
        <v>4.9050379777300535</v>
      </c>
      <c r="G218" s="246">
        <f t="shared" si="24"/>
        <v>1.9466180644308022</v>
      </c>
    </row>
    <row r="219" spans="1:7" ht="18" customHeight="1" x14ac:dyDescent="0.25">
      <c r="A219" s="242">
        <f>2018</f>
        <v>2018</v>
      </c>
      <c r="B219" s="273" t="s">
        <v>18</v>
      </c>
      <c r="C219" s="244">
        <f t="shared" si="21"/>
        <v>387.15713144828425</v>
      </c>
      <c r="D219" s="37">
        <v>2.3331232514733902</v>
      </c>
      <c r="E219" s="37">
        <f t="shared" si="27"/>
        <v>6.9797135145887701</v>
      </c>
      <c r="F219" s="245">
        <f t="shared" si="26"/>
        <v>8.6776557459048433</v>
      </c>
      <c r="G219" s="246">
        <f t="shared" si="24"/>
        <v>1.902236541385709</v>
      </c>
    </row>
    <row r="220" spans="1:7" ht="18" customHeight="1" x14ac:dyDescent="0.25">
      <c r="A220" s="242">
        <f>2018</f>
        <v>2018</v>
      </c>
      <c r="B220" s="273" t="s">
        <v>19</v>
      </c>
      <c r="C220" s="244">
        <f t="shared" si="21"/>
        <v>389.08559283267442</v>
      </c>
      <c r="D220" s="37">
        <v>0.49810819115643223</v>
      </c>
      <c r="E220" s="37">
        <f t="shared" si="27"/>
        <v>7.5125882304806213</v>
      </c>
      <c r="F220" s="245">
        <f t="shared" si="26"/>
        <v>10.502786329223257</v>
      </c>
      <c r="G220" s="246">
        <f t="shared" si="24"/>
        <v>1.8928083081598752</v>
      </c>
    </row>
    <row r="221" spans="1:7" ht="18" customHeight="1" x14ac:dyDescent="0.25">
      <c r="A221" s="242">
        <f>2018</f>
        <v>2018</v>
      </c>
      <c r="B221" s="273" t="s">
        <v>20</v>
      </c>
      <c r="C221" s="244">
        <f t="shared" si="21"/>
        <v>392.97468215353757</v>
      </c>
      <c r="D221" s="37">
        <v>0.99954595916782463</v>
      </c>
      <c r="E221" s="37">
        <f t="shared" si="27"/>
        <v>8.5872259617351343</v>
      </c>
      <c r="F221" s="245">
        <f t="shared" si="26"/>
        <v>11.660583094439424</v>
      </c>
      <c r="G221" s="246">
        <f t="shared" si="24"/>
        <v>1.8740760566637611</v>
      </c>
    </row>
    <row r="222" spans="1:7" ht="18" customHeight="1" x14ac:dyDescent="0.25">
      <c r="A222" s="242">
        <f>2018</f>
        <v>2018</v>
      </c>
      <c r="B222" s="273" t="s">
        <v>21</v>
      </c>
      <c r="C222" s="244">
        <f t="shared" si="21"/>
        <v>401.57183142289477</v>
      </c>
      <c r="D222" s="37">
        <v>2.187710725343428</v>
      </c>
      <c r="E222" s="37">
        <f t="shared" si="27"/>
        <v>10.962800350452916</v>
      </c>
      <c r="F222" s="245">
        <f t="shared" si="26"/>
        <v>13.263882188431065</v>
      </c>
      <c r="G222" s="246">
        <f t="shared" si="24"/>
        <v>1.8339544387101863</v>
      </c>
    </row>
    <row r="223" spans="1:7" ht="18" customHeight="1" x14ac:dyDescent="0.25">
      <c r="A223" s="242">
        <f>2018</f>
        <v>2018</v>
      </c>
      <c r="B223" s="273" t="s">
        <v>22</v>
      </c>
      <c r="C223" s="244">
        <f t="shared" si="21"/>
        <v>406.00928386974022</v>
      </c>
      <c r="D223" s="37">
        <v>1.1050208454916222</v>
      </c>
      <c r="E223" s="37">
        <f t="shared" si="27"/>
        <v>12.188962425066663</v>
      </c>
      <c r="F223" s="245">
        <f t="shared" si="26"/>
        <v>14.327449646964418</v>
      </c>
      <c r="G223" s="246">
        <f t="shared" si="24"/>
        <v>1.813910351210777</v>
      </c>
    </row>
    <row r="224" spans="1:7" ht="18" customHeight="1" x14ac:dyDescent="0.25">
      <c r="A224" s="242">
        <f>2018</f>
        <v>2018</v>
      </c>
      <c r="B224" s="273" t="s">
        <v>23</v>
      </c>
      <c r="C224" s="244">
        <f t="shared" si="21"/>
        <v>402.73238019883308</v>
      </c>
      <c r="D224" s="37">
        <v>-0.80710067505709304</v>
      </c>
      <c r="E224" s="37">
        <f t="shared" si="27"/>
        <v>11.283484551994416</v>
      </c>
      <c r="F224" s="245">
        <f t="shared" si="26"/>
        <v>12.662686396617694</v>
      </c>
      <c r="G224" s="246">
        <f t="shared" si="24"/>
        <v>1.8286695555380885</v>
      </c>
    </row>
    <row r="225" spans="1:7" ht="18" customHeight="1" x14ac:dyDescent="0.25">
      <c r="A225" s="242">
        <f>2018</f>
        <v>2018</v>
      </c>
      <c r="B225" s="273" t="s">
        <v>12</v>
      </c>
      <c r="C225" s="244">
        <f t="shared" si="21"/>
        <v>396.02284589852292</v>
      </c>
      <c r="D225" s="37">
        <v>-1.6660031897603123</v>
      </c>
      <c r="E225" s="37">
        <f t="shared" si="27"/>
        <v>9.4294981496817698</v>
      </c>
      <c r="F225" s="245">
        <f t="shared" si="26"/>
        <v>9.4294981496817698</v>
      </c>
      <c r="G225" s="246">
        <f t="shared" si="24"/>
        <v>1.859651407302165</v>
      </c>
    </row>
    <row r="226" spans="1:7" ht="18" customHeight="1" x14ac:dyDescent="0.25">
      <c r="A226" s="242">
        <f>2019</f>
        <v>2019</v>
      </c>
      <c r="B226" s="273" t="s">
        <v>13</v>
      </c>
      <c r="C226" s="244">
        <f t="shared" si="21"/>
        <v>394.98126230727161</v>
      </c>
      <c r="D226" s="37">
        <v>-0.26301098586575256</v>
      </c>
      <c r="E226" s="37">
        <f t="shared" ref="E226:E237" si="28">100*((C226/$C$225)-1)</f>
        <v>-0.26301098586575256</v>
      </c>
      <c r="F226" s="245">
        <f t="shared" si="26"/>
        <v>8.1592763217683384</v>
      </c>
      <c r="G226" s="246">
        <f t="shared" si="24"/>
        <v>1.8645553928228413</v>
      </c>
    </row>
    <row r="227" spans="1:7" ht="18" customHeight="1" x14ac:dyDescent="0.25">
      <c r="A227" s="247">
        <f>2019</f>
        <v>2019</v>
      </c>
      <c r="B227" s="274" t="s">
        <v>14</v>
      </c>
      <c r="C227" s="249">
        <f t="shared" si="21"/>
        <v>399.80726628006914</v>
      </c>
      <c r="D227" s="250">
        <v>1.22183111791343</v>
      </c>
      <c r="E227" s="250">
        <f t="shared" si="28"/>
        <v>0.95560658197884063</v>
      </c>
      <c r="F227" s="251">
        <f t="shared" si="26"/>
        <v>9.5002433198901457</v>
      </c>
      <c r="G227" s="246">
        <f t="shared" si="24"/>
        <v>1.8420486689781559</v>
      </c>
    </row>
    <row r="228" spans="1:7" ht="18" customHeight="1" x14ac:dyDescent="0.25">
      <c r="A228" s="247">
        <f>2019</f>
        <v>2019</v>
      </c>
      <c r="B228" s="274" t="s">
        <v>15</v>
      </c>
      <c r="C228" s="249">
        <f t="shared" si="21"/>
        <v>406.47595416503617</v>
      </c>
      <c r="D228" s="250">
        <v>1.6679756591255979</v>
      </c>
      <c r="E228" s="250">
        <f t="shared" si="28"/>
        <v>2.6395215262888572</v>
      </c>
      <c r="F228" s="251">
        <f t="shared" si="26"/>
        <v>10.342237154325495</v>
      </c>
      <c r="G228" s="246">
        <f t="shared" si="24"/>
        <v>1.8118278219232113</v>
      </c>
    </row>
    <row r="229" spans="1:7" ht="18" customHeight="1" x14ac:dyDescent="0.25">
      <c r="A229" s="247">
        <f>2019</f>
        <v>2019</v>
      </c>
      <c r="B229" s="274" t="s">
        <v>16</v>
      </c>
      <c r="C229" s="249">
        <f t="shared" si="21"/>
        <v>410.81894927640047</v>
      </c>
      <c r="D229" s="250">
        <v>1.0684506837029151</v>
      </c>
      <c r="E229" s="250">
        <f t="shared" si="28"/>
        <v>3.7361741957858907</v>
      </c>
      <c r="F229" s="251">
        <f t="shared" si="26"/>
        <v>10.731095073737063</v>
      </c>
      <c r="G229" s="246">
        <f t="shared" si="24"/>
        <v>1.7926739844794759</v>
      </c>
    </row>
    <row r="230" spans="1:7" ht="18" customHeight="1" x14ac:dyDescent="0.25">
      <c r="A230" s="247">
        <f>2019</f>
        <v>2019</v>
      </c>
      <c r="B230" s="274" t="s">
        <v>17</v>
      </c>
      <c r="C230" s="249">
        <f t="shared" si="21"/>
        <v>413.02006048320646</v>
      </c>
      <c r="D230" s="250">
        <v>0.5357861925996632</v>
      </c>
      <c r="E230" s="250">
        <f t="shared" si="28"/>
        <v>4.2919782938580564</v>
      </c>
      <c r="F230" s="251">
        <f t="shared" si="26"/>
        <v>9.1691959712867366</v>
      </c>
      <c r="G230" s="246">
        <f t="shared" si="24"/>
        <v>1.7831202722632438</v>
      </c>
    </row>
    <row r="231" spans="1:7" ht="18" customHeight="1" x14ac:dyDescent="0.25">
      <c r="A231" s="247">
        <f>2019</f>
        <v>2019</v>
      </c>
      <c r="B231" s="274" t="s">
        <v>18</v>
      </c>
      <c r="C231" s="249">
        <f t="shared" si="21"/>
        <v>417.79143237548243</v>
      </c>
      <c r="D231" s="250">
        <v>1.1552397446975782</v>
      </c>
      <c r="E231" s="250">
        <f t="shared" si="28"/>
        <v>5.496800677640068</v>
      </c>
      <c r="F231" s="251">
        <f t="shared" si="26"/>
        <v>7.9126273129984215</v>
      </c>
      <c r="G231" s="246">
        <f t="shared" si="24"/>
        <v>1.7627562119012354</v>
      </c>
    </row>
    <row r="232" spans="1:7" ht="18" customHeight="1" x14ac:dyDescent="0.25">
      <c r="A232" s="247">
        <f>2019</f>
        <v>2019</v>
      </c>
      <c r="B232" s="274" t="s">
        <v>19</v>
      </c>
      <c r="C232" s="249">
        <f t="shared" si="21"/>
        <v>419.46051902244335</v>
      </c>
      <c r="D232" s="250">
        <v>0.39950236352881419</v>
      </c>
      <c r="E232" s="250">
        <f t="shared" si="28"/>
        <v>5.9182628897945122</v>
      </c>
      <c r="F232" s="251">
        <f t="shared" si="26"/>
        <v>7.8067465743537845</v>
      </c>
      <c r="G232" s="246">
        <f t="shared" si="24"/>
        <v>1.7557419811889181</v>
      </c>
    </row>
    <row r="233" spans="1:7" ht="18" customHeight="1" x14ac:dyDescent="0.25">
      <c r="A233" s="247">
        <f>2019</f>
        <v>2019</v>
      </c>
      <c r="B233" s="274" t="s">
        <v>20</v>
      </c>
      <c r="C233" s="249">
        <f t="shared" si="21"/>
        <v>414.6983375736196</v>
      </c>
      <c r="D233" s="250">
        <v>-1.1353110085120965</v>
      </c>
      <c r="E233" s="250">
        <f t="shared" si="28"/>
        <v>4.7157611911819108</v>
      </c>
      <c r="F233" s="251">
        <f t="shared" si="26"/>
        <v>5.5280038146565458</v>
      </c>
      <c r="G233" s="246">
        <f t="shared" si="24"/>
        <v>1.7759040149714977</v>
      </c>
    </row>
    <row r="234" spans="1:7" ht="18" customHeight="1" x14ac:dyDescent="0.25">
      <c r="A234" s="247">
        <f>2019</f>
        <v>2019</v>
      </c>
      <c r="B234" s="274" t="s">
        <v>21</v>
      </c>
      <c r="C234" s="249">
        <f t="shared" si="21"/>
        <v>414.33225157610633</v>
      </c>
      <c r="D234" s="250">
        <v>-8.8277662180957783E-2</v>
      </c>
      <c r="E234" s="250">
        <f t="shared" si="28"/>
        <v>4.6233205652673526</v>
      </c>
      <c r="F234" s="251">
        <f t="shared" si="26"/>
        <v>3.1776183374210731</v>
      </c>
      <c r="G234" s="246">
        <f t="shared" si="24"/>
        <v>1.7774731266936374</v>
      </c>
    </row>
    <row r="235" spans="1:7" ht="18" customHeight="1" x14ac:dyDescent="0.25">
      <c r="A235" s="247">
        <f>2019</f>
        <v>2019</v>
      </c>
      <c r="B235" s="274" t="s">
        <v>22</v>
      </c>
      <c r="C235" s="249">
        <f t="shared" si="21"/>
        <v>418.55168628105747</v>
      </c>
      <c r="D235" s="250">
        <v>1.0183698442253863</v>
      </c>
      <c r="E235" s="250">
        <f t="shared" si="28"/>
        <v>5.6887729119312835</v>
      </c>
      <c r="F235" s="251">
        <f t="shared" si="26"/>
        <v>3.0891910381392274</v>
      </c>
      <c r="G235" s="246">
        <f t="shared" si="24"/>
        <v>1.7595543557420066</v>
      </c>
    </row>
    <row r="236" spans="1:7" ht="18" customHeight="1" x14ac:dyDescent="0.25">
      <c r="A236" s="247">
        <f>2019</f>
        <v>2019</v>
      </c>
      <c r="B236" s="274" t="s">
        <v>23</v>
      </c>
      <c r="C236" s="249">
        <f t="shared" si="21"/>
        <v>420.05381320530319</v>
      </c>
      <c r="D236" s="250">
        <v>0.35888684085649825</v>
      </c>
      <c r="E236" s="250">
        <f t="shared" si="28"/>
        <v>6.0680760101749165</v>
      </c>
      <c r="F236" s="251">
        <f t="shared" si="26"/>
        <v>4.3009784805280171</v>
      </c>
      <c r="G236" s="246">
        <f t="shared" si="24"/>
        <v>1.7532621286764662</v>
      </c>
    </row>
    <row r="237" spans="1:7" ht="18" customHeight="1" x14ac:dyDescent="0.25">
      <c r="A237" s="247">
        <f>2019</f>
        <v>2019</v>
      </c>
      <c r="B237" s="274" t="s">
        <v>12</v>
      </c>
      <c r="C237" s="249">
        <f t="shared" si="21"/>
        <v>431.96922314110253</v>
      </c>
      <c r="D237" s="250">
        <v>2.8366389165417782</v>
      </c>
      <c r="E237" s="250">
        <f t="shared" si="28"/>
        <v>9.076844332306667</v>
      </c>
      <c r="F237" s="251">
        <f t="shared" si="26"/>
        <v>9.076844332306667</v>
      </c>
      <c r="G237" s="246">
        <f t="shared" si="24"/>
        <v>1.704900264291354</v>
      </c>
    </row>
    <row r="238" spans="1:7" ht="18" customHeight="1" x14ac:dyDescent="0.25">
      <c r="A238" s="247">
        <f>2020</f>
        <v>2020</v>
      </c>
      <c r="B238" s="274" t="s">
        <v>13</v>
      </c>
      <c r="C238" s="249">
        <f t="shared" si="21"/>
        <v>434.11519168719519</v>
      </c>
      <c r="D238" s="250">
        <v>0.49678737075018464</v>
      </c>
      <c r="E238" s="250">
        <f t="shared" ref="E238:E249" si="29">100*((C238/$C$237)-1)</f>
        <v>0.49678737075018464</v>
      </c>
      <c r="F238" s="251">
        <f t="shared" si="26"/>
        <v>9.9077938916200416</v>
      </c>
      <c r="G238" s="246">
        <f t="shared" si="24"/>
        <v>1.6964724036417995</v>
      </c>
    </row>
    <row r="239" spans="1:7" ht="18" customHeight="1" x14ac:dyDescent="0.25">
      <c r="A239" s="247">
        <f>2020</f>
        <v>2020</v>
      </c>
      <c r="B239" s="274" t="s">
        <v>14</v>
      </c>
      <c r="C239" s="249">
        <f t="shared" ref="C239:C298" si="30">+C238*(1+D239/100)</f>
        <v>433.30081628129039</v>
      </c>
      <c r="D239" s="250">
        <v>-0.18759431171706531</v>
      </c>
      <c r="E239" s="250">
        <f t="shared" si="29"/>
        <v>0.30826111418427171</v>
      </c>
      <c r="F239" s="251">
        <f t="shared" si="26"/>
        <v>8.3774240305474201</v>
      </c>
      <c r="G239" s="246">
        <f t="shared" si="24"/>
        <v>1.6996608707538143</v>
      </c>
    </row>
    <row r="240" spans="1:7" ht="18" customHeight="1" x14ac:dyDescent="0.25">
      <c r="A240" s="247">
        <f>2020</f>
        <v>2020</v>
      </c>
      <c r="B240" s="274" t="s">
        <v>15</v>
      </c>
      <c r="C240" s="249">
        <f t="shared" si="30"/>
        <v>440.94828639391841</v>
      </c>
      <c r="D240" s="250">
        <v>1.7649332346661106</v>
      </c>
      <c r="E240" s="250">
        <f t="shared" si="29"/>
        <v>2.0786349517041502</v>
      </c>
      <c r="F240" s="251">
        <f t="shared" si="26"/>
        <v>8.480780197611848</v>
      </c>
      <c r="G240" s="246">
        <f t="shared" si="24"/>
        <v>1.6701832514688142</v>
      </c>
    </row>
    <row r="241" spans="1:7" ht="18" customHeight="1" x14ac:dyDescent="0.25">
      <c r="A241" s="247">
        <f>2020</f>
        <v>2020</v>
      </c>
      <c r="B241" s="274" t="s">
        <v>16</v>
      </c>
      <c r="C241" s="249">
        <f t="shared" si="30"/>
        <v>445.90142483447153</v>
      </c>
      <c r="D241" s="250">
        <v>1.1232923663361927</v>
      </c>
      <c r="E241" s="250">
        <f t="shared" si="29"/>
        <v>3.2252764657768385</v>
      </c>
      <c r="F241" s="251">
        <f t="shared" si="26"/>
        <v>8.5396439526131509</v>
      </c>
      <c r="G241" s="246">
        <f t="shared" si="24"/>
        <v>1.6516306108965417</v>
      </c>
    </row>
    <row r="242" spans="1:7" ht="18" customHeight="1" x14ac:dyDescent="0.25">
      <c r="A242" s="247">
        <f>2020</f>
        <v>2020</v>
      </c>
      <c r="B242" s="274" t="s">
        <v>17</v>
      </c>
      <c r="C242" s="249">
        <f t="shared" si="30"/>
        <v>448.52172237873702</v>
      </c>
      <c r="D242" s="250">
        <v>0.58764054078503936</v>
      </c>
      <c r="E242" s="250">
        <f t="shared" si="29"/>
        <v>3.831870038627172</v>
      </c>
      <c r="F242" s="251">
        <f t="shared" si="26"/>
        <v>8.595626530584477</v>
      </c>
      <c r="G242" s="246">
        <f t="shared" si="24"/>
        <v>1.6419816609843421</v>
      </c>
    </row>
    <row r="243" spans="1:7" ht="18" customHeight="1" x14ac:dyDescent="0.25">
      <c r="A243" s="247">
        <f>2020</f>
        <v>2020</v>
      </c>
      <c r="B243" s="274" t="s">
        <v>18</v>
      </c>
      <c r="C243" s="249">
        <f t="shared" si="30"/>
        <v>458.59444840236677</v>
      </c>
      <c r="D243" s="250">
        <v>2.2457610236153114</v>
      </c>
      <c r="E243" s="250">
        <f t="shared" si="29"/>
        <v>6.1636857060455741</v>
      </c>
      <c r="F243" s="251">
        <f t="shared" si="26"/>
        <v>9.7663601656180923</v>
      </c>
      <c r="G243" s="246">
        <f t="shared" si="24"/>
        <v>1.6059166116481836</v>
      </c>
    </row>
    <row r="244" spans="1:7" ht="18" customHeight="1" x14ac:dyDescent="0.25">
      <c r="A244" s="247">
        <f>2020</f>
        <v>2020</v>
      </c>
      <c r="B244" s="274" t="s">
        <v>19</v>
      </c>
      <c r="C244" s="249">
        <f t="shared" si="30"/>
        <v>472.33314020304761</v>
      </c>
      <c r="D244" s="250">
        <v>2.9958260176378371</v>
      </c>
      <c r="E244" s="250">
        <f t="shared" si="29"/>
        <v>9.3441650237105378</v>
      </c>
      <c r="F244" s="251">
        <f t="shared" si="26"/>
        <v>12.604910064914909</v>
      </c>
      <c r="G244" s="246">
        <f t="shared" si="24"/>
        <v>1.5592055268076332</v>
      </c>
    </row>
    <row r="245" spans="1:7" ht="18" customHeight="1" x14ac:dyDescent="0.25">
      <c r="A245" s="247">
        <f>2020</f>
        <v>2020</v>
      </c>
      <c r="B245" s="274" t="s">
        <v>20</v>
      </c>
      <c r="C245" s="249">
        <f t="shared" si="30"/>
        <v>489.98440801341394</v>
      </c>
      <c r="D245" s="250">
        <v>3.737037761690476</v>
      </c>
      <c r="E245" s="250">
        <f t="shared" si="29"/>
        <v>13.430397760851776</v>
      </c>
      <c r="F245" s="251">
        <f t="shared" si="26"/>
        <v>18.154418192339428</v>
      </c>
      <c r="G245" s="246">
        <f t="shared" si="24"/>
        <v>1.5030364857626957</v>
      </c>
    </row>
    <row r="246" spans="1:7" ht="18" customHeight="1" x14ac:dyDescent="0.25">
      <c r="A246" s="247">
        <f>2020</f>
        <v>2020</v>
      </c>
      <c r="B246" s="274" t="s">
        <v>21</v>
      </c>
      <c r="C246" s="249">
        <f t="shared" si="30"/>
        <v>518.98842638822714</v>
      </c>
      <c r="D246" s="250">
        <v>5.9193757802226132</v>
      </c>
      <c r="E246" s="250">
        <f t="shared" si="29"/>
        <v>20.144769253317808</v>
      </c>
      <c r="F246" s="251">
        <f t="shared" si="26"/>
        <v>25.258997921115768</v>
      </c>
      <c r="G246" s="246">
        <f t="shared" si="24"/>
        <v>1.4190382776437627</v>
      </c>
    </row>
    <row r="247" spans="1:7" ht="18" customHeight="1" x14ac:dyDescent="0.25">
      <c r="A247" s="247">
        <f>2020</f>
        <v>2020</v>
      </c>
      <c r="B247" s="274" t="s">
        <v>22</v>
      </c>
      <c r="C247" s="249">
        <f t="shared" si="30"/>
        <v>540.53644222233345</v>
      </c>
      <c r="D247" s="250">
        <v>4.1519260812932668</v>
      </c>
      <c r="E247" s="250">
        <f t="shared" si="29"/>
        <v>25.133091263255913</v>
      </c>
      <c r="F247" s="251">
        <f t="shared" si="26"/>
        <v>29.144490379466113</v>
      </c>
      <c r="G247" s="246">
        <f t="shared" si="24"/>
        <v>1.3624695490855989</v>
      </c>
    </row>
    <row r="248" spans="1:7" ht="18" customHeight="1" x14ac:dyDescent="0.25">
      <c r="A248" s="247">
        <f>2020</f>
        <v>2020</v>
      </c>
      <c r="B248" s="274" t="s">
        <v>23</v>
      </c>
      <c r="C248" s="249">
        <f t="shared" si="30"/>
        <v>563.53705870208182</v>
      </c>
      <c r="D248" s="250">
        <v>4.2551463107991072</v>
      </c>
      <c r="E248" s="250">
        <f t="shared" si="29"/>
        <v>30.457687379733244</v>
      </c>
      <c r="F248" s="251">
        <f t="shared" si="26"/>
        <v>34.158300909567174</v>
      </c>
      <c r="G248" s="246">
        <f t="shared" si="24"/>
        <v>1.3068607136417876</v>
      </c>
    </row>
    <row r="249" spans="1:7" ht="18" customHeight="1" x14ac:dyDescent="0.25">
      <c r="A249" s="247">
        <f>2020</f>
        <v>2020</v>
      </c>
      <c r="B249" s="274" t="s">
        <v>12</v>
      </c>
      <c r="C249" s="249">
        <f t="shared" si="30"/>
        <v>568.59997188386978</v>
      </c>
      <c r="D249" s="250">
        <v>0.89841707898477008</v>
      </c>
      <c r="E249" s="250">
        <f t="shared" si="29"/>
        <v>31.629741524001332</v>
      </c>
      <c r="F249" s="251">
        <f t="shared" si="26"/>
        <v>31.629741524001332</v>
      </c>
      <c r="G249" s="246">
        <f t="shared" si="24"/>
        <v>1.2952241982337123</v>
      </c>
    </row>
    <row r="250" spans="1:7" ht="18" customHeight="1" x14ac:dyDescent="0.25">
      <c r="A250" s="247">
        <f>2021</f>
        <v>2021</v>
      </c>
      <c r="B250" s="274" t="s">
        <v>13</v>
      </c>
      <c r="C250" s="249">
        <f t="shared" si="30"/>
        <v>587.79523419420855</v>
      </c>
      <c r="D250" s="250">
        <v>3.3758816847530904</v>
      </c>
      <c r="E250" s="250">
        <f t="shared" ref="E250:E261" si="31">100*((C250/$C$249)-1)</f>
        <v>3.3758816847530904</v>
      </c>
      <c r="F250" s="251">
        <f t="shared" si="26"/>
        <v>35.400752023842699</v>
      </c>
      <c r="G250" s="246">
        <f t="shared" si="24"/>
        <v>1.2529268695221634</v>
      </c>
    </row>
    <row r="251" spans="1:7" ht="18" customHeight="1" x14ac:dyDescent="0.25">
      <c r="A251" s="247">
        <f>2021</f>
        <v>2021</v>
      </c>
      <c r="B251" s="274" t="s">
        <v>14</v>
      </c>
      <c r="C251" s="249">
        <f t="shared" si="30"/>
        <v>607.09414428348066</v>
      </c>
      <c r="D251" s="250">
        <v>3.2832709363029178</v>
      </c>
      <c r="E251" s="250">
        <f t="shared" si="31"/>
        <v>6.7699919632554728</v>
      </c>
      <c r="F251" s="251">
        <f t="shared" si="26"/>
        <v>40.109162381399031</v>
      </c>
      <c r="G251" s="246">
        <f t="shared" si="24"/>
        <v>1.213097588955012</v>
      </c>
    </row>
    <row r="252" spans="1:7" ht="18" customHeight="1" x14ac:dyDescent="0.25">
      <c r="A252" s="247">
        <f>2021</f>
        <v>2021</v>
      </c>
      <c r="B252" s="274" t="s">
        <v>15</v>
      </c>
      <c r="C252" s="249">
        <f t="shared" si="30"/>
        <v>628.67687957062867</v>
      </c>
      <c r="D252" s="250">
        <v>3.555088694294839</v>
      </c>
      <c r="E252" s="250">
        <f t="shared" si="31"/>
        <v>10.565759876440683</v>
      </c>
      <c r="F252" s="251">
        <f t="shared" si="26"/>
        <v>42.573834385877184</v>
      </c>
      <c r="G252" s="246">
        <f t="shared" si="24"/>
        <v>1.1714514508661178</v>
      </c>
    </row>
    <row r="253" spans="1:7" ht="18" customHeight="1" x14ac:dyDescent="0.25">
      <c r="A253" s="247">
        <f>2021</f>
        <v>2021</v>
      </c>
      <c r="B253" s="274" t="s">
        <v>16</v>
      </c>
      <c r="C253" s="249">
        <f t="shared" si="30"/>
        <v>640.25785948080568</v>
      </c>
      <c r="D253" s="250">
        <v>1.8421195826521464</v>
      </c>
      <c r="E253" s="250">
        <f t="shared" si="31"/>
        <v>12.602513390832737</v>
      </c>
      <c r="F253" s="251">
        <f t="shared" si="26"/>
        <v>43.587309620839079</v>
      </c>
      <c r="G253" s="246">
        <f t="shared" si="24"/>
        <v>1.1502622448027522</v>
      </c>
    </row>
    <row r="254" spans="1:7" ht="18" customHeight="1" x14ac:dyDescent="0.25">
      <c r="A254" s="247">
        <f>2021</f>
        <v>2021</v>
      </c>
      <c r="B254" s="274" t="s">
        <v>17</v>
      </c>
      <c r="C254" s="249">
        <f t="shared" si="30"/>
        <v>673.74681426030065</v>
      </c>
      <c r="D254" s="250">
        <v>5.2305417705690749</v>
      </c>
      <c r="E254" s="250">
        <f t="shared" si="31"/>
        <v>18.492234888450888</v>
      </c>
      <c r="F254" s="251">
        <f t="shared" si="26"/>
        <v>50.214979708693107</v>
      </c>
      <c r="G254" s="246">
        <f t="shared" si="24"/>
        <v>1.0930878293020991</v>
      </c>
    </row>
    <row r="255" spans="1:7" ht="18" customHeight="1" x14ac:dyDescent="0.25">
      <c r="A255" s="247">
        <f>2021</f>
        <v>2021</v>
      </c>
      <c r="B255" s="274" t="s">
        <v>18</v>
      </c>
      <c r="C255" s="249">
        <f t="shared" si="30"/>
        <v>676.55143125380232</v>
      </c>
      <c r="D255" s="250">
        <v>0.41627165192326121</v>
      </c>
      <c r="E255" s="250">
        <f t="shared" si="31"/>
        <v>18.985484472021817</v>
      </c>
      <c r="F255" s="251">
        <f t="shared" si="26"/>
        <v>47.52717430634965</v>
      </c>
      <c r="G255" s="246">
        <f t="shared" si="24"/>
        <v>1.0885564772720411</v>
      </c>
    </row>
    <row r="256" spans="1:7" ht="18" customHeight="1" x14ac:dyDescent="0.25">
      <c r="A256" s="247">
        <f>2021</f>
        <v>2021</v>
      </c>
      <c r="B256" s="274" t="s">
        <v>19</v>
      </c>
      <c r="C256" s="249">
        <f t="shared" si="30"/>
        <v>681.36007550007889</v>
      </c>
      <c r="D256" s="250">
        <v>0.71075812187184617</v>
      </c>
      <c r="E256" s="250">
        <f t="shared" si="31"/>
        <v>19.831183466755277</v>
      </c>
      <c r="F256" s="251">
        <f t="shared" si="26"/>
        <v>44.254132836661512</v>
      </c>
      <c r="G256" s="246">
        <f t="shared" si="24"/>
        <v>1.0808740769826795</v>
      </c>
    </row>
    <row r="257" spans="1:7" ht="18" customHeight="1" x14ac:dyDescent="0.25">
      <c r="A257" s="247">
        <f>2021</f>
        <v>2021</v>
      </c>
      <c r="B257" s="274" t="s">
        <v>20</v>
      </c>
      <c r="C257" s="249">
        <f t="shared" si="30"/>
        <v>685.82356753670547</v>
      </c>
      <c r="D257" s="250">
        <v>0.65508564371792311</v>
      </c>
      <c r="E257" s="250">
        <f t="shared" si="31"/>
        <v>20.61618034634327</v>
      </c>
      <c r="F257" s="251">
        <f t="shared" si="26"/>
        <v>39.968447224126805</v>
      </c>
      <c r="G257" s="246">
        <f t="shared" si="24"/>
        <v>1.0738395085257562</v>
      </c>
    </row>
    <row r="258" spans="1:7" ht="18" customHeight="1" x14ac:dyDescent="0.25">
      <c r="A258" s="247">
        <f>2021</f>
        <v>2021</v>
      </c>
      <c r="B258" s="274" t="s">
        <v>21</v>
      </c>
      <c r="C258" s="249">
        <f t="shared" si="30"/>
        <v>677.4954940284216</v>
      </c>
      <c r="D258" s="250">
        <v>-1.2143171950471321</v>
      </c>
      <c r="E258" s="250">
        <f t="shared" si="31"/>
        <v>19.151517328388557</v>
      </c>
      <c r="F258" s="251">
        <f t="shared" si="26"/>
        <v>30.541541888185364</v>
      </c>
      <c r="G258" s="246">
        <f t="shared" si="24"/>
        <v>1.0870396175182548</v>
      </c>
    </row>
    <row r="259" spans="1:7" ht="18" customHeight="1" x14ac:dyDescent="0.25">
      <c r="A259" s="247">
        <f>2021</f>
        <v>2021</v>
      </c>
      <c r="B259" s="274" t="s">
        <v>22</v>
      </c>
      <c r="C259" s="249">
        <f t="shared" si="30"/>
        <v>681.0603649274982</v>
      </c>
      <c r="D259" s="250">
        <v>0.52618370609074372</v>
      </c>
      <c r="E259" s="250">
        <f t="shared" si="31"/>
        <v>19.778473198130442</v>
      </c>
      <c r="F259" s="251">
        <f t="shared" si="26"/>
        <v>25.997122807746685</v>
      </c>
      <c r="G259" s="246">
        <f t="shared" si="24"/>
        <v>1.0813497314256371</v>
      </c>
    </row>
    <row r="260" spans="1:7" ht="18" customHeight="1" x14ac:dyDescent="0.25">
      <c r="A260" s="247">
        <f>2021</f>
        <v>2021</v>
      </c>
      <c r="B260" s="274" t="s">
        <v>23</v>
      </c>
      <c r="C260" s="249">
        <f t="shared" si="30"/>
        <v>679.10484279294315</v>
      </c>
      <c r="D260" s="250">
        <v>-0.28712904688898977</v>
      </c>
      <c r="E260" s="250">
        <f t="shared" si="31"/>
        <v>19.434554409658467</v>
      </c>
      <c r="F260" s="251">
        <f t="shared" si="26"/>
        <v>20.507574844684196</v>
      </c>
      <c r="G260" s="246">
        <f t="shared" ref="G260:G301" si="32">+$C$301/C260</f>
        <v>1.0844635412555026</v>
      </c>
    </row>
    <row r="261" spans="1:7" ht="18" customHeight="1" x14ac:dyDescent="0.25">
      <c r="A261" s="247">
        <f>2021</f>
        <v>2021</v>
      </c>
      <c r="B261" s="274" t="s">
        <v>12</v>
      </c>
      <c r="C261" s="249">
        <f t="shared" si="30"/>
        <v>685.54121669064568</v>
      </c>
      <c r="D261" s="250">
        <v>0.94777322912789064</v>
      </c>
      <c r="E261" s="250">
        <f t="shared" si="31"/>
        <v>20.566523142681369</v>
      </c>
      <c r="F261" s="251">
        <f t="shared" si="26"/>
        <v>20.566523142681369</v>
      </c>
      <c r="G261" s="246">
        <f t="shared" si="32"/>
        <v>1.0742817860816241</v>
      </c>
    </row>
    <row r="262" spans="1:7" ht="18" customHeight="1" x14ac:dyDescent="0.25">
      <c r="A262" s="247">
        <f>2022</f>
        <v>2022</v>
      </c>
      <c r="B262" s="274" t="s">
        <v>13</v>
      </c>
      <c r="C262" s="249">
        <f t="shared" si="30"/>
        <v>701.33244086232162</v>
      </c>
      <c r="D262" s="250">
        <v>2.3034682360757008</v>
      </c>
      <c r="E262" s="250">
        <f t="shared" ref="E262:E273" si="33">100*((C262/$C$261)-1)</f>
        <v>2.3034682360757008</v>
      </c>
      <c r="F262" s="251">
        <f t="shared" si="26"/>
        <v>19.315775301199565</v>
      </c>
      <c r="G262" s="246">
        <f t="shared" si="32"/>
        <v>1.0500932222577335</v>
      </c>
    </row>
    <row r="263" spans="1:7" ht="18" customHeight="1" x14ac:dyDescent="0.25">
      <c r="A263" s="247">
        <f>2022</f>
        <v>2022</v>
      </c>
      <c r="B263" s="274" t="s">
        <v>14</v>
      </c>
      <c r="C263" s="249">
        <f t="shared" si="30"/>
        <v>717.85992167055849</v>
      </c>
      <c r="D263" s="250">
        <v>2.3565829619852652</v>
      </c>
      <c r="E263" s="250">
        <f t="shared" si="33"/>
        <v>4.7143343380470659</v>
      </c>
      <c r="F263" s="251">
        <f t="shared" si="26"/>
        <v>18.245238968300125</v>
      </c>
      <c r="G263" s="246">
        <f t="shared" si="32"/>
        <v>1.0259166453883408</v>
      </c>
    </row>
    <row r="264" spans="1:7" ht="18" customHeight="1" x14ac:dyDescent="0.25">
      <c r="A264" s="247">
        <f>2022</f>
        <v>2022</v>
      </c>
      <c r="B264" s="274" t="s">
        <v>15</v>
      </c>
      <c r="C264" s="249">
        <f t="shared" si="30"/>
        <v>732.69227624205314</v>
      </c>
      <c r="D264" s="250">
        <v>2.0661906485847092</v>
      </c>
      <c r="E264" s="250">
        <f t="shared" si="33"/>
        <v>6.877932121867536</v>
      </c>
      <c r="F264" s="251">
        <f t="shared" si="26"/>
        <v>16.5451283563131</v>
      </c>
      <c r="G264" s="246">
        <f t="shared" si="32"/>
        <v>1.0051483638892589</v>
      </c>
    </row>
    <row r="265" spans="1:7" ht="18" customHeight="1" x14ac:dyDescent="0.25">
      <c r="A265" s="247">
        <f>2022</f>
        <v>2022</v>
      </c>
      <c r="B265" s="274" t="s">
        <v>16</v>
      </c>
      <c r="C265" s="249">
        <f t="shared" si="30"/>
        <v>743.28324116034969</v>
      </c>
      <c r="D265" s="250">
        <v>1.4454860876406572</v>
      </c>
      <c r="E265" s="250">
        <f t="shared" si="33"/>
        <v>8.4228377614471661</v>
      </c>
      <c r="F265" s="251">
        <f t="shared" si="26"/>
        <v>16.09123264228085</v>
      </c>
      <c r="G265" s="246">
        <f t="shared" si="32"/>
        <v>0.99082611031198786</v>
      </c>
    </row>
    <row r="266" spans="1:7" ht="18" customHeight="1" x14ac:dyDescent="0.25">
      <c r="A266" s="247">
        <f>2022</f>
        <v>2022</v>
      </c>
      <c r="B266" s="274" t="s">
        <v>17</v>
      </c>
      <c r="C266" s="249">
        <f t="shared" si="30"/>
        <v>746.64541172328575</v>
      </c>
      <c r="D266" s="250">
        <v>0.45234042377806372</v>
      </c>
      <c r="E266" s="250">
        <f t="shared" si="33"/>
        <v>8.9132780852494875</v>
      </c>
      <c r="F266" s="251">
        <f t="shared" si="26"/>
        <v>10.819880097395295</v>
      </c>
      <c r="G266" s="246">
        <f t="shared" si="32"/>
        <v>0.98636438547075356</v>
      </c>
    </row>
    <row r="267" spans="1:7" ht="18" customHeight="1" x14ac:dyDescent="0.25">
      <c r="A267" s="247">
        <f>2022</f>
        <v>2022</v>
      </c>
      <c r="B267" s="274" t="s">
        <v>18</v>
      </c>
      <c r="C267" s="249">
        <f t="shared" si="30"/>
        <v>748.9031973313804</v>
      </c>
      <c r="D267" s="250">
        <v>0.30239060906884774</v>
      </c>
      <c r="E267" s="250">
        <f t="shared" si="33"/>
        <v>9.2426216102083245</v>
      </c>
      <c r="F267" s="251">
        <f t="shared" si="26"/>
        <v>10.694200431073497</v>
      </c>
      <c r="G267" s="246">
        <f t="shared" si="32"/>
        <v>0.98339070433040243</v>
      </c>
    </row>
    <row r="268" spans="1:7" ht="18" customHeight="1" x14ac:dyDescent="0.25">
      <c r="A268" s="247">
        <f>2022</f>
        <v>2022</v>
      </c>
      <c r="B268" s="274" t="s">
        <v>19</v>
      </c>
      <c r="C268" s="249">
        <f t="shared" si="30"/>
        <v>750.47476316170957</v>
      </c>
      <c r="D268" s="250">
        <v>0.20984899462697104</v>
      </c>
      <c r="E268" s="250">
        <f t="shared" si="33"/>
        <v>9.4718661533615069</v>
      </c>
      <c r="F268" s="251">
        <f t="shared" si="26"/>
        <v>10.143636257364296</v>
      </c>
      <c r="G268" s="246">
        <f t="shared" si="32"/>
        <v>0.98133139027395366</v>
      </c>
    </row>
    <row r="269" spans="1:7" ht="18" customHeight="1" x14ac:dyDescent="0.25">
      <c r="A269" s="247">
        <f>2022</f>
        <v>2022</v>
      </c>
      <c r="B269" s="274" t="s">
        <v>20</v>
      </c>
      <c r="C269" s="249">
        <f t="shared" si="30"/>
        <v>745.16983496901332</v>
      </c>
      <c r="D269" s="250">
        <v>-0.70687629392718332</v>
      </c>
      <c r="E269" s="250">
        <f t="shared" si="33"/>
        <v>8.6980354830036966</v>
      </c>
      <c r="F269" s="251">
        <f t="shared" si="26"/>
        <v>8.6532849323717187</v>
      </c>
      <c r="G269" s="246">
        <f t="shared" si="32"/>
        <v>0.98831757290553934</v>
      </c>
    </row>
    <row r="270" spans="1:7" ht="18" customHeight="1" x14ac:dyDescent="0.25">
      <c r="A270" s="247">
        <f>2022</f>
        <v>2022</v>
      </c>
      <c r="B270" s="274" t="s">
        <v>21</v>
      </c>
      <c r="C270" s="249">
        <f t="shared" si="30"/>
        <v>735.67968094421565</v>
      </c>
      <c r="D270" s="250">
        <v>-1.2735558498811694</v>
      </c>
      <c r="E270" s="250">
        <f t="shared" si="33"/>
        <v>7.3137052934040048</v>
      </c>
      <c r="F270" s="251">
        <f t="shared" si="26"/>
        <v>8.5881289881100109</v>
      </c>
      <c r="G270" s="246">
        <f t="shared" si="32"/>
        <v>1.0010667166364764</v>
      </c>
    </row>
    <row r="271" spans="1:7" ht="18" customHeight="1" x14ac:dyDescent="0.25">
      <c r="A271" s="247">
        <f>2022</f>
        <v>2022</v>
      </c>
      <c r="B271" s="274" t="s">
        <v>22</v>
      </c>
      <c r="C271" s="249">
        <f t="shared" si="30"/>
        <v>725.07646210131634</v>
      </c>
      <c r="D271" s="250">
        <v>-1.4412820032341456</v>
      </c>
      <c r="E271" s="250">
        <f t="shared" si="33"/>
        <v>5.7670121720064582</v>
      </c>
      <c r="F271" s="251">
        <f t="shared" si="26"/>
        <v>6.4628775128477534</v>
      </c>
      <c r="G271" s="246">
        <f t="shared" si="32"/>
        <v>1.0157059030225271</v>
      </c>
    </row>
    <row r="272" spans="1:7" ht="18" customHeight="1" x14ac:dyDescent="0.25">
      <c r="A272" s="247">
        <f>2022</f>
        <v>2022</v>
      </c>
      <c r="B272" s="274" t="s">
        <v>23</v>
      </c>
      <c r="C272" s="249">
        <f t="shared" si="30"/>
        <v>718.24489913516834</v>
      </c>
      <c r="D272" s="250">
        <v>-0.942185179525723</v>
      </c>
      <c r="E272" s="250">
        <f t="shared" si="33"/>
        <v>4.7704910584946525</v>
      </c>
      <c r="F272" s="251">
        <f t="shared" si="26"/>
        <v>5.7634777247728808</v>
      </c>
      <c r="G272" s="246">
        <f t="shared" si="32"/>
        <v>1.0253667566393665</v>
      </c>
    </row>
    <row r="273" spans="1:7" ht="18" customHeight="1" x14ac:dyDescent="0.25">
      <c r="A273" s="247">
        <f>2022</f>
        <v>2022</v>
      </c>
      <c r="B273" s="274" t="s">
        <v>12</v>
      </c>
      <c r="C273" s="249">
        <f t="shared" si="30"/>
        <v>721.63515160865279</v>
      </c>
      <c r="D273" s="250">
        <v>0.47201901156090909</v>
      </c>
      <c r="E273" s="250">
        <f t="shared" si="33"/>
        <v>5.2650276947964647</v>
      </c>
      <c r="F273" s="251">
        <f t="shared" si="26"/>
        <v>5.2650276947964647</v>
      </c>
      <c r="G273" s="246">
        <f t="shared" si="32"/>
        <v>1.020549568652922</v>
      </c>
    </row>
    <row r="274" spans="1:7" ht="18" customHeight="1" x14ac:dyDescent="0.25">
      <c r="A274" s="247">
        <f>2023</f>
        <v>2023</v>
      </c>
      <c r="B274" s="274" t="s">
        <v>13</v>
      </c>
      <c r="C274" s="249">
        <f t="shared" si="30"/>
        <v>722.37498230655615</v>
      </c>
      <c r="D274" s="250">
        <v>0.10252143292273086</v>
      </c>
      <c r="E274" s="250">
        <f t="shared" ref="E274:E285" si="34">100*((C274/$C$273)-1)</f>
        <v>0.10252143292273086</v>
      </c>
      <c r="F274" s="251">
        <f t="shared" si="26"/>
        <v>3.0003661912974877</v>
      </c>
      <c r="G274" s="246">
        <f t="shared" si="32"/>
        <v>1.01950435817621</v>
      </c>
    </row>
    <row r="275" spans="1:7" ht="18" customHeight="1" x14ac:dyDescent="0.25">
      <c r="A275" s="247">
        <f>2023</f>
        <v>2023</v>
      </c>
      <c r="B275" s="274" t="s">
        <v>14</v>
      </c>
      <c r="C275" s="249">
        <f t="shared" si="30"/>
        <v>720.90297961362614</v>
      </c>
      <c r="D275" s="250">
        <v>-0.20377265672045786</v>
      </c>
      <c r="E275" s="250">
        <f t="shared" si="34"/>
        <v>-0.101460134445297</v>
      </c>
      <c r="F275" s="251">
        <f t="shared" ref="F275:F298" si="35">100*((C275/C263)-1)</f>
        <v>0.42390692824667564</v>
      </c>
      <c r="G275" s="246">
        <f t="shared" si="32"/>
        <v>1.021586071254291</v>
      </c>
    </row>
    <row r="276" spans="1:7" ht="18" customHeight="1" x14ac:dyDescent="0.25">
      <c r="A276" s="247">
        <f>2023</f>
        <v>2023</v>
      </c>
      <c r="B276" s="274" t="s">
        <v>15</v>
      </c>
      <c r="C276" s="249">
        <f t="shared" si="30"/>
        <v>720.0717550613922</v>
      </c>
      <c r="D276" s="250">
        <v>-0.115303248251164</v>
      </c>
      <c r="E276" s="250">
        <f t="shared" si="34"/>
        <v>-0.21664639586576051</v>
      </c>
      <c r="F276" s="251">
        <f t="shared" si="35"/>
        <v>-1.7224859043677987</v>
      </c>
      <c r="G276" s="246">
        <f t="shared" si="32"/>
        <v>1.0227653529282046</v>
      </c>
    </row>
    <row r="277" spans="1:7" ht="18" customHeight="1" x14ac:dyDescent="0.25">
      <c r="A277" s="247">
        <f>2023</f>
        <v>2023</v>
      </c>
      <c r="B277" s="274" t="s">
        <v>16</v>
      </c>
      <c r="C277" s="249">
        <f t="shared" si="30"/>
        <v>709.63447478082446</v>
      </c>
      <c r="D277" s="250">
        <v>-1.4494778065108127</v>
      </c>
      <c r="E277" s="250">
        <f t="shared" si="34"/>
        <v>-1.6629839609498931</v>
      </c>
      <c r="F277" s="251">
        <f t="shared" si="35"/>
        <v>-4.5270449427859631</v>
      </c>
      <c r="G277" s="246">
        <f t="shared" si="32"/>
        <v>1.0378081517621571</v>
      </c>
    </row>
    <row r="278" spans="1:7" ht="18" customHeight="1" x14ac:dyDescent="0.25">
      <c r="A278" s="247">
        <f>2023</f>
        <v>2023</v>
      </c>
      <c r="B278" s="274" t="s">
        <v>17</v>
      </c>
      <c r="C278" s="249">
        <f t="shared" si="30"/>
        <v>690.32688482829201</v>
      </c>
      <c r="D278" s="250">
        <v>-2.7207795898720577</v>
      </c>
      <c r="E278" s="250">
        <f t="shared" si="34"/>
        <v>-4.3385174226295842</v>
      </c>
      <c r="F278" s="251">
        <f t="shared" si="35"/>
        <v>-7.5428745708097882</v>
      </c>
      <c r="G278" s="246">
        <f t="shared" si="32"/>
        <v>1.0668343633787065</v>
      </c>
    </row>
    <row r="279" spans="1:7" ht="18" customHeight="1" x14ac:dyDescent="0.25">
      <c r="A279" s="247">
        <f>2023</f>
        <v>2023</v>
      </c>
      <c r="B279" s="274" t="s">
        <v>18</v>
      </c>
      <c r="C279" s="249">
        <f t="shared" si="30"/>
        <v>671.44869281705473</v>
      </c>
      <c r="D279" s="250">
        <v>-2.7346743153329411</v>
      </c>
      <c r="E279" s="250">
        <f t="shared" si="34"/>
        <v>-6.9545474163396186</v>
      </c>
      <c r="F279" s="251">
        <f t="shared" si="35"/>
        <v>-10.342392019465906</v>
      </c>
      <c r="G279" s="246">
        <f t="shared" si="32"/>
        <v>1.0968290661333617</v>
      </c>
    </row>
    <row r="280" spans="1:7" ht="18.75" customHeight="1" x14ac:dyDescent="0.25">
      <c r="A280" s="247">
        <f>2023</f>
        <v>2023</v>
      </c>
      <c r="B280" s="274" t="s">
        <v>19</v>
      </c>
      <c r="C280" s="249">
        <f t="shared" si="30"/>
        <v>664.36643497673799</v>
      </c>
      <c r="D280" s="250">
        <v>-1.054772749739552</v>
      </c>
      <c r="E280" s="250">
        <f t="shared" si="34"/>
        <v>-7.9359654950639129</v>
      </c>
      <c r="F280" s="251">
        <f t="shared" si="35"/>
        <v>-11.473847277981985</v>
      </c>
      <c r="G280" s="246">
        <f t="shared" si="32"/>
        <v>1.1085214482949954</v>
      </c>
    </row>
    <row r="281" spans="1:7" ht="18.75" customHeight="1" x14ac:dyDescent="0.25">
      <c r="A281" s="247">
        <f>2023</f>
        <v>2023</v>
      </c>
      <c r="B281" s="274" t="s">
        <v>20</v>
      </c>
      <c r="C281" s="249">
        <f t="shared" si="30"/>
        <v>663.21711896501904</v>
      </c>
      <c r="D281" s="250">
        <v>-0.1729942921874339</v>
      </c>
      <c r="E281" s="250">
        <f t="shared" si="34"/>
        <v>-8.0952310199149284</v>
      </c>
      <c r="F281" s="251">
        <f t="shared" si="35"/>
        <v>-10.997857422315294</v>
      </c>
      <c r="G281" s="246">
        <f t="shared" si="32"/>
        <v>1.1104424503521311</v>
      </c>
    </row>
    <row r="282" spans="1:7" ht="18.75" customHeight="1" x14ac:dyDescent="0.25">
      <c r="A282" s="247">
        <f>2023</f>
        <v>2023</v>
      </c>
      <c r="B282" s="274" t="s">
        <v>21</v>
      </c>
      <c r="C282" s="249">
        <f t="shared" si="30"/>
        <v>665.9359584862998</v>
      </c>
      <c r="D282" s="250">
        <v>0.40994712644384368</v>
      </c>
      <c r="E282" s="250">
        <f t="shared" si="34"/>
        <v>-7.7184700604162053</v>
      </c>
      <c r="F282" s="251">
        <f t="shared" si="35"/>
        <v>-9.4801751719447491</v>
      </c>
      <c r="G282" s="246">
        <f t="shared" si="32"/>
        <v>1.1059088089686746</v>
      </c>
    </row>
    <row r="283" spans="1:7" ht="18.75" customHeight="1" x14ac:dyDescent="0.25">
      <c r="A283" s="247">
        <f>2023</f>
        <v>2023</v>
      </c>
      <c r="B283" s="274" t="s">
        <v>22</v>
      </c>
      <c r="C283" s="249">
        <f t="shared" si="30"/>
        <v>669.94656589280896</v>
      </c>
      <c r="D283" s="250">
        <v>0.60225121581141128</v>
      </c>
      <c r="E283" s="250">
        <f t="shared" si="34"/>
        <v>-7.1627034243856862</v>
      </c>
      <c r="F283" s="251">
        <f t="shared" si="35"/>
        <v>-7.6033217308885686</v>
      </c>
      <c r="G283" s="246">
        <f t="shared" si="32"/>
        <v>1.0992883316261828</v>
      </c>
    </row>
    <row r="284" spans="1:7" ht="18.75" customHeight="1" x14ac:dyDescent="0.25">
      <c r="A284" s="247">
        <f>2023</f>
        <v>2023</v>
      </c>
      <c r="B284" s="274" t="s">
        <v>23</v>
      </c>
      <c r="C284" s="249">
        <f t="shared" si="30"/>
        <v>674.68321833204334</v>
      </c>
      <c r="D284" s="250">
        <v>0.70701943712809801</v>
      </c>
      <c r="E284" s="250">
        <f t="shared" si="34"/>
        <v>-6.5063256926918385</v>
      </c>
      <c r="F284" s="251">
        <f t="shared" si="35"/>
        <v>-6.0650177753545087</v>
      </c>
      <c r="G284" s="246">
        <f t="shared" si="32"/>
        <v>1.0915707145046369</v>
      </c>
    </row>
    <row r="285" spans="1:7" ht="18.75" customHeight="1" x14ac:dyDescent="0.25">
      <c r="A285" s="247">
        <f>2023</f>
        <v>2023</v>
      </c>
      <c r="B285" s="274" t="s">
        <v>12</v>
      </c>
      <c r="C285" s="249">
        <f t="shared" si="30"/>
        <v>681.21558130580252</v>
      </c>
      <c r="D285" s="250">
        <v>0.96821186540085868</v>
      </c>
      <c r="E285" s="250">
        <f t="shared" si="34"/>
        <v>-5.6011088446492501</v>
      </c>
      <c r="F285" s="251">
        <f t="shared" si="35"/>
        <v>-5.6011088446492501</v>
      </c>
      <c r="G285" s="246">
        <f t="shared" si="32"/>
        <v>1.0811033436541324</v>
      </c>
    </row>
    <row r="286" spans="1:7" ht="18.75" customHeight="1" x14ac:dyDescent="0.25">
      <c r="A286" s="247">
        <f>2024</f>
        <v>2024</v>
      </c>
      <c r="B286" s="274" t="s">
        <v>13</v>
      </c>
      <c r="C286" s="249">
        <f t="shared" si="30"/>
        <v>680.61820248140839</v>
      </c>
      <c r="D286" s="250">
        <v>-8.7693065277372195E-2</v>
      </c>
      <c r="E286" s="250">
        <f t="shared" ref="E286:E297" si="36">100*((C286/$C$285)-1)</f>
        <v>-8.7693065277372195E-2</v>
      </c>
      <c r="F286" s="251">
        <f t="shared" si="35"/>
        <v>-5.7804853224315167</v>
      </c>
      <c r="G286" s="246">
        <f t="shared" si="32"/>
        <v>1.0820522284211369</v>
      </c>
    </row>
    <row r="287" spans="1:7" ht="18.75" customHeight="1" x14ac:dyDescent="0.25">
      <c r="A287" s="247">
        <f>2024</f>
        <v>2024</v>
      </c>
      <c r="B287" s="274" t="s">
        <v>14</v>
      </c>
      <c r="C287" s="249">
        <f t="shared" si="30"/>
        <v>674.50859990645131</v>
      </c>
      <c r="D287" s="250">
        <v>-0.89765488972857188</v>
      </c>
      <c r="E287" s="250">
        <f t="shared" si="36"/>
        <v>-0.98456077391753105</v>
      </c>
      <c r="F287" s="251">
        <f t="shared" si="35"/>
        <v>-6.4355927245633326</v>
      </c>
      <c r="G287" s="246">
        <f t="shared" si="32"/>
        <v>1.091853302984036</v>
      </c>
    </row>
    <row r="288" spans="1:7" ht="18.75" customHeight="1" x14ac:dyDescent="0.25">
      <c r="A288" s="247">
        <f>2024</f>
        <v>2024</v>
      </c>
      <c r="B288" s="274" t="s">
        <v>15</v>
      </c>
      <c r="C288" s="249">
        <f t="shared" si="30"/>
        <v>669.30885123326357</v>
      </c>
      <c r="D288" s="250">
        <v>-0.77089434796071554</v>
      </c>
      <c r="E288" s="250">
        <f t="shared" si="36"/>
        <v>-1.7478651985198712</v>
      </c>
      <c r="F288" s="251">
        <f t="shared" si="35"/>
        <v>-7.0497007376439385</v>
      </c>
      <c r="G288" s="246">
        <f t="shared" si="32"/>
        <v>1.100335728926926</v>
      </c>
    </row>
    <row r="289" spans="1:7" ht="18.75" customHeight="1" x14ac:dyDescent="0.25">
      <c r="A289" s="247">
        <f>2024</f>
        <v>2024</v>
      </c>
      <c r="B289" s="274" t="s">
        <v>16</v>
      </c>
      <c r="C289" s="249">
        <f t="shared" si="30"/>
        <v>671.2674368489694</v>
      </c>
      <c r="D289" s="250">
        <v>0.29262807627554732</v>
      </c>
      <c r="E289" s="250">
        <f t="shared" si="36"/>
        <v>-1.4603518665506465</v>
      </c>
      <c r="F289" s="251">
        <f t="shared" si="35"/>
        <v>-5.4065916038964934</v>
      </c>
      <c r="G289" s="246">
        <f t="shared" si="32"/>
        <v>1.0971252324648306</v>
      </c>
    </row>
    <row r="290" spans="1:7" ht="18.75" customHeight="1" x14ac:dyDescent="0.25">
      <c r="A290" s="247">
        <f>2024</f>
        <v>2024</v>
      </c>
      <c r="B290" s="274" t="s">
        <v>17</v>
      </c>
      <c r="C290" s="249">
        <f t="shared" si="30"/>
        <v>678.37369195830036</v>
      </c>
      <c r="D290" s="250">
        <v>1.0586324792825952</v>
      </c>
      <c r="E290" s="250">
        <f t="shared" si="36"/>
        <v>-0.41717914643917275</v>
      </c>
      <c r="F290" s="251">
        <f t="shared" si="35"/>
        <v>-1.7315264887828974</v>
      </c>
      <c r="G290" s="246">
        <f t="shared" si="32"/>
        <v>1.0856323755318433</v>
      </c>
    </row>
    <row r="291" spans="1:7" ht="18.75" customHeight="1" x14ac:dyDescent="0.25">
      <c r="A291" s="247">
        <f>2024</f>
        <v>2024</v>
      </c>
      <c r="B291" s="274" t="s">
        <v>18</v>
      </c>
      <c r="C291" s="249">
        <f t="shared" si="30"/>
        <v>684.44244811791418</v>
      </c>
      <c r="D291" s="250">
        <v>0.89460370169940351</v>
      </c>
      <c r="E291" s="250">
        <f t="shared" si="36"/>
        <v>0.47369245517345782</v>
      </c>
      <c r="F291" s="251">
        <f t="shared" si="35"/>
        <v>1.9351821576037764</v>
      </c>
      <c r="G291" s="246">
        <f t="shared" si="32"/>
        <v>1.076006382602559</v>
      </c>
    </row>
    <row r="292" spans="1:7" ht="18.75" customHeight="1" x14ac:dyDescent="0.25">
      <c r="A292" s="247">
        <f>2024</f>
        <v>2024</v>
      </c>
      <c r="B292" s="274" t="s">
        <v>19</v>
      </c>
      <c r="C292" s="249">
        <f t="shared" si="30"/>
        <v>689.0902596037771</v>
      </c>
      <c r="D292" s="250">
        <v>0.67906534707826705</v>
      </c>
      <c r="E292" s="250">
        <f t="shared" si="36"/>
        <v>1.1559744835665464</v>
      </c>
      <c r="F292" s="251">
        <f t="shared" si="35"/>
        <v>3.7214138652120088</v>
      </c>
      <c r="G292" s="246">
        <f t="shared" si="32"/>
        <v>1.068748879315838</v>
      </c>
    </row>
    <row r="293" spans="1:7" ht="18.75" customHeight="1" x14ac:dyDescent="0.25">
      <c r="A293" s="247">
        <f>2024</f>
        <v>2024</v>
      </c>
      <c r="B293" s="274" t="s">
        <v>20</v>
      </c>
      <c r="C293" s="249">
        <f t="shared" si="30"/>
        <v>691.08050119137386</v>
      </c>
      <c r="D293" s="250">
        <v>0.28882161079175628</v>
      </c>
      <c r="E293" s="250">
        <f t="shared" si="36"/>
        <v>1.4481347984820925</v>
      </c>
      <c r="F293" s="251">
        <f t="shared" si="35"/>
        <v>4.2012459313228945</v>
      </c>
      <c r="G293" s="246">
        <f t="shared" si="32"/>
        <v>1.0656709911933326</v>
      </c>
    </row>
    <row r="294" spans="1:7" ht="18.75" customHeight="1" x14ac:dyDescent="0.25">
      <c r="A294" s="247">
        <f>2024</f>
        <v>2024</v>
      </c>
      <c r="B294" s="274" t="s">
        <v>21</v>
      </c>
      <c r="C294" s="249">
        <f t="shared" si="30"/>
        <v>695.95143622104888</v>
      </c>
      <c r="D294" s="250">
        <v>0.70482889059637621</v>
      </c>
      <c r="E294" s="250">
        <f t="shared" si="36"/>
        <v>2.1631705615129393</v>
      </c>
      <c r="F294" s="251">
        <f t="shared" si="35"/>
        <v>4.5072618999243641</v>
      </c>
      <c r="G294" s="246">
        <f t="shared" si="32"/>
        <v>1.0582124044429444</v>
      </c>
    </row>
    <row r="295" spans="1:7" ht="18.75" customHeight="1" x14ac:dyDescent="0.25">
      <c r="A295" s="247">
        <f>2024</f>
        <v>2024</v>
      </c>
      <c r="B295" s="274" t="s">
        <v>22</v>
      </c>
      <c r="C295" s="249">
        <f t="shared" si="30"/>
        <v>709.44045430794449</v>
      </c>
      <c r="D295" s="250">
        <v>1.9382125511716364</v>
      </c>
      <c r="E295" s="250">
        <f t="shared" si="36"/>
        <v>4.1433099560110653</v>
      </c>
      <c r="F295" s="251">
        <f t="shared" si="35"/>
        <v>5.8950803580138933</v>
      </c>
      <c r="G295" s="246">
        <f t="shared" si="32"/>
        <v>1.0380919754814573</v>
      </c>
    </row>
    <row r="296" spans="1:7" ht="18.75" customHeight="1" x14ac:dyDescent="0.25">
      <c r="A296" s="247">
        <f>2024</f>
        <v>2024</v>
      </c>
      <c r="B296" s="274" t="s">
        <v>23</v>
      </c>
      <c r="C296" s="249">
        <f t="shared" si="30"/>
        <v>721.81487583616286</v>
      </c>
      <c r="D296" s="250">
        <v>1.7442509026764697</v>
      </c>
      <c r="E296" s="250">
        <f t="shared" si="36"/>
        <v>5.9598305799959395</v>
      </c>
      <c r="F296" s="251">
        <f t="shared" si="35"/>
        <v>6.9857462322300945</v>
      </c>
      <c r="G296" s="246">
        <f t="shared" si="32"/>
        <v>1.0202954626639738</v>
      </c>
    </row>
    <row r="297" spans="1:7" ht="18.75" customHeight="1" x14ac:dyDescent="0.25">
      <c r="A297" s="247">
        <f>2024</f>
        <v>2024</v>
      </c>
      <c r="B297" s="274" t="s">
        <v>12</v>
      </c>
      <c r="C297" s="249">
        <f t="shared" si="30"/>
        <v>730.54069131385108</v>
      </c>
      <c r="D297" s="250">
        <v>1.2088716608368744</v>
      </c>
      <c r="E297" s="250">
        <f t="shared" si="36"/>
        <v>7.2407489437482653</v>
      </c>
      <c r="F297" s="251">
        <f t="shared" si="35"/>
        <v>7.2407489437482653</v>
      </c>
      <c r="G297" s="246">
        <f t="shared" si="32"/>
        <v>1.0081087220131322</v>
      </c>
    </row>
    <row r="298" spans="1:7" ht="18.75" customHeight="1" x14ac:dyDescent="0.25">
      <c r="A298" s="247">
        <f>2025</f>
        <v>2025</v>
      </c>
      <c r="B298" s="274" t="s">
        <v>13</v>
      </c>
      <c r="C298" s="249">
        <f t="shared" si="30"/>
        <v>732.30678819725199</v>
      </c>
      <c r="D298" s="250">
        <v>0.24175202071559099</v>
      </c>
      <c r="E298" s="250">
        <f>100*((C298/$C$297)-1)</f>
        <v>0.24175202071559099</v>
      </c>
      <c r="F298" s="251">
        <f t="shared" si="35"/>
        <v>7.5943584123076002</v>
      </c>
      <c r="G298" s="246">
        <f t="shared" si="32"/>
        <v>1.0056774763920728</v>
      </c>
    </row>
    <row r="299" spans="1:7" ht="18.75" customHeight="1" x14ac:dyDescent="0.25">
      <c r="A299" s="247">
        <f>2025</f>
        <v>2025</v>
      </c>
      <c r="B299" s="274" t="s">
        <v>14</v>
      </c>
      <c r="C299" s="249">
        <f t="shared" ref="C299" si="37">+C298*(1+D299/100)</f>
        <v>740.90240572603386</v>
      </c>
      <c r="D299" s="250">
        <v>1.1737727503444262</v>
      </c>
      <c r="E299" s="250">
        <f>100*((C299/$C$297)-1)</f>
        <v>1.4183623904026055</v>
      </c>
      <c r="F299" s="251">
        <f t="shared" ref="F299" si="38">100*((C299/C287)-1)</f>
        <v>9.8432852937369262</v>
      </c>
      <c r="G299" s="246">
        <f t="shared" si="32"/>
        <v>0.99401005720491831</v>
      </c>
    </row>
    <row r="300" spans="1:7" ht="18.75" customHeight="1" x14ac:dyDescent="0.25">
      <c r="A300" s="247">
        <f>2025</f>
        <v>2025</v>
      </c>
      <c r="B300" s="274" t="s">
        <v>15</v>
      </c>
      <c r="C300" s="249">
        <f t="shared" ref="C300" si="39">+C299*(1+D300/100)</f>
        <v>735.50914716015791</v>
      </c>
      <c r="D300" s="250">
        <v>-0.72793103709670737</v>
      </c>
      <c r="E300" s="250">
        <f>100*((C300/$C$297)-1)</f>
        <v>0.68010665324764741</v>
      </c>
      <c r="F300" s="251">
        <f t="shared" ref="F300" si="40">100*((C300/C288)-1)</f>
        <v>9.8908442350514427</v>
      </c>
      <c r="G300" s="252">
        <f t="shared" si="32"/>
        <v>1.0012988221051051</v>
      </c>
    </row>
    <row r="301" spans="1:7" ht="18.75" customHeight="1" thickBot="1" x14ac:dyDescent="0.3">
      <c r="A301" s="253">
        <f>2025</f>
        <v>2025</v>
      </c>
      <c r="B301" s="275" t="s">
        <v>16</v>
      </c>
      <c r="C301" s="255">
        <f t="shared" ref="C301" si="41">+C300*(1+D301/100)</f>
        <v>736.46444269899655</v>
      </c>
      <c r="D301" s="42">
        <v>0.12988221051051241</v>
      </c>
      <c r="E301" s="42">
        <f>100*((C301/$C$297)-1)</f>
        <v>0.81087220131321747</v>
      </c>
      <c r="F301" s="256">
        <f t="shared" ref="F301" si="42">100*((C301/C289)-1)</f>
        <v>9.7125232464830624</v>
      </c>
      <c r="G301" s="257">
        <f t="shared" si="32"/>
        <v>1</v>
      </c>
    </row>
    <row r="302" spans="1:7" ht="18" customHeight="1" x14ac:dyDescent="0.2">
      <c r="A302" s="262" t="s">
        <v>44</v>
      </c>
      <c r="G302" s="276"/>
    </row>
    <row r="303" spans="1:7" ht="18" customHeight="1" x14ac:dyDescent="0.2">
      <c r="A303" s="262" t="s">
        <v>45</v>
      </c>
      <c r="E303" s="796">
        <v>-0.72999967140823241</v>
      </c>
      <c r="G303" s="276"/>
    </row>
    <row r="304" spans="1:7" ht="18" customHeight="1" x14ac:dyDescent="0.2">
      <c r="A304" s="201" t="s">
        <v>46</v>
      </c>
      <c r="G304" s="276"/>
    </row>
    <row r="305" spans="1:7" ht="18" customHeight="1" x14ac:dyDescent="0.25">
      <c r="A305" s="263"/>
      <c r="B305" s="277"/>
      <c r="C305" s="277"/>
      <c r="D305" s="277"/>
      <c r="E305" s="277"/>
      <c r="F305" s="277" t="s">
        <v>97</v>
      </c>
      <c r="G305" s="276"/>
    </row>
    <row r="306" spans="1:7" ht="18" customHeight="1" x14ac:dyDescent="0.25">
      <c r="A306" s="263" t="s">
        <v>98</v>
      </c>
      <c r="G306" s="276"/>
    </row>
    <row r="307" spans="1:7" ht="18" customHeight="1" x14ac:dyDescent="0.25">
      <c r="A307" s="278"/>
      <c r="B307" s="278"/>
      <c r="C307" s="278"/>
      <c r="D307" s="278"/>
      <c r="E307" s="278"/>
      <c r="G307" s="276"/>
    </row>
    <row r="308" spans="1:7" ht="18" customHeight="1" x14ac:dyDescent="0.25">
      <c r="A308" s="278"/>
      <c r="B308" s="278"/>
      <c r="C308" s="278"/>
      <c r="D308" s="278"/>
      <c r="E308" s="278"/>
      <c r="G308" s="276"/>
    </row>
    <row r="309" spans="1:7" ht="18" customHeight="1" x14ac:dyDescent="0.25">
      <c r="A309" s="278"/>
      <c r="B309" s="278"/>
      <c r="C309" s="278"/>
      <c r="D309" s="278"/>
      <c r="E309" s="278"/>
      <c r="G309" s="276"/>
    </row>
    <row r="310" spans="1:7" ht="18" customHeight="1" x14ac:dyDescent="0.25">
      <c r="G310" s="276"/>
    </row>
    <row r="311" spans="1:7" ht="18" customHeight="1" x14ac:dyDescent="0.25">
      <c r="G311" s="276"/>
    </row>
    <row r="312" spans="1:7" ht="18" customHeight="1" x14ac:dyDescent="0.25">
      <c r="G312" s="276"/>
    </row>
    <row r="313" spans="1:7" ht="18" customHeight="1" x14ac:dyDescent="0.25">
      <c r="G313" s="276"/>
    </row>
    <row r="314" spans="1:7" ht="18" customHeight="1" x14ac:dyDescent="0.25">
      <c r="G314" s="276"/>
    </row>
    <row r="315" spans="1:7" ht="18" customHeight="1" x14ac:dyDescent="0.25">
      <c r="G315" s="276"/>
    </row>
    <row r="316" spans="1:7" ht="18" customHeight="1" x14ac:dyDescent="0.25">
      <c r="G316" s="276"/>
    </row>
    <row r="317" spans="1:7" ht="18" customHeight="1" x14ac:dyDescent="0.25">
      <c r="G317" s="276"/>
    </row>
    <row r="318" spans="1:7" ht="18" customHeight="1" x14ac:dyDescent="0.25">
      <c r="G318" s="276"/>
    </row>
    <row r="319" spans="1:7" ht="18" customHeight="1" x14ac:dyDescent="0.25">
      <c r="G319" s="276"/>
    </row>
    <row r="320" spans="1:7" ht="18" customHeight="1" x14ac:dyDescent="0.25">
      <c r="G320" s="276"/>
    </row>
    <row r="321" spans="7:7" ht="18" customHeight="1" x14ac:dyDescent="0.25">
      <c r="G321" s="276"/>
    </row>
    <row r="322" spans="7:7" ht="18" customHeight="1" x14ac:dyDescent="0.25">
      <c r="G322" s="276"/>
    </row>
    <row r="323" spans="7:7" ht="18" customHeight="1" x14ac:dyDescent="0.25">
      <c r="G323" s="276"/>
    </row>
    <row r="324" spans="7:7" ht="18" customHeight="1" x14ac:dyDescent="0.25">
      <c r="G324" s="276"/>
    </row>
    <row r="325" spans="7:7" ht="18" customHeight="1" x14ac:dyDescent="0.25">
      <c r="G325" s="276"/>
    </row>
    <row r="326" spans="7:7" ht="18" customHeight="1" x14ac:dyDescent="0.25">
      <c r="G326" s="276"/>
    </row>
    <row r="327" spans="7:7" ht="18" customHeight="1" x14ac:dyDescent="0.25">
      <c r="G327" s="276"/>
    </row>
    <row r="328" spans="7:7" ht="18" customHeight="1" x14ac:dyDescent="0.25">
      <c r="G328" s="276"/>
    </row>
    <row r="329" spans="7:7" ht="18" customHeight="1" x14ac:dyDescent="0.25">
      <c r="G329" s="276"/>
    </row>
    <row r="330" spans="7:7" ht="18" customHeight="1" x14ac:dyDescent="0.25">
      <c r="G330" s="276"/>
    </row>
    <row r="331" spans="7:7" ht="18" customHeight="1" x14ac:dyDescent="0.25">
      <c r="G331" s="276"/>
    </row>
    <row r="332" spans="7:7" ht="18" customHeight="1" x14ac:dyDescent="0.25">
      <c r="G332" s="276"/>
    </row>
    <row r="333" spans="7:7" ht="18" customHeight="1" x14ac:dyDescent="0.25">
      <c r="G333" s="276"/>
    </row>
    <row r="334" spans="7:7" ht="18" customHeight="1" x14ac:dyDescent="0.25">
      <c r="G334" s="276"/>
    </row>
    <row r="335" spans="7:7" ht="18" customHeight="1" x14ac:dyDescent="0.25">
      <c r="G335" s="276"/>
    </row>
    <row r="336" spans="7:7" ht="18" customHeight="1" x14ac:dyDescent="0.25">
      <c r="G336" s="276"/>
    </row>
    <row r="337" spans="7:7" ht="18" customHeight="1" x14ac:dyDescent="0.25">
      <c r="G337" s="276"/>
    </row>
    <row r="338" spans="7:7" ht="18" customHeight="1" x14ac:dyDescent="0.25">
      <c r="G338" s="276"/>
    </row>
    <row r="339" spans="7:7" ht="18" customHeight="1" x14ac:dyDescent="0.25">
      <c r="G339" s="276"/>
    </row>
    <row r="340" spans="7:7" ht="18" customHeight="1" x14ac:dyDescent="0.25">
      <c r="G340" s="276"/>
    </row>
    <row r="341" spans="7:7" ht="18" customHeight="1" x14ac:dyDescent="0.25">
      <c r="G341" s="276"/>
    </row>
    <row r="342" spans="7:7" ht="18" customHeight="1" x14ac:dyDescent="0.25">
      <c r="G342" s="276"/>
    </row>
    <row r="343" spans="7:7" ht="18" customHeight="1" x14ac:dyDescent="0.25">
      <c r="G343" s="276"/>
    </row>
    <row r="344" spans="7:7" ht="18" customHeight="1" x14ac:dyDescent="0.25">
      <c r="G344" s="276"/>
    </row>
    <row r="345" spans="7:7" ht="18" customHeight="1" x14ac:dyDescent="0.25">
      <c r="G345" s="276"/>
    </row>
    <row r="346" spans="7:7" ht="18" customHeight="1" x14ac:dyDescent="0.25">
      <c r="G346" s="276"/>
    </row>
    <row r="347" spans="7:7" ht="18" customHeight="1" x14ac:dyDescent="0.25">
      <c r="G347" s="276"/>
    </row>
    <row r="348" spans="7:7" ht="18" customHeight="1" x14ac:dyDescent="0.25">
      <c r="G348" s="276"/>
    </row>
    <row r="349" spans="7:7" ht="18" customHeight="1" x14ac:dyDescent="0.25">
      <c r="G349" s="276"/>
    </row>
    <row r="350" spans="7:7" ht="18" customHeight="1" x14ac:dyDescent="0.25">
      <c r="G350" s="276"/>
    </row>
    <row r="351" spans="7:7" ht="18" customHeight="1" x14ac:dyDescent="0.25">
      <c r="G351" s="276"/>
    </row>
    <row r="352" spans="7:7" ht="18" customHeight="1" x14ac:dyDescent="0.25">
      <c r="G352" s="276"/>
    </row>
    <row r="353" spans="7:7" ht="18" customHeight="1" x14ac:dyDescent="0.25">
      <c r="G353" s="276"/>
    </row>
    <row r="354" spans="7:7" ht="18" customHeight="1" x14ac:dyDescent="0.25">
      <c r="G354" s="276"/>
    </row>
    <row r="355" spans="7:7" ht="18" customHeight="1" x14ac:dyDescent="0.25">
      <c r="G355" s="276"/>
    </row>
    <row r="356" spans="7:7" ht="18" customHeight="1" x14ac:dyDescent="0.25">
      <c r="G356" s="276"/>
    </row>
    <row r="357" spans="7:7" ht="18" customHeight="1" x14ac:dyDescent="0.25">
      <c r="G357" s="276"/>
    </row>
    <row r="358" spans="7:7" ht="18" customHeight="1" x14ac:dyDescent="0.25">
      <c r="G358" s="276"/>
    </row>
    <row r="359" spans="7:7" ht="18" customHeight="1" x14ac:dyDescent="0.25">
      <c r="G359" s="276"/>
    </row>
    <row r="360" spans="7:7" ht="18" customHeight="1" x14ac:dyDescent="0.25">
      <c r="G360" s="276"/>
    </row>
    <row r="361" spans="7:7" ht="18" customHeight="1" x14ac:dyDescent="0.25">
      <c r="G361" s="276"/>
    </row>
    <row r="362" spans="7:7" ht="18" customHeight="1" x14ac:dyDescent="0.25">
      <c r="G362" s="276"/>
    </row>
    <row r="363" spans="7:7" ht="18" customHeight="1" x14ac:dyDescent="0.25">
      <c r="G363" s="276"/>
    </row>
    <row r="364" spans="7:7" ht="18" customHeight="1" x14ac:dyDescent="0.25">
      <c r="G364" s="276"/>
    </row>
    <row r="365" spans="7:7" ht="18" customHeight="1" x14ac:dyDescent="0.25">
      <c r="G365" s="276"/>
    </row>
    <row r="366" spans="7:7" ht="18" customHeight="1" x14ac:dyDescent="0.25">
      <c r="G366" s="276"/>
    </row>
    <row r="367" spans="7:7" ht="18" customHeight="1" x14ac:dyDescent="0.25">
      <c r="G367" s="276"/>
    </row>
    <row r="368" spans="7:7" ht="18" customHeight="1" x14ac:dyDescent="0.25">
      <c r="G368" s="276"/>
    </row>
    <row r="369" spans="7:7" ht="18" customHeight="1" x14ac:dyDescent="0.25">
      <c r="G369" s="276"/>
    </row>
    <row r="370" spans="7:7" ht="18" customHeight="1" x14ac:dyDescent="0.25">
      <c r="G370" s="276"/>
    </row>
    <row r="371" spans="7:7" ht="18" customHeight="1" x14ac:dyDescent="0.25">
      <c r="G371" s="276"/>
    </row>
    <row r="372" spans="7:7" ht="18" customHeight="1" x14ac:dyDescent="0.25">
      <c r="G372" s="276"/>
    </row>
    <row r="373" spans="7:7" ht="18" customHeight="1" x14ac:dyDescent="0.25">
      <c r="G373" s="276"/>
    </row>
    <row r="374" spans="7:7" ht="18" customHeight="1" x14ac:dyDescent="0.25">
      <c r="G374" s="276"/>
    </row>
    <row r="375" spans="7:7" ht="18" customHeight="1" x14ac:dyDescent="0.25">
      <c r="G375" s="276"/>
    </row>
    <row r="376" spans="7:7" ht="18" customHeight="1" x14ac:dyDescent="0.25">
      <c r="G376" s="276"/>
    </row>
    <row r="377" spans="7:7" ht="18" customHeight="1" x14ac:dyDescent="0.25">
      <c r="G377" s="276"/>
    </row>
    <row r="378" spans="7:7" ht="18" customHeight="1" x14ac:dyDescent="0.25">
      <c r="G378" s="276"/>
    </row>
    <row r="379" spans="7:7" ht="18" customHeight="1" x14ac:dyDescent="0.25">
      <c r="G379" s="276"/>
    </row>
    <row r="380" spans="7:7" ht="18" customHeight="1" x14ac:dyDescent="0.25">
      <c r="G380" s="276"/>
    </row>
    <row r="381" spans="7:7" ht="18" customHeight="1" x14ac:dyDescent="0.25">
      <c r="G381" s="276"/>
    </row>
    <row r="382" spans="7:7" ht="18" customHeight="1" x14ac:dyDescent="0.25">
      <c r="G382" s="276"/>
    </row>
    <row r="383" spans="7:7" ht="18" customHeight="1" x14ac:dyDescent="0.25">
      <c r="G383" s="276"/>
    </row>
    <row r="384" spans="7:7" ht="18" customHeight="1" x14ac:dyDescent="0.25">
      <c r="G384" s="279"/>
    </row>
  </sheetData>
  <mergeCells count="1">
    <mergeCell ref="A1:G3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AF0E-A74B-4719-9A37-34BF5E80F00D}">
  <dimension ref="A1:E241"/>
  <sheetViews>
    <sheetView showGridLines="0" workbookViewId="0">
      <pane ySplit="2460" topLeftCell="A224" activePane="bottomLeft"/>
      <selection activeCell="G1" sqref="G1:H1048576"/>
      <selection pane="bottomLeft" activeCell="F240" sqref="F240"/>
    </sheetView>
  </sheetViews>
  <sheetFormatPr defaultColWidth="11.42578125" defaultRowHeight="12.75" x14ac:dyDescent="0.25"/>
  <cols>
    <col min="1" max="1" width="17.42578125" style="316" customWidth="1"/>
    <col min="2" max="2" width="19.28515625" style="286" customWidth="1"/>
    <col min="3" max="3" width="18.42578125" style="286" customWidth="1"/>
    <col min="4" max="4" width="21.28515625" style="315" customWidth="1"/>
    <col min="5" max="5" width="17.42578125" style="316" customWidth="1"/>
    <col min="6" max="16384" width="11.42578125" style="286"/>
  </cols>
  <sheetData>
    <row r="1" spans="1:5" s="55" customFormat="1" ht="21" customHeight="1" x14ac:dyDescent="0.25">
      <c r="A1" s="714" t="s">
        <v>109</v>
      </c>
      <c r="B1" s="714"/>
      <c r="C1" s="714"/>
      <c r="D1" s="714"/>
      <c r="E1" s="714"/>
    </row>
    <row r="2" spans="1:5" s="55" customFormat="1" ht="15.75" customHeight="1" x14ac:dyDescent="0.25">
      <c r="A2" s="714"/>
      <c r="B2" s="714"/>
      <c r="C2" s="714"/>
      <c r="D2" s="714"/>
      <c r="E2" s="714"/>
    </row>
    <row r="3" spans="1:5" s="55" customFormat="1" ht="15" customHeight="1" thickBot="1" x14ac:dyDescent="0.3">
      <c r="A3" s="715"/>
      <c r="B3" s="715"/>
      <c r="C3" s="715"/>
      <c r="D3" s="715"/>
      <c r="E3" s="715"/>
    </row>
    <row r="4" spans="1:5" s="55" customFormat="1" ht="17.25" customHeight="1" thickBot="1" x14ac:dyDescent="0.3">
      <c r="A4" s="725" t="s">
        <v>100</v>
      </c>
      <c r="B4" s="685"/>
      <c r="C4" s="687" t="s">
        <v>101</v>
      </c>
      <c r="D4" s="688"/>
      <c r="E4" s="688"/>
    </row>
    <row r="5" spans="1:5" s="55" customFormat="1" ht="15" customHeight="1" thickBot="1" x14ac:dyDescent="0.3">
      <c r="A5" s="689" t="s">
        <v>3</v>
      </c>
      <c r="B5" s="690"/>
      <c r="C5" s="726" t="s">
        <v>4</v>
      </c>
      <c r="D5" s="693"/>
      <c r="E5" s="693"/>
    </row>
    <row r="6" spans="1:5" s="55" customFormat="1" ht="15.75" customHeight="1" thickBot="1" x14ac:dyDescent="0.3">
      <c r="A6" s="66" t="s">
        <v>6</v>
      </c>
      <c r="B6" s="67" t="s">
        <v>8</v>
      </c>
      <c r="C6" s="67" t="s">
        <v>102</v>
      </c>
      <c r="D6" s="67" t="s">
        <v>103</v>
      </c>
      <c r="E6" s="280" t="s">
        <v>104</v>
      </c>
    </row>
    <row r="7" spans="1:5" ht="18" hidden="1" customHeight="1" x14ac:dyDescent="0.3">
      <c r="A7" s="281">
        <v>38718</v>
      </c>
      <c r="B7" s="282">
        <v>328.04199999999997</v>
      </c>
      <c r="C7" s="283">
        <v>0.34</v>
      </c>
      <c r="D7" s="284">
        <v>0.34</v>
      </c>
      <c r="E7" s="285">
        <v>6.41</v>
      </c>
    </row>
    <row r="8" spans="1:5" ht="18" hidden="1" customHeight="1" x14ac:dyDescent="0.3">
      <c r="A8" s="287">
        <v>38749</v>
      </c>
      <c r="B8" s="288">
        <v>328.65100000000001</v>
      </c>
      <c r="C8" s="289">
        <f>(B8/B7-1)*100</f>
        <v>0.18564695984051305</v>
      </c>
      <c r="D8" s="290">
        <v>0.53102488414420446</v>
      </c>
      <c r="E8" s="291">
        <v>6.1376539661419871</v>
      </c>
    </row>
    <row r="9" spans="1:5" ht="18" hidden="1" customHeight="1" x14ac:dyDescent="0.3">
      <c r="A9" s="287">
        <v>38777</v>
      </c>
      <c r="B9" s="288">
        <v>329.32</v>
      </c>
      <c r="C9" s="289">
        <f t="shared" ref="C9:C20" si="0">(B9/B8-1)*100</f>
        <v>0.2035593988759965</v>
      </c>
      <c r="D9" s="290">
        <v>0.73566523408223894</v>
      </c>
      <c r="E9" s="291">
        <v>5.6416869564659411</v>
      </c>
    </row>
    <row r="10" spans="1:5" ht="18" hidden="1" customHeight="1" x14ac:dyDescent="0.3">
      <c r="A10" s="287">
        <v>38808</v>
      </c>
      <c r="B10" s="288">
        <v>330.50099999999998</v>
      </c>
      <c r="C10" s="289">
        <f t="shared" si="0"/>
        <v>0.35861775780394733</v>
      </c>
      <c r="D10" s="290">
        <v>1.0969212180536037</v>
      </c>
      <c r="E10" s="291">
        <v>5.2628058743156458</v>
      </c>
    </row>
    <row r="11" spans="1:5" ht="18" hidden="1" customHeight="1" x14ac:dyDescent="0.3">
      <c r="A11" s="287">
        <v>38838</v>
      </c>
      <c r="B11" s="288">
        <v>334.86700000000002</v>
      </c>
      <c r="C11" s="289">
        <f t="shared" si="0"/>
        <v>1.3210247472776215</v>
      </c>
      <c r="D11" s="290">
        <v>2.4324365660798763</v>
      </c>
      <c r="E11" s="291">
        <v>4.4748599168860981</v>
      </c>
    </row>
    <row r="12" spans="1:5" ht="18" hidden="1" customHeight="1" x14ac:dyDescent="0.3">
      <c r="A12" s="287">
        <v>38869</v>
      </c>
      <c r="B12" s="288">
        <v>337.892</v>
      </c>
      <c r="C12" s="289">
        <f t="shared" si="0"/>
        <v>0.90334371556468618</v>
      </c>
      <c r="D12" s="290">
        <v>3.3577535444993201</v>
      </c>
      <c r="E12" s="291">
        <v>4.6189476552292108</v>
      </c>
    </row>
    <row r="13" spans="1:5" ht="18" hidden="1" customHeight="1" x14ac:dyDescent="0.3">
      <c r="A13" s="287">
        <v>38899</v>
      </c>
      <c r="B13" s="288">
        <v>339.48399999999998</v>
      </c>
      <c r="C13" s="289">
        <f t="shared" si="0"/>
        <v>0.47115646419566559</v>
      </c>
      <c r="D13" s="290">
        <v>3.84473028157164</v>
      </c>
      <c r="E13" s="291">
        <v>4.9954845174619233</v>
      </c>
    </row>
    <row r="14" spans="1:5" ht="18" hidden="1" customHeight="1" x14ac:dyDescent="0.3">
      <c r="A14" s="287">
        <v>38930</v>
      </c>
      <c r="B14" s="288">
        <v>340.28300000000002</v>
      </c>
      <c r="C14" s="289">
        <f t="shared" si="0"/>
        <v>0.23535718914589054</v>
      </c>
      <c r="D14" s="290">
        <v>4.0891363198384933</v>
      </c>
      <c r="E14" s="291">
        <v>5.2263267590651363</v>
      </c>
    </row>
    <row r="15" spans="1:5" ht="18" hidden="1" customHeight="1" x14ac:dyDescent="0.3">
      <c r="A15" s="287">
        <v>38961</v>
      </c>
      <c r="B15" s="288">
        <v>340.67</v>
      </c>
      <c r="C15" s="289">
        <f t="shared" si="0"/>
        <v>0.11372886685494521</v>
      </c>
      <c r="D15" s="290">
        <v>4.2075157150941456</v>
      </c>
      <c r="E15" s="291">
        <v>5.0918670796263665</v>
      </c>
    </row>
    <row r="16" spans="1:5" ht="18" hidden="1" customHeight="1" x14ac:dyDescent="0.3">
      <c r="A16" s="287">
        <v>38991</v>
      </c>
      <c r="B16" s="288">
        <v>341.36900000000003</v>
      </c>
      <c r="C16" s="289">
        <f t="shared" si="0"/>
        <v>0.20518390231014649</v>
      </c>
      <c r="D16" s="290">
        <v>4.4213327623388254</v>
      </c>
      <c r="E16" s="291">
        <v>5.1071180053081866</v>
      </c>
    </row>
    <row r="17" spans="1:5" ht="18" hidden="1" customHeight="1" x14ac:dyDescent="0.3">
      <c r="A17" s="287">
        <v>39022</v>
      </c>
      <c r="B17" s="288">
        <v>342.15899999999999</v>
      </c>
      <c r="C17" s="289">
        <f t="shared" si="0"/>
        <v>0.23142113079979154</v>
      </c>
      <c r="D17" s="290">
        <v>4.6629857914136652</v>
      </c>
      <c r="E17" s="291">
        <v>5.0524557649146651</v>
      </c>
    </row>
    <row r="18" spans="1:5" ht="18" hidden="1" customHeight="1" x14ac:dyDescent="0.3">
      <c r="A18" s="287">
        <v>39052</v>
      </c>
      <c r="B18" s="288">
        <v>343.40100000000001</v>
      </c>
      <c r="C18" s="289">
        <f t="shared" si="0"/>
        <v>0.36298913662946575</v>
      </c>
      <c r="D18" s="290">
        <v>5.0429010599085444</v>
      </c>
      <c r="E18" s="291">
        <v>5.0429010599085444</v>
      </c>
    </row>
    <row r="19" spans="1:5" ht="18" hidden="1" customHeight="1" x14ac:dyDescent="0.3">
      <c r="A19" s="287">
        <v>39083</v>
      </c>
      <c r="B19" s="288">
        <v>344.94299999999998</v>
      </c>
      <c r="C19" s="289">
        <f>(B19/B18-1)*100</f>
        <v>0.44903771392628133</v>
      </c>
      <c r="D19" s="290">
        <f>(B19/$B$18-1)*100</f>
        <v>0.44903771392628133</v>
      </c>
      <c r="E19" s="291">
        <f>(B19/B7-1)*100</f>
        <v>5.1520841843422538</v>
      </c>
    </row>
    <row r="20" spans="1:5" ht="18" hidden="1" customHeight="1" x14ac:dyDescent="0.3">
      <c r="A20" s="287">
        <v>39114</v>
      </c>
      <c r="B20" s="288">
        <v>345.68200000000002</v>
      </c>
      <c r="C20" s="289">
        <f t="shared" si="0"/>
        <v>0.21423829444287001</v>
      </c>
      <c r="D20" s="290">
        <f>(B20/$B$18-1)*100</f>
        <v>0.66423801910886482</v>
      </c>
      <c r="E20" s="291">
        <f>(B20/B8-1)*100</f>
        <v>5.1820928583816928</v>
      </c>
    </row>
    <row r="21" spans="1:5" ht="18" hidden="1" customHeight="1" x14ac:dyDescent="0.3">
      <c r="A21" s="287">
        <v>39114</v>
      </c>
      <c r="B21" s="292">
        <v>100</v>
      </c>
      <c r="C21" s="289"/>
      <c r="D21" s="290"/>
      <c r="E21" s="293"/>
    </row>
    <row r="22" spans="1:5" ht="18" hidden="1" customHeight="1" x14ac:dyDescent="0.3">
      <c r="A22" s="287">
        <v>39142</v>
      </c>
      <c r="B22" s="288">
        <f t="shared" ref="B22:B85" si="1">B21*(1+C22)</f>
        <v>100.15</v>
      </c>
      <c r="C22" s="294">
        <v>1.5E-3</v>
      </c>
      <c r="D22" s="290">
        <f t="shared" ref="D22:D27" si="2">(B22/$B$21-1)*100</f>
        <v>0.15000000000000568</v>
      </c>
      <c r="E22" s="293" t="s">
        <v>105</v>
      </c>
    </row>
    <row r="23" spans="1:5" ht="18" hidden="1" customHeight="1" x14ac:dyDescent="0.3">
      <c r="A23" s="287">
        <v>39173</v>
      </c>
      <c r="B23" s="288">
        <f t="shared" si="1"/>
        <v>100.86106500000001</v>
      </c>
      <c r="C23" s="294">
        <v>7.1000000000000004E-3</v>
      </c>
      <c r="D23" s="290">
        <f t="shared" si="2"/>
        <v>0.8610650000000053</v>
      </c>
      <c r="E23" s="291" t="s">
        <v>106</v>
      </c>
    </row>
    <row r="24" spans="1:5" ht="18" hidden="1" customHeight="1" x14ac:dyDescent="0.3">
      <c r="A24" s="287">
        <v>39203</v>
      </c>
      <c r="B24" s="288">
        <f t="shared" si="1"/>
        <v>102.08148388650001</v>
      </c>
      <c r="C24" s="294">
        <v>1.21E-2</v>
      </c>
      <c r="D24" s="290">
        <f t="shared" si="2"/>
        <v>2.0814838865000018</v>
      </c>
      <c r="E24" s="291" t="s">
        <v>106</v>
      </c>
    </row>
    <row r="25" spans="1:5" ht="18" hidden="1" customHeight="1" x14ac:dyDescent="0.3">
      <c r="A25" s="287">
        <v>39234</v>
      </c>
      <c r="B25" s="288">
        <f t="shared" si="1"/>
        <v>103.54124910607696</v>
      </c>
      <c r="C25" s="294">
        <v>1.43E-2</v>
      </c>
      <c r="D25" s="290">
        <f t="shared" si="2"/>
        <v>3.5412491060769602</v>
      </c>
      <c r="E25" s="291" t="s">
        <v>106</v>
      </c>
    </row>
    <row r="26" spans="1:5" ht="18" hidden="1" customHeight="1" x14ac:dyDescent="0.3">
      <c r="A26" s="287">
        <v>39264</v>
      </c>
      <c r="B26" s="288">
        <f t="shared" si="1"/>
        <v>104.14178835089221</v>
      </c>
      <c r="C26" s="294">
        <v>5.7999999999999996E-3</v>
      </c>
      <c r="D26" s="290">
        <f t="shared" si="2"/>
        <v>4.141788350892206</v>
      </c>
      <c r="E26" s="291" t="s">
        <v>106</v>
      </c>
    </row>
    <row r="27" spans="1:5" ht="18" hidden="1" customHeight="1" x14ac:dyDescent="0.3">
      <c r="A27" s="287">
        <v>39295</v>
      </c>
      <c r="B27" s="288">
        <f t="shared" si="1"/>
        <v>104.66249729264666</v>
      </c>
      <c r="C27" s="294">
        <v>5.0000000000000001E-3</v>
      </c>
      <c r="D27" s="290">
        <f t="shared" si="2"/>
        <v>4.6624972926466723</v>
      </c>
      <c r="E27" s="291" t="s">
        <v>106</v>
      </c>
    </row>
    <row r="28" spans="1:5" ht="18" hidden="1" customHeight="1" x14ac:dyDescent="0.3">
      <c r="A28" s="287">
        <v>39326</v>
      </c>
      <c r="B28" s="288">
        <f t="shared" si="1"/>
        <v>104.93461978560754</v>
      </c>
      <c r="C28" s="294">
        <v>2.5999999999999999E-3</v>
      </c>
      <c r="D28" s="290">
        <f>(B28/$B$21-1)*100</f>
        <v>4.9346197856075413</v>
      </c>
      <c r="E28" s="291" t="s">
        <v>106</v>
      </c>
    </row>
    <row r="29" spans="1:5" ht="18" hidden="1" customHeight="1" x14ac:dyDescent="0.3">
      <c r="A29" s="287">
        <v>39356</v>
      </c>
      <c r="B29" s="288">
        <f t="shared" si="1"/>
        <v>105.75310981993528</v>
      </c>
      <c r="C29" s="294">
        <v>7.7999999999999996E-3</v>
      </c>
      <c r="D29" s="290">
        <f>(B29/$B$21-1)*100</f>
        <v>5.7531098199352648</v>
      </c>
      <c r="E29" s="291" t="s">
        <v>106</v>
      </c>
    </row>
    <row r="30" spans="1:5" ht="18" hidden="1" customHeight="1" x14ac:dyDescent="0.3">
      <c r="A30" s="287">
        <v>39387</v>
      </c>
      <c r="B30" s="288">
        <f t="shared" si="1"/>
        <v>106.47223096671082</v>
      </c>
      <c r="C30" s="294">
        <v>6.7999999999999996E-3</v>
      </c>
      <c r="D30" s="290">
        <f>(B30/$B$21-1)*100</f>
        <v>6.4722309667108346</v>
      </c>
      <c r="E30" s="291" t="s">
        <v>106</v>
      </c>
    </row>
    <row r="31" spans="1:5" ht="18" hidden="1" customHeight="1" x14ac:dyDescent="0.3">
      <c r="A31" s="287">
        <v>39417</v>
      </c>
      <c r="B31" s="288">
        <f t="shared" si="1"/>
        <v>107.08976990631776</v>
      </c>
      <c r="C31" s="294">
        <v>5.7999999999999996E-3</v>
      </c>
      <c r="D31" s="290">
        <f>(B31/$B$21-1)*100</f>
        <v>7.0897699063177555</v>
      </c>
      <c r="E31" s="291" t="s">
        <v>106</v>
      </c>
    </row>
    <row r="32" spans="1:5" ht="18" hidden="1" customHeight="1" x14ac:dyDescent="0.3">
      <c r="A32" s="287">
        <v>39448</v>
      </c>
      <c r="B32" s="288">
        <f t="shared" si="1"/>
        <v>107.16473274525217</v>
      </c>
      <c r="C32" s="294">
        <v>6.9999999999999999E-4</v>
      </c>
      <c r="D32" s="290">
        <f t="shared" ref="D32:D43" si="3">(B32/$B$31-1)*100</f>
        <v>6.9999999999992291E-2</v>
      </c>
      <c r="E32" s="291" t="s">
        <v>106</v>
      </c>
    </row>
    <row r="33" spans="1:5" ht="18" hidden="1" customHeight="1" x14ac:dyDescent="0.3">
      <c r="A33" s="287">
        <v>39479</v>
      </c>
      <c r="B33" s="288">
        <f t="shared" si="1"/>
        <v>107.57195872968413</v>
      </c>
      <c r="C33" s="294">
        <v>3.8E-3</v>
      </c>
      <c r="D33" s="290">
        <f t="shared" si="3"/>
        <v>0.45026599999999917</v>
      </c>
      <c r="E33" s="291">
        <f t="shared" ref="E33:E96" si="4">(B33/B21-1)*100</f>
        <v>7.5719587296841251</v>
      </c>
    </row>
    <row r="34" spans="1:5" ht="18" hidden="1" customHeight="1" x14ac:dyDescent="0.3">
      <c r="A34" s="287">
        <v>39508</v>
      </c>
      <c r="B34" s="288">
        <f t="shared" si="1"/>
        <v>107.7871026471435</v>
      </c>
      <c r="C34" s="294">
        <v>2E-3</v>
      </c>
      <c r="D34" s="290">
        <f t="shared" si="3"/>
        <v>0.65116653199999153</v>
      </c>
      <c r="E34" s="291">
        <f t="shared" si="4"/>
        <v>7.6256641509171219</v>
      </c>
    </row>
    <row r="35" spans="1:5" ht="18" hidden="1" customHeight="1" x14ac:dyDescent="0.3">
      <c r="A35" s="287">
        <v>39539</v>
      </c>
      <c r="B35" s="288">
        <f t="shared" si="1"/>
        <v>108.22902976799679</v>
      </c>
      <c r="C35" s="294">
        <v>4.1000000000000003E-3</v>
      </c>
      <c r="D35" s="290">
        <f t="shared" si="3"/>
        <v>1.0638363147811969</v>
      </c>
      <c r="E35" s="291">
        <f t="shared" si="4"/>
        <v>7.3050634236281109</v>
      </c>
    </row>
    <row r="36" spans="1:5" ht="18" hidden="1" customHeight="1" x14ac:dyDescent="0.3">
      <c r="A36" s="287">
        <v>39569</v>
      </c>
      <c r="B36" s="288">
        <f t="shared" si="1"/>
        <v>111.17285937768629</v>
      </c>
      <c r="C36" s="294">
        <v>2.7199999999999998E-2</v>
      </c>
      <c r="D36" s="290">
        <f t="shared" si="3"/>
        <v>3.812772662543229</v>
      </c>
      <c r="E36" s="291">
        <f t="shared" si="4"/>
        <v>8.9059985661009691</v>
      </c>
    </row>
    <row r="37" spans="1:5" ht="18" hidden="1" customHeight="1" x14ac:dyDescent="0.3">
      <c r="A37" s="287">
        <v>39600</v>
      </c>
      <c r="B37" s="288">
        <f t="shared" si="1"/>
        <v>113.55195856836879</v>
      </c>
      <c r="C37" s="294">
        <v>2.1399999999999999E-2</v>
      </c>
      <c r="D37" s="290">
        <f t="shared" si="3"/>
        <v>6.0343659975216735</v>
      </c>
      <c r="E37" s="291">
        <f t="shared" si="4"/>
        <v>9.6683298190037839</v>
      </c>
    </row>
    <row r="38" spans="1:5" ht="18" hidden="1" customHeight="1" x14ac:dyDescent="0.3">
      <c r="A38" s="287">
        <v>39630</v>
      </c>
      <c r="B38" s="288">
        <f t="shared" si="1"/>
        <v>114.24462551563583</v>
      </c>
      <c r="C38" s="294">
        <v>6.1000000000000004E-3</v>
      </c>
      <c r="D38" s="290">
        <f t="shared" si="3"/>
        <v>6.6811756301065506</v>
      </c>
      <c r="E38" s="291">
        <f t="shared" si="4"/>
        <v>9.7010405954460985</v>
      </c>
    </row>
    <row r="39" spans="1:5" ht="18" hidden="1" customHeight="1" x14ac:dyDescent="0.3">
      <c r="A39" s="287">
        <v>39661</v>
      </c>
      <c r="B39" s="288">
        <f t="shared" si="1"/>
        <v>115.79835242264849</v>
      </c>
      <c r="C39" s="294">
        <v>1.3599999999999999E-2</v>
      </c>
      <c r="D39" s="290">
        <f t="shared" si="3"/>
        <v>8.1320396186760124</v>
      </c>
      <c r="E39" s="291">
        <f t="shared" si="4"/>
        <v>10.639775868203172</v>
      </c>
    </row>
    <row r="40" spans="1:5" ht="18" hidden="1" customHeight="1" x14ac:dyDescent="0.3">
      <c r="A40" s="287">
        <v>39692</v>
      </c>
      <c r="B40" s="288">
        <f t="shared" si="1"/>
        <v>116.64599636238228</v>
      </c>
      <c r="C40" s="294">
        <v>7.3200000000000001E-3</v>
      </c>
      <c r="D40" s="290">
        <f t="shared" si="3"/>
        <v>8.9235661486847242</v>
      </c>
      <c r="E40" s="291">
        <f t="shared" si="4"/>
        <v>11.160641360022371</v>
      </c>
    </row>
    <row r="41" spans="1:5" ht="18" hidden="1" customHeight="1" x14ac:dyDescent="0.3">
      <c r="A41" s="287">
        <v>39722</v>
      </c>
      <c r="B41" s="288">
        <f t="shared" si="1"/>
        <v>118.62314600072466</v>
      </c>
      <c r="C41" s="294">
        <v>1.695E-2</v>
      </c>
      <c r="D41" s="290">
        <f t="shared" si="3"/>
        <v>10.769820594904921</v>
      </c>
      <c r="E41" s="291">
        <f t="shared" si="4"/>
        <v>12.169889096124976</v>
      </c>
    </row>
    <row r="42" spans="1:5" ht="18" hidden="1" customHeight="1" x14ac:dyDescent="0.3">
      <c r="A42" s="287">
        <v>39753</v>
      </c>
      <c r="B42" s="288">
        <f t="shared" si="1"/>
        <v>118.87225460732618</v>
      </c>
      <c r="C42" s="294">
        <v>2.0999999999999999E-3</v>
      </c>
      <c r="D42" s="290">
        <f t="shared" si="3"/>
        <v>11.002437218154215</v>
      </c>
      <c r="E42" s="291">
        <f t="shared" si="4"/>
        <v>11.646251354019533</v>
      </c>
    </row>
    <row r="43" spans="1:5" ht="18" hidden="1" customHeight="1" x14ac:dyDescent="0.3">
      <c r="A43" s="287">
        <v>39783</v>
      </c>
      <c r="B43" s="288">
        <f t="shared" si="1"/>
        <v>118.82470570548325</v>
      </c>
      <c r="C43" s="294">
        <v>-4.0000000000000002E-4</v>
      </c>
      <c r="D43" s="290">
        <f t="shared" si="3"/>
        <v>10.958036243266967</v>
      </c>
      <c r="E43" s="291">
        <f t="shared" si="4"/>
        <v>10.958036243266967</v>
      </c>
    </row>
    <row r="44" spans="1:5" ht="18" hidden="1" customHeight="1" x14ac:dyDescent="0.3">
      <c r="A44" s="287">
        <v>39814</v>
      </c>
      <c r="B44" s="288">
        <f t="shared" si="1"/>
        <v>119.07423758746476</v>
      </c>
      <c r="C44" s="294">
        <v>2.0999999999999999E-3</v>
      </c>
      <c r="D44" s="290">
        <f t="shared" ref="D44:D55" si="5">(B44/$B$43-1)*100</f>
        <v>0.20999999999999908</v>
      </c>
      <c r="E44" s="291">
        <f t="shared" si="4"/>
        <v>11.113268831195988</v>
      </c>
    </row>
    <row r="45" spans="1:5" ht="18" hidden="1" customHeight="1" x14ac:dyDescent="0.3">
      <c r="A45" s="287">
        <v>39845</v>
      </c>
      <c r="B45" s="288">
        <f t="shared" si="1"/>
        <v>119.57434938533211</v>
      </c>
      <c r="C45" s="294">
        <v>4.1999999999999997E-3</v>
      </c>
      <c r="D45" s="290">
        <f t="shared" si="5"/>
        <v>0.63088199999998817</v>
      </c>
      <c r="E45" s="291">
        <f t="shared" si="4"/>
        <v>11.157545885920506</v>
      </c>
    </row>
    <row r="46" spans="1:5" ht="18" hidden="1" customHeight="1" x14ac:dyDescent="0.3">
      <c r="A46" s="287">
        <v>39873</v>
      </c>
      <c r="B46" s="288">
        <f t="shared" si="1"/>
        <v>119.45477503594678</v>
      </c>
      <c r="C46" s="294">
        <v>-1E-3</v>
      </c>
      <c r="D46" s="290">
        <f t="shared" si="5"/>
        <v>0.53025111800000246</v>
      </c>
      <c r="E46" s="291">
        <f t="shared" si="4"/>
        <v>10.824738862309967</v>
      </c>
    </row>
    <row r="47" spans="1:5" ht="18" hidden="1" customHeight="1" x14ac:dyDescent="0.3">
      <c r="A47" s="287">
        <v>39904</v>
      </c>
      <c r="B47" s="288">
        <f t="shared" si="1"/>
        <v>119.31142930590364</v>
      </c>
      <c r="C47" s="294">
        <v>-1.1999999999999999E-3</v>
      </c>
      <c r="D47" s="290">
        <f t="shared" si="5"/>
        <v>0.40961481665839905</v>
      </c>
      <c r="E47" s="291">
        <f t="shared" si="4"/>
        <v>10.239766134523641</v>
      </c>
    </row>
    <row r="48" spans="1:5" ht="18" hidden="1" customHeight="1" x14ac:dyDescent="0.3">
      <c r="A48" s="287">
        <v>39934</v>
      </c>
      <c r="B48" s="288">
        <f t="shared" si="1"/>
        <v>121.14882531721457</v>
      </c>
      <c r="C48" s="294">
        <v>1.54E-2</v>
      </c>
      <c r="D48" s="290">
        <f t="shared" si="5"/>
        <v>1.9559228848349486</v>
      </c>
      <c r="E48" s="291">
        <f t="shared" si="4"/>
        <v>8.9733825282275461</v>
      </c>
    </row>
    <row r="49" spans="1:5" ht="18" hidden="1" customHeight="1" x14ac:dyDescent="0.3">
      <c r="A49" s="287">
        <v>39965</v>
      </c>
      <c r="B49" s="288">
        <f t="shared" si="1"/>
        <v>122.4087731005136</v>
      </c>
      <c r="C49" s="294">
        <v>1.04E-2</v>
      </c>
      <c r="D49" s="290">
        <f t="shared" si="5"/>
        <v>3.0162644828372276</v>
      </c>
      <c r="E49" s="291">
        <f t="shared" si="4"/>
        <v>7.7997901963198446</v>
      </c>
    </row>
    <row r="50" spans="1:5" ht="18" hidden="1" customHeight="1" x14ac:dyDescent="0.3">
      <c r="A50" s="287">
        <v>39995</v>
      </c>
      <c r="B50" s="288">
        <f t="shared" si="1"/>
        <v>122.86168556098551</v>
      </c>
      <c r="C50" s="294">
        <v>3.7000000000000002E-3</v>
      </c>
      <c r="D50" s="290">
        <f t="shared" si="5"/>
        <v>3.3974246614237202</v>
      </c>
      <c r="E50" s="291">
        <f t="shared" si="4"/>
        <v>7.5426393201930786</v>
      </c>
    </row>
    <row r="51" spans="1:5" ht="18" hidden="1" customHeight="1" x14ac:dyDescent="0.3">
      <c r="A51" s="287">
        <v>40026</v>
      </c>
      <c r="B51" s="288">
        <f t="shared" si="1"/>
        <v>122.72653770686843</v>
      </c>
      <c r="C51" s="294">
        <v>-1.1000000000000001E-3</v>
      </c>
      <c r="D51" s="290">
        <f t="shared" si="5"/>
        <v>3.2836874942961725</v>
      </c>
      <c r="E51" s="291">
        <f t="shared" si="4"/>
        <v>5.9829739709361229</v>
      </c>
    </row>
    <row r="52" spans="1:5" ht="18" hidden="1" customHeight="1" x14ac:dyDescent="0.3">
      <c r="A52" s="287">
        <v>40057</v>
      </c>
      <c r="B52" s="288">
        <f t="shared" si="1"/>
        <v>122.92290016719942</v>
      </c>
      <c r="C52" s="294">
        <v>1.6000000000000001E-3</v>
      </c>
      <c r="D52" s="290">
        <f t="shared" si="5"/>
        <v>3.4489413942870417</v>
      </c>
      <c r="E52" s="291">
        <f t="shared" si="4"/>
        <v>5.3811566625199703</v>
      </c>
    </row>
    <row r="53" spans="1:5" ht="18" hidden="1" customHeight="1" x14ac:dyDescent="0.3">
      <c r="A53" s="287">
        <v>40087</v>
      </c>
      <c r="B53" s="288">
        <f t="shared" si="1"/>
        <v>122.89831558716598</v>
      </c>
      <c r="C53" s="294">
        <v>-2.0000000000000001E-4</v>
      </c>
      <c r="D53" s="290">
        <f t="shared" si="5"/>
        <v>3.4282516060081925</v>
      </c>
      <c r="E53" s="291">
        <f t="shared" si="4"/>
        <v>3.603992754007046</v>
      </c>
    </row>
    <row r="54" spans="1:5" ht="18" hidden="1" customHeight="1" x14ac:dyDescent="0.3">
      <c r="A54" s="287">
        <v>40118</v>
      </c>
      <c r="B54" s="288">
        <f t="shared" si="1"/>
        <v>123.03350373431188</v>
      </c>
      <c r="C54" s="294">
        <v>1.1000000000000001E-3</v>
      </c>
      <c r="D54" s="290">
        <f t="shared" si="5"/>
        <v>3.5420226827748147</v>
      </c>
      <c r="E54" s="291">
        <f t="shared" si="4"/>
        <v>3.5006058737016899</v>
      </c>
    </row>
    <row r="55" spans="1:5" ht="18" hidden="1" customHeight="1" x14ac:dyDescent="0.3">
      <c r="A55" s="287">
        <v>40148</v>
      </c>
      <c r="B55" s="288">
        <f t="shared" si="1"/>
        <v>123.03350373431188</v>
      </c>
      <c r="C55" s="294">
        <v>0</v>
      </c>
      <c r="D55" s="290">
        <f t="shared" si="5"/>
        <v>3.5420226827748147</v>
      </c>
      <c r="E55" s="291">
        <f t="shared" si="4"/>
        <v>3.5420226827748147</v>
      </c>
    </row>
    <row r="56" spans="1:5" ht="18" hidden="1" customHeight="1" x14ac:dyDescent="0.3">
      <c r="A56" s="287">
        <v>40179</v>
      </c>
      <c r="B56" s="288">
        <f t="shared" si="1"/>
        <v>123.21805398991336</v>
      </c>
      <c r="C56" s="294">
        <v>1.5E-3</v>
      </c>
      <c r="D56" s="290">
        <f t="shared" ref="D56:D67" si="6">(B56/$B$55-1)*100</f>
        <v>0.15000000000000568</v>
      </c>
      <c r="E56" s="291">
        <f t="shared" si="4"/>
        <v>3.4800276587156675</v>
      </c>
    </row>
    <row r="57" spans="1:5" ht="18" hidden="1" customHeight="1" x14ac:dyDescent="0.3">
      <c r="A57" s="287">
        <v>40210</v>
      </c>
      <c r="B57" s="288">
        <f t="shared" si="1"/>
        <v>123.39055926549925</v>
      </c>
      <c r="C57" s="294">
        <v>1.4E-3</v>
      </c>
      <c r="D57" s="290">
        <f t="shared" si="6"/>
        <v>0.29021000000002406</v>
      </c>
      <c r="E57" s="291">
        <f t="shared" si="4"/>
        <v>3.1914954166877951</v>
      </c>
    </row>
    <row r="58" spans="1:5" ht="18" hidden="1" customHeight="1" x14ac:dyDescent="0.3">
      <c r="A58" s="287">
        <v>40238</v>
      </c>
      <c r="B58" s="288">
        <f t="shared" si="1"/>
        <v>123.62500132810369</v>
      </c>
      <c r="C58" s="294">
        <v>1.9E-3</v>
      </c>
      <c r="D58" s="290">
        <f t="shared" si="6"/>
        <v>0.48076139900001813</v>
      </c>
      <c r="E58" s="291">
        <f t="shared" si="4"/>
        <v>3.4910503082878019</v>
      </c>
    </row>
    <row r="59" spans="1:5" ht="18" hidden="1" customHeight="1" x14ac:dyDescent="0.3">
      <c r="A59" s="287">
        <v>40269</v>
      </c>
      <c r="B59" s="288">
        <f t="shared" si="1"/>
        <v>123.83516383036147</v>
      </c>
      <c r="C59" s="294">
        <v>1.6999999999999999E-3</v>
      </c>
      <c r="D59" s="290">
        <f t="shared" si="6"/>
        <v>0.65157869337830743</v>
      </c>
      <c r="E59" s="291">
        <f t="shared" si="4"/>
        <v>3.7915349357347639</v>
      </c>
    </row>
    <row r="60" spans="1:5" ht="18" hidden="1" customHeight="1" x14ac:dyDescent="0.3">
      <c r="A60" s="287">
        <v>40299</v>
      </c>
      <c r="B60" s="288">
        <f t="shared" si="1"/>
        <v>126.84435831143925</v>
      </c>
      <c r="C60" s="294">
        <v>2.4299999999999999E-2</v>
      </c>
      <c r="D60" s="290">
        <f t="shared" si="6"/>
        <v>3.0974120556274132</v>
      </c>
      <c r="E60" s="291">
        <f t="shared" si="4"/>
        <v>4.7012696815768251</v>
      </c>
    </row>
    <row r="61" spans="1:5" ht="18" hidden="1" customHeight="1" x14ac:dyDescent="0.3">
      <c r="A61" s="287">
        <v>40330</v>
      </c>
      <c r="B61" s="288">
        <f t="shared" si="1"/>
        <v>129.44466765682375</v>
      </c>
      <c r="C61" s="294">
        <v>2.0500000000000001E-2</v>
      </c>
      <c r="D61" s="290">
        <f t="shared" si="6"/>
        <v>5.2109090027677718</v>
      </c>
      <c r="E61" s="291">
        <f t="shared" si="4"/>
        <v>5.7478678840549913</v>
      </c>
    </row>
    <row r="62" spans="1:5" ht="18" hidden="1" customHeight="1" x14ac:dyDescent="0.3">
      <c r="A62" s="287">
        <v>40360</v>
      </c>
      <c r="B62" s="288">
        <f t="shared" si="1"/>
        <v>130.13072439540494</v>
      </c>
      <c r="C62" s="294">
        <v>5.3E-3</v>
      </c>
      <c r="D62" s="290">
        <f t="shared" si="6"/>
        <v>5.7685268204824558</v>
      </c>
      <c r="E62" s="291">
        <f t="shared" si="4"/>
        <v>5.9164407530541752</v>
      </c>
    </row>
    <row r="63" spans="1:5" ht="18" hidden="1" customHeight="1" x14ac:dyDescent="0.3">
      <c r="A63" s="287">
        <v>40391</v>
      </c>
      <c r="B63" s="288">
        <f t="shared" si="1"/>
        <v>130.29989433711899</v>
      </c>
      <c r="C63" s="294">
        <v>1.2999999999999999E-3</v>
      </c>
      <c r="D63" s="290">
        <f t="shared" si="6"/>
        <v>5.9060259053490993</v>
      </c>
      <c r="E63" s="291">
        <f t="shared" si="4"/>
        <v>6.1709201381851653</v>
      </c>
    </row>
    <row r="64" spans="1:5" ht="18" hidden="1" customHeight="1" x14ac:dyDescent="0.3">
      <c r="A64" s="287">
        <v>40422</v>
      </c>
      <c r="B64" s="288">
        <f t="shared" si="1"/>
        <v>130.10444449561331</v>
      </c>
      <c r="C64" s="294">
        <v>-1.5E-3</v>
      </c>
      <c r="D64" s="290">
        <f t="shared" si="6"/>
        <v>5.7471668664910824</v>
      </c>
      <c r="E64" s="291">
        <f t="shared" si="4"/>
        <v>5.8423160522942164</v>
      </c>
    </row>
    <row r="65" spans="1:5" ht="18" hidden="1" customHeight="1" x14ac:dyDescent="0.3">
      <c r="A65" s="287">
        <v>40452</v>
      </c>
      <c r="B65" s="288">
        <f t="shared" si="1"/>
        <v>129.94831916221858</v>
      </c>
      <c r="C65" s="294">
        <v>-1.1999999999999999E-3</v>
      </c>
      <c r="D65" s="290">
        <f t="shared" si="6"/>
        <v>5.6202702662512927</v>
      </c>
      <c r="E65" s="291">
        <f t="shared" si="4"/>
        <v>5.736452563544181</v>
      </c>
    </row>
    <row r="66" spans="1:5" ht="18" hidden="1" customHeight="1" x14ac:dyDescent="0.3">
      <c r="A66" s="287">
        <v>40483</v>
      </c>
      <c r="B66" s="288">
        <f t="shared" si="1"/>
        <v>129.77938634730771</v>
      </c>
      <c r="C66" s="294">
        <v>-1.2999999999999999E-3</v>
      </c>
      <c r="D66" s="290">
        <f t="shared" si="6"/>
        <v>5.4829639149051701</v>
      </c>
      <c r="E66" s="291">
        <f t="shared" si="4"/>
        <v>5.4829639149051701</v>
      </c>
    </row>
    <row r="67" spans="1:5" ht="18" hidden="1" customHeight="1" x14ac:dyDescent="0.3">
      <c r="A67" s="287">
        <v>40513</v>
      </c>
      <c r="B67" s="288">
        <f t="shared" si="1"/>
        <v>129.77938634730771</v>
      </c>
      <c r="C67" s="294">
        <v>0</v>
      </c>
      <c r="D67" s="290">
        <f t="shared" si="6"/>
        <v>5.4829639149051701</v>
      </c>
      <c r="E67" s="291">
        <f t="shared" si="4"/>
        <v>5.4829639149051701</v>
      </c>
    </row>
    <row r="68" spans="1:5" ht="18" customHeight="1" x14ac:dyDescent="0.25">
      <c r="A68" s="295">
        <v>40544</v>
      </c>
      <c r="B68" s="296">
        <f t="shared" si="1"/>
        <v>130.14276862908017</v>
      </c>
      <c r="C68" s="297">
        <v>2.8E-3</v>
      </c>
      <c r="D68" s="298">
        <f t="shared" ref="D68:D79" si="7">(B68/$B$67-1)*100</f>
        <v>0.27999999999999137</v>
      </c>
      <c r="E68" s="34">
        <f t="shared" si="4"/>
        <v>5.6198863842904512</v>
      </c>
    </row>
    <row r="69" spans="1:5" ht="18" customHeight="1" x14ac:dyDescent="0.25">
      <c r="A69" s="299">
        <v>40575</v>
      </c>
      <c r="B69" s="300">
        <f t="shared" si="1"/>
        <v>130.35099705888669</v>
      </c>
      <c r="C69" s="301">
        <v>1.6000000000000001E-3</v>
      </c>
      <c r="D69" s="302">
        <f t="shared" si="7"/>
        <v>0.44044800000000439</v>
      </c>
      <c r="E69" s="36">
        <f t="shared" si="4"/>
        <v>5.6409808293442332</v>
      </c>
    </row>
    <row r="70" spans="1:5" ht="18" customHeight="1" x14ac:dyDescent="0.25">
      <c r="A70" s="299">
        <v>40603</v>
      </c>
      <c r="B70" s="300">
        <f t="shared" si="1"/>
        <v>130.48134805594557</v>
      </c>
      <c r="C70" s="301">
        <v>1E-3</v>
      </c>
      <c r="D70" s="302">
        <f t="shared" si="7"/>
        <v>0.54088844799999869</v>
      </c>
      <c r="E70" s="36">
        <f t="shared" si="4"/>
        <v>5.5460842500983931</v>
      </c>
    </row>
    <row r="71" spans="1:5" ht="18" customHeight="1" x14ac:dyDescent="0.25">
      <c r="A71" s="299">
        <v>40634</v>
      </c>
      <c r="B71" s="300">
        <f t="shared" si="1"/>
        <v>130.76840702166865</v>
      </c>
      <c r="C71" s="301">
        <v>2.2000000000000001E-3</v>
      </c>
      <c r="D71" s="302">
        <f t="shared" si="7"/>
        <v>0.76207840258559756</v>
      </c>
      <c r="E71" s="36">
        <f t="shared" si="4"/>
        <v>5.5987677303070749</v>
      </c>
    </row>
    <row r="72" spans="1:5" ht="18" customHeight="1" x14ac:dyDescent="0.25">
      <c r="A72" s="299">
        <v>40664</v>
      </c>
      <c r="B72" s="300">
        <f t="shared" si="1"/>
        <v>135.12299497549023</v>
      </c>
      <c r="C72" s="301">
        <v>3.3300000000000003E-2</v>
      </c>
      <c r="D72" s="302">
        <f t="shared" si="7"/>
        <v>4.1174556133916962</v>
      </c>
      <c r="E72" s="36">
        <f t="shared" si="4"/>
        <v>6.5266100710009933</v>
      </c>
    </row>
    <row r="73" spans="1:5" ht="18" customHeight="1" x14ac:dyDescent="0.25">
      <c r="A73" s="299">
        <v>40695</v>
      </c>
      <c r="B73" s="300">
        <f t="shared" si="1"/>
        <v>136.8255447121814</v>
      </c>
      <c r="C73" s="301">
        <v>1.26E-2</v>
      </c>
      <c r="D73" s="302">
        <f t="shared" si="7"/>
        <v>5.429335554120418</v>
      </c>
      <c r="E73" s="36">
        <f t="shared" si="4"/>
        <v>5.7019552747629598</v>
      </c>
    </row>
    <row r="74" spans="1:5" ht="18" customHeight="1" x14ac:dyDescent="0.25">
      <c r="A74" s="299">
        <v>40725</v>
      </c>
      <c r="B74" s="300">
        <f t="shared" si="1"/>
        <v>136.9076400390087</v>
      </c>
      <c r="C74" s="301">
        <v>5.9999999999999995E-4</v>
      </c>
      <c r="D74" s="302">
        <f t="shared" si="7"/>
        <v>5.4925931554528962</v>
      </c>
      <c r="E74" s="36">
        <f t="shared" si="4"/>
        <v>5.2077752391602505</v>
      </c>
    </row>
    <row r="75" spans="1:5" ht="18" customHeight="1" x14ac:dyDescent="0.25">
      <c r="A75" s="299">
        <v>40756</v>
      </c>
      <c r="B75" s="300">
        <f t="shared" si="1"/>
        <v>136.98978462303208</v>
      </c>
      <c r="C75" s="301">
        <v>5.9999999999999995E-4</v>
      </c>
      <c r="D75" s="302">
        <f t="shared" si="7"/>
        <v>5.5558887113461575</v>
      </c>
      <c r="E75" s="36">
        <f t="shared" si="4"/>
        <v>5.1342254112690666</v>
      </c>
    </row>
    <row r="76" spans="1:5" ht="18" customHeight="1" x14ac:dyDescent="0.25">
      <c r="A76" s="299">
        <v>40787</v>
      </c>
      <c r="B76" s="300">
        <f t="shared" si="1"/>
        <v>137.18157032150432</v>
      </c>
      <c r="C76" s="301">
        <v>1.4E-3</v>
      </c>
      <c r="D76" s="302">
        <f t="shared" si="7"/>
        <v>5.7036669555420305</v>
      </c>
      <c r="E76" s="36">
        <f t="shared" si="4"/>
        <v>5.4395726858736504</v>
      </c>
    </row>
    <row r="77" spans="1:5" ht="18" customHeight="1" x14ac:dyDescent="0.25">
      <c r="A77" s="299">
        <v>40817</v>
      </c>
      <c r="B77" s="300">
        <f t="shared" si="1"/>
        <v>137.25016110666508</v>
      </c>
      <c r="C77" s="301">
        <v>5.0000000000000001E-4</v>
      </c>
      <c r="D77" s="302">
        <f t="shared" si="7"/>
        <v>5.7565187890197933</v>
      </c>
      <c r="E77" s="36">
        <f t="shared" si="4"/>
        <v>5.6190353145940897</v>
      </c>
    </row>
    <row r="78" spans="1:5" ht="18" customHeight="1" x14ac:dyDescent="0.25">
      <c r="A78" s="299">
        <v>40848</v>
      </c>
      <c r="B78" s="300">
        <f t="shared" si="1"/>
        <v>137.3599612355504</v>
      </c>
      <c r="C78" s="301">
        <v>8.0000000000000004E-4</v>
      </c>
      <c r="D78" s="302">
        <f t="shared" si="7"/>
        <v>5.8411240040510126</v>
      </c>
      <c r="E78" s="36">
        <f t="shared" si="4"/>
        <v>5.8411240040510126</v>
      </c>
    </row>
    <row r="79" spans="1:5" ht="18" customHeight="1" x14ac:dyDescent="0.25">
      <c r="A79" s="299">
        <v>40878</v>
      </c>
      <c r="B79" s="300">
        <f t="shared" si="1"/>
        <v>137.37369723167396</v>
      </c>
      <c r="C79" s="301">
        <v>1E-4</v>
      </c>
      <c r="D79" s="302">
        <f t="shared" si="7"/>
        <v>5.8517081164514151</v>
      </c>
      <c r="E79" s="36">
        <f t="shared" si="4"/>
        <v>5.8517081164514151</v>
      </c>
    </row>
    <row r="80" spans="1:5" ht="18" customHeight="1" x14ac:dyDescent="0.25">
      <c r="A80" s="299">
        <v>40909</v>
      </c>
      <c r="B80" s="300">
        <f t="shared" si="1"/>
        <v>137.51107092890561</v>
      </c>
      <c r="C80" s="301">
        <v>1E-3</v>
      </c>
      <c r="D80" s="302">
        <f t="shared" ref="D80:D91" si="8">(B80/$B$79-1)*100</f>
        <v>9.9999999999988987E-2</v>
      </c>
      <c r="E80" s="36">
        <f t="shared" si="4"/>
        <v>5.6617070448423013</v>
      </c>
    </row>
    <row r="81" spans="1:5" ht="18" customHeight="1" x14ac:dyDescent="0.25">
      <c r="A81" s="299">
        <v>40940</v>
      </c>
      <c r="B81" s="300">
        <f t="shared" si="1"/>
        <v>137.9923596771568</v>
      </c>
      <c r="C81" s="301">
        <v>3.5000000000000001E-3</v>
      </c>
      <c r="D81" s="302">
        <f t="shared" si="8"/>
        <v>0.45034999999999936</v>
      </c>
      <c r="E81" s="36">
        <f t="shared" si="4"/>
        <v>5.8621435897556529</v>
      </c>
    </row>
    <row r="82" spans="1:5" ht="18" customHeight="1" x14ac:dyDescent="0.25">
      <c r="A82" s="299">
        <v>40969</v>
      </c>
      <c r="B82" s="300">
        <f t="shared" si="1"/>
        <v>138.54432911586542</v>
      </c>
      <c r="C82" s="301">
        <v>4.0000000000000001E-3</v>
      </c>
      <c r="D82" s="302">
        <f t="shared" si="8"/>
        <v>0.85215139999998968</v>
      </c>
      <c r="E82" s="36">
        <f t="shared" si="4"/>
        <v>6.1794127513633113</v>
      </c>
    </row>
    <row r="83" spans="1:5" ht="18" customHeight="1" x14ac:dyDescent="0.25">
      <c r="A83" s="299">
        <v>41000</v>
      </c>
      <c r="B83" s="300">
        <f t="shared" si="1"/>
        <v>138.73829117662765</v>
      </c>
      <c r="C83" s="301">
        <v>1.4E-3</v>
      </c>
      <c r="D83" s="302">
        <f t="shared" si="8"/>
        <v>0.99334441196001766</v>
      </c>
      <c r="E83" s="36">
        <f t="shared" si="4"/>
        <v>6.0946556867044865</v>
      </c>
    </row>
    <row r="84" spans="1:5" ht="18" customHeight="1" x14ac:dyDescent="0.25">
      <c r="A84" s="299">
        <v>41030</v>
      </c>
      <c r="B84" s="300">
        <f t="shared" si="1"/>
        <v>143.28890712722102</v>
      </c>
      <c r="C84" s="301">
        <v>3.2800000000000003E-2</v>
      </c>
      <c r="D84" s="302">
        <f t="shared" si="8"/>
        <v>4.3059261086722866</v>
      </c>
      <c r="E84" s="36">
        <f t="shared" si="4"/>
        <v>6.0433179069276921</v>
      </c>
    </row>
    <row r="85" spans="1:5" ht="18" customHeight="1" x14ac:dyDescent="0.25">
      <c r="A85" s="299">
        <v>41061</v>
      </c>
      <c r="B85" s="300">
        <f t="shared" si="1"/>
        <v>145.76780522052195</v>
      </c>
      <c r="C85" s="301">
        <v>1.7299999999999999E-2</v>
      </c>
      <c r="D85" s="302">
        <f t="shared" si="8"/>
        <v>6.11041863035231</v>
      </c>
      <c r="E85" s="36">
        <f t="shared" si="4"/>
        <v>6.5355197577696478</v>
      </c>
    </row>
    <row r="86" spans="1:5" ht="18" customHeight="1" x14ac:dyDescent="0.25">
      <c r="A86" s="299">
        <v>41091</v>
      </c>
      <c r="B86" s="300">
        <f t="shared" ref="B86:B149" si="9">B85*(1+C86)</f>
        <v>146.46749068558043</v>
      </c>
      <c r="C86" s="301">
        <v>4.7999999999999996E-3</v>
      </c>
      <c r="D86" s="302">
        <f t="shared" si="8"/>
        <v>6.6197486397779892</v>
      </c>
      <c r="E86" s="36">
        <f t="shared" si="4"/>
        <v>6.9827006322275897</v>
      </c>
    </row>
    <row r="87" spans="1:5" ht="18" customHeight="1" x14ac:dyDescent="0.25">
      <c r="A87" s="299">
        <v>41122</v>
      </c>
      <c r="B87" s="300">
        <f t="shared" si="9"/>
        <v>146.67254517254025</v>
      </c>
      <c r="C87" s="301">
        <v>1.4E-3</v>
      </c>
      <c r="D87" s="302">
        <f t="shared" si="8"/>
        <v>6.769016287873697</v>
      </c>
      <c r="E87" s="36">
        <f t="shared" si="4"/>
        <v>7.0682354718296425</v>
      </c>
    </row>
    <row r="88" spans="1:5" ht="18" customHeight="1" x14ac:dyDescent="0.25">
      <c r="A88" s="299">
        <v>41153</v>
      </c>
      <c r="B88" s="300">
        <f t="shared" si="9"/>
        <v>146.77521595416101</v>
      </c>
      <c r="C88" s="301">
        <v>6.9999999999999999E-4</v>
      </c>
      <c r="D88" s="302">
        <f t="shared" si="8"/>
        <v>6.8437545992751758</v>
      </c>
      <c r="E88" s="36">
        <f t="shared" si="4"/>
        <v>6.9933924871778519</v>
      </c>
    </row>
    <row r="89" spans="1:5" ht="18" customHeight="1" x14ac:dyDescent="0.25">
      <c r="A89" s="299">
        <v>41183</v>
      </c>
      <c r="B89" s="300">
        <f t="shared" si="9"/>
        <v>147.06876638606934</v>
      </c>
      <c r="C89" s="301">
        <v>2E-3</v>
      </c>
      <c r="D89" s="302">
        <f t="shared" si="8"/>
        <v>7.0574421084737438</v>
      </c>
      <c r="E89" s="36">
        <f t="shared" si="4"/>
        <v>7.153802370966722</v>
      </c>
    </row>
    <row r="90" spans="1:5" ht="18" customHeight="1" x14ac:dyDescent="0.25">
      <c r="A90" s="299">
        <v>41214</v>
      </c>
      <c r="B90" s="300">
        <f t="shared" si="9"/>
        <v>147.33349016556426</v>
      </c>
      <c r="C90" s="301">
        <v>1.8E-3</v>
      </c>
      <c r="D90" s="302">
        <f t="shared" si="8"/>
        <v>7.25014550426899</v>
      </c>
      <c r="E90" s="36">
        <f t="shared" si="4"/>
        <v>7.2608705188194067</v>
      </c>
    </row>
    <row r="91" spans="1:5" ht="18" customHeight="1" x14ac:dyDescent="0.25">
      <c r="A91" s="299">
        <v>41244</v>
      </c>
      <c r="B91" s="300">
        <f t="shared" si="9"/>
        <v>147.39242356163047</v>
      </c>
      <c r="C91" s="301">
        <v>4.0000000000000002E-4</v>
      </c>
      <c r="D91" s="302">
        <f t="shared" si="8"/>
        <v>7.2930455624706791</v>
      </c>
      <c r="E91" s="36">
        <f t="shared" si="4"/>
        <v>7.2930455624706791</v>
      </c>
    </row>
    <row r="92" spans="1:5" ht="18" customHeight="1" x14ac:dyDescent="0.25">
      <c r="A92" s="299">
        <v>41275</v>
      </c>
      <c r="B92" s="300">
        <f t="shared" si="9"/>
        <v>147.37768431927429</v>
      </c>
      <c r="C92" s="301">
        <v>-1E-4</v>
      </c>
      <c r="D92" s="302">
        <f>(B92/$B$91-1)*100</f>
        <v>-1.0000000000010001E-2</v>
      </c>
      <c r="E92" s="36">
        <f t="shared" si="4"/>
        <v>7.1751411167976453</v>
      </c>
    </row>
    <row r="93" spans="1:5" ht="18" customHeight="1" x14ac:dyDescent="0.25">
      <c r="A93" s="299">
        <v>41306</v>
      </c>
      <c r="B93" s="300">
        <f t="shared" si="9"/>
        <v>147.36294655084237</v>
      </c>
      <c r="C93" s="301">
        <v>-1E-4</v>
      </c>
      <c r="D93" s="302">
        <f t="shared" ref="D93:D103" si="10">(B93/$B$91-1)*100</f>
        <v>-1.9999000000003875E-2</v>
      </c>
      <c r="E93" s="36">
        <f t="shared" si="4"/>
        <v>6.790656305616305</v>
      </c>
    </row>
    <row r="94" spans="1:5" ht="18" customHeight="1" x14ac:dyDescent="0.25">
      <c r="A94" s="299">
        <v>41334</v>
      </c>
      <c r="B94" s="300">
        <f t="shared" si="9"/>
        <v>147.71661762256437</v>
      </c>
      <c r="C94" s="301">
        <v>2.3999999999999998E-3</v>
      </c>
      <c r="D94" s="302">
        <f t="shared" si="10"/>
        <v>0.21995300239998627</v>
      </c>
      <c r="E94" s="36">
        <f t="shared" si="4"/>
        <v>6.6204719927786426</v>
      </c>
    </row>
    <row r="95" spans="1:5" ht="18" customHeight="1" x14ac:dyDescent="0.25">
      <c r="A95" s="299">
        <v>41365</v>
      </c>
      <c r="B95" s="300">
        <f t="shared" si="9"/>
        <v>147.98250753428499</v>
      </c>
      <c r="C95" s="301">
        <v>1.8E-3</v>
      </c>
      <c r="D95" s="302">
        <f t="shared" si="10"/>
        <v>0.40034891780431625</v>
      </c>
      <c r="E95" s="36">
        <f t="shared" si="4"/>
        <v>6.6630605575850099</v>
      </c>
    </row>
    <row r="96" spans="1:5" ht="18" customHeight="1" x14ac:dyDescent="0.25">
      <c r="A96" s="299">
        <v>41395</v>
      </c>
      <c r="B96" s="300">
        <f t="shared" si="9"/>
        <v>154.55293086880724</v>
      </c>
      <c r="C96" s="301">
        <v>4.4400000000000002E-2</v>
      </c>
      <c r="D96" s="302">
        <f t="shared" si="10"/>
        <v>4.858124409754816</v>
      </c>
      <c r="E96" s="36">
        <f t="shared" si="4"/>
        <v>7.8610577520737746</v>
      </c>
    </row>
    <row r="97" spans="1:5" ht="18" customHeight="1" x14ac:dyDescent="0.25">
      <c r="A97" s="299">
        <v>41426</v>
      </c>
      <c r="B97" s="300">
        <f t="shared" si="9"/>
        <v>156.70121660788365</v>
      </c>
      <c r="C97" s="301">
        <v>1.3899999999999999E-2</v>
      </c>
      <c r="D97" s="302">
        <f t="shared" si="10"/>
        <v>6.3156523390504038</v>
      </c>
      <c r="E97" s="36">
        <f t="shared" ref="E97:E160" si="11">(B97/B85-1)*100</f>
        <v>7.500566651752294</v>
      </c>
    </row>
    <row r="98" spans="1:5" ht="18" customHeight="1" x14ac:dyDescent="0.25">
      <c r="A98" s="299">
        <v>41456</v>
      </c>
      <c r="B98" s="300">
        <f t="shared" si="9"/>
        <v>157.2026605010289</v>
      </c>
      <c r="C98" s="301">
        <v>3.2000000000000002E-3</v>
      </c>
      <c r="D98" s="302">
        <f t="shared" si="10"/>
        <v>6.655862426535375</v>
      </c>
      <c r="E98" s="36">
        <f t="shared" si="11"/>
        <v>7.3293874054915609</v>
      </c>
    </row>
    <row r="99" spans="1:5" ht="18" customHeight="1" x14ac:dyDescent="0.25">
      <c r="A99" s="299">
        <v>41487</v>
      </c>
      <c r="B99" s="300">
        <f t="shared" si="9"/>
        <v>157.45418475783055</v>
      </c>
      <c r="C99" s="301">
        <v>1.6000000000000001E-3</v>
      </c>
      <c r="D99" s="302">
        <f t="shared" si="10"/>
        <v>6.8265118064178232</v>
      </c>
      <c r="E99" s="36">
        <f t="shared" si="11"/>
        <v>7.3508232727584888</v>
      </c>
    </row>
    <row r="100" spans="1:5" ht="18" customHeight="1" x14ac:dyDescent="0.25">
      <c r="A100" s="299">
        <v>41518</v>
      </c>
      <c r="B100" s="300">
        <f t="shared" si="9"/>
        <v>157.64312977953995</v>
      </c>
      <c r="C100" s="301">
        <v>1.1999999999999999E-3</v>
      </c>
      <c r="D100" s="302">
        <f t="shared" si="10"/>
        <v>6.954703620585545</v>
      </c>
      <c r="E100" s="36">
        <f t="shared" si="11"/>
        <v>7.4044611378892844</v>
      </c>
    </row>
    <row r="101" spans="1:5" ht="18" customHeight="1" x14ac:dyDescent="0.25">
      <c r="A101" s="299">
        <v>41548</v>
      </c>
      <c r="B101" s="300">
        <f t="shared" si="9"/>
        <v>157.91112310016518</v>
      </c>
      <c r="C101" s="301">
        <v>1.6999999999999999E-3</v>
      </c>
      <c r="D101" s="302">
        <f t="shared" si="10"/>
        <v>7.136526616740535</v>
      </c>
      <c r="E101" s="36">
        <f t="shared" si="11"/>
        <v>7.3723041135965284</v>
      </c>
    </row>
    <row r="102" spans="1:5" ht="18" customHeight="1" x14ac:dyDescent="0.25">
      <c r="A102" s="299">
        <v>41579</v>
      </c>
      <c r="B102" s="300">
        <f t="shared" si="9"/>
        <v>158.05324311095532</v>
      </c>
      <c r="C102" s="301">
        <v>8.9999999999999998E-4</v>
      </c>
      <c r="D102" s="302">
        <f t="shared" si="10"/>
        <v>7.2329494906955949</v>
      </c>
      <c r="E102" s="36">
        <f t="shared" si="11"/>
        <v>7.2758426704918611</v>
      </c>
    </row>
    <row r="103" spans="1:5" ht="18" customHeight="1" x14ac:dyDescent="0.25">
      <c r="A103" s="299">
        <v>41609</v>
      </c>
      <c r="B103" s="300">
        <f t="shared" si="9"/>
        <v>158.14807505682188</v>
      </c>
      <c r="C103" s="301">
        <v>5.9999999999999995E-4</v>
      </c>
      <c r="D103" s="302">
        <f t="shared" si="10"/>
        <v>7.2972892603900164</v>
      </c>
      <c r="E103" s="36">
        <f t="shared" si="11"/>
        <v>7.2972892603900164</v>
      </c>
    </row>
    <row r="104" spans="1:5" ht="18" customHeight="1" x14ac:dyDescent="0.25">
      <c r="A104" s="299">
        <v>41640</v>
      </c>
      <c r="B104" s="300">
        <f t="shared" si="9"/>
        <v>158.2271490943503</v>
      </c>
      <c r="C104" s="301">
        <v>5.0000000000000001E-4</v>
      </c>
      <c r="D104" s="302">
        <f t="shared" ref="D104:D115" si="12">(B104/$B$103-1)*100</f>
        <v>4.9999999999994493E-2</v>
      </c>
      <c r="E104" s="36">
        <f t="shared" si="11"/>
        <v>7.3616740724274488</v>
      </c>
    </row>
    <row r="105" spans="1:5" ht="18" customHeight="1" x14ac:dyDescent="0.25">
      <c r="A105" s="299">
        <v>41671</v>
      </c>
      <c r="B105" s="300">
        <f t="shared" si="9"/>
        <v>158.59107153726728</v>
      </c>
      <c r="C105" s="301">
        <v>2.3E-3</v>
      </c>
      <c r="D105" s="302">
        <f t="shared" si="12"/>
        <v>0.2801149999999808</v>
      </c>
      <c r="E105" s="36">
        <f t="shared" si="11"/>
        <v>7.6193678595799952</v>
      </c>
    </row>
    <row r="106" spans="1:5" ht="18" customHeight="1" x14ac:dyDescent="0.25">
      <c r="A106" s="299">
        <v>41699</v>
      </c>
      <c r="B106" s="300">
        <f t="shared" si="9"/>
        <v>158.7179443944971</v>
      </c>
      <c r="C106" s="301">
        <v>8.0000000000000004E-4</v>
      </c>
      <c r="D106" s="302">
        <f t="shared" si="12"/>
        <v>0.36033909199999492</v>
      </c>
      <c r="E106" s="36">
        <f t="shared" si="11"/>
        <v>7.4475891399318206</v>
      </c>
    </row>
    <row r="107" spans="1:5" ht="18" customHeight="1" x14ac:dyDescent="0.25">
      <c r="A107" s="299">
        <v>41730</v>
      </c>
      <c r="B107" s="300">
        <f t="shared" si="9"/>
        <v>158.95602131108885</v>
      </c>
      <c r="C107" s="301">
        <v>1.5E-3</v>
      </c>
      <c r="D107" s="302">
        <f t="shared" si="12"/>
        <v>0.51087960063800342</v>
      </c>
      <c r="E107" s="36">
        <f t="shared" si="11"/>
        <v>7.4154127806365766</v>
      </c>
    </row>
    <row r="108" spans="1:5" ht="18" customHeight="1" x14ac:dyDescent="0.25">
      <c r="A108" s="299">
        <v>41760</v>
      </c>
      <c r="B108" s="300">
        <f t="shared" si="9"/>
        <v>161.67416927550846</v>
      </c>
      <c r="C108" s="301">
        <v>1.7100000000000001E-2</v>
      </c>
      <c r="D108" s="302">
        <f t="shared" si="12"/>
        <v>2.2296156418089019</v>
      </c>
      <c r="E108" s="36">
        <f t="shared" si="11"/>
        <v>4.607637245485896</v>
      </c>
    </row>
    <row r="109" spans="1:5" ht="18" customHeight="1" x14ac:dyDescent="0.25">
      <c r="A109" s="299">
        <v>41791</v>
      </c>
      <c r="B109" s="300">
        <f t="shared" si="9"/>
        <v>166.15254376444005</v>
      </c>
      <c r="C109" s="301">
        <v>2.7699999999999999E-2</v>
      </c>
      <c r="D109" s="302">
        <f t="shared" si="12"/>
        <v>5.061375995087003</v>
      </c>
      <c r="E109" s="36">
        <f t="shared" si="11"/>
        <v>6.0314318938611944</v>
      </c>
    </row>
    <row r="110" spans="1:5" ht="18" customHeight="1" x14ac:dyDescent="0.25">
      <c r="A110" s="299">
        <v>41821</v>
      </c>
      <c r="B110" s="300">
        <f t="shared" si="9"/>
        <v>167.13284377265026</v>
      </c>
      <c r="C110" s="301">
        <v>5.8999999999999999E-3</v>
      </c>
      <c r="D110" s="302">
        <f t="shared" si="12"/>
        <v>5.6812381134580425</v>
      </c>
      <c r="E110" s="36">
        <f t="shared" si="11"/>
        <v>6.3168035706090198</v>
      </c>
    </row>
    <row r="111" spans="1:5" ht="18" customHeight="1" x14ac:dyDescent="0.25">
      <c r="A111" s="299">
        <v>41852</v>
      </c>
      <c r="B111" s="300">
        <f t="shared" si="9"/>
        <v>167.91836813838171</v>
      </c>
      <c r="C111" s="301">
        <v>4.7000000000000002E-3</v>
      </c>
      <c r="D111" s="302">
        <f t="shared" si="12"/>
        <v>6.1779399325912809</v>
      </c>
      <c r="E111" s="36">
        <f t="shared" si="11"/>
        <v>6.6458591727145189</v>
      </c>
    </row>
    <row r="112" spans="1:5" ht="18" customHeight="1" x14ac:dyDescent="0.25">
      <c r="A112" s="299">
        <v>41883</v>
      </c>
      <c r="B112" s="300">
        <f t="shared" si="9"/>
        <v>167.93515997519555</v>
      </c>
      <c r="C112" s="301">
        <v>1E-4</v>
      </c>
      <c r="D112" s="302">
        <f t="shared" si="12"/>
        <v>6.1885577265845315</v>
      </c>
      <c r="E112" s="36">
        <f t="shared" si="11"/>
        <v>6.5286893314340677</v>
      </c>
    </row>
    <row r="113" spans="1:5" ht="18" customHeight="1" x14ac:dyDescent="0.25">
      <c r="A113" s="299">
        <v>41913</v>
      </c>
      <c r="B113" s="300">
        <f t="shared" si="9"/>
        <v>168.13668216716579</v>
      </c>
      <c r="C113" s="301">
        <v>1.1999999999999999E-3</v>
      </c>
      <c r="D113" s="302">
        <f t="shared" si="12"/>
        <v>6.3159839958564445</v>
      </c>
      <c r="E113" s="36">
        <f t="shared" si="11"/>
        <v>6.475515382481567</v>
      </c>
    </row>
    <row r="114" spans="1:5" ht="18" customHeight="1" x14ac:dyDescent="0.25">
      <c r="A114" s="299">
        <v>41944</v>
      </c>
      <c r="B114" s="300">
        <f t="shared" si="9"/>
        <v>168.17030950359921</v>
      </c>
      <c r="C114" s="301">
        <v>2.0000000000000001E-4</v>
      </c>
      <c r="D114" s="302">
        <f t="shared" si="12"/>
        <v>6.337247192655604</v>
      </c>
      <c r="E114" s="36">
        <f t="shared" si="11"/>
        <v>6.4010495409712043</v>
      </c>
    </row>
    <row r="115" spans="1:5" ht="18" customHeight="1" x14ac:dyDescent="0.25">
      <c r="A115" s="299">
        <v>41974</v>
      </c>
      <c r="B115" s="300">
        <f t="shared" si="9"/>
        <v>168.22076059645028</v>
      </c>
      <c r="C115" s="301">
        <v>2.9999999999999997E-4</v>
      </c>
      <c r="D115" s="302">
        <f t="shared" si="12"/>
        <v>6.369148366813393</v>
      </c>
      <c r="E115" s="36">
        <f t="shared" si="11"/>
        <v>6.369148366813393</v>
      </c>
    </row>
    <row r="116" spans="1:5" ht="18" customHeight="1" x14ac:dyDescent="0.25">
      <c r="A116" s="299">
        <v>42005</v>
      </c>
      <c r="B116" s="300">
        <f t="shared" si="9"/>
        <v>168.77056698061983</v>
      </c>
      <c r="C116" s="301">
        <v>3.2683622533873401E-3</v>
      </c>
      <c r="D116" s="302">
        <f t="shared" ref="D116:D127" si="13">(B116/$B$115-1)*100</f>
        <v>0.32683622533873358</v>
      </c>
      <c r="E116" s="36">
        <f t="shared" si="11"/>
        <v>6.6634695414897083</v>
      </c>
    </row>
    <row r="117" spans="1:5" ht="18" customHeight="1" x14ac:dyDescent="0.25">
      <c r="A117" s="299">
        <v>42036</v>
      </c>
      <c r="B117" s="300">
        <f t="shared" si="9"/>
        <v>168.94172513189554</v>
      </c>
      <c r="C117" s="301">
        <v>1.0141469234701272E-3</v>
      </c>
      <c r="D117" s="302">
        <f t="shared" si="13"/>
        <v>0.42858237763816476</v>
      </c>
      <c r="E117" s="36">
        <f t="shared" si="11"/>
        <v>6.5266307203151408</v>
      </c>
    </row>
    <row r="118" spans="1:5" ht="18" customHeight="1" x14ac:dyDescent="0.25">
      <c r="A118" s="299">
        <v>42064</v>
      </c>
      <c r="B118" s="300">
        <f t="shared" si="9"/>
        <v>169.03665318218293</v>
      </c>
      <c r="C118" s="301">
        <v>5.6189819426366583E-4</v>
      </c>
      <c r="D118" s="302">
        <f t="shared" si="13"/>
        <v>0.48501301672860819</v>
      </c>
      <c r="E118" s="36">
        <f t="shared" si="11"/>
        <v>6.5012868123080381</v>
      </c>
    </row>
    <row r="119" spans="1:5" ht="18" customHeight="1" x14ac:dyDescent="0.25">
      <c r="A119" s="299">
        <v>42095</v>
      </c>
      <c r="B119" s="300">
        <f t="shared" si="9"/>
        <v>169.60334487632272</v>
      </c>
      <c r="C119" s="301">
        <v>3.3524781961284944E-3</v>
      </c>
      <c r="D119" s="302">
        <f t="shared" si="13"/>
        <v>0.82188683190487222</v>
      </c>
      <c r="E119" s="36">
        <f t="shared" si="11"/>
        <v>6.6982826302605103</v>
      </c>
    </row>
    <row r="120" spans="1:5" ht="18" customHeight="1" x14ac:dyDescent="0.25">
      <c r="A120" s="299">
        <v>42125</v>
      </c>
      <c r="B120" s="300">
        <f t="shared" si="9"/>
        <v>173.35444116646636</v>
      </c>
      <c r="C120" s="301">
        <v>2.2116876839186173E-2</v>
      </c>
      <c r="D120" s="302">
        <f t="shared" si="13"/>
        <v>3.0517520856604641</v>
      </c>
      <c r="E120" s="36">
        <f t="shared" si="11"/>
        <v>7.2245751707272321</v>
      </c>
    </row>
    <row r="121" spans="1:5" ht="18" customHeight="1" x14ac:dyDescent="0.25">
      <c r="A121" s="299">
        <v>42156</v>
      </c>
      <c r="B121" s="300">
        <f t="shared" si="9"/>
        <v>175.45867961450324</v>
      </c>
      <c r="C121" s="301">
        <v>1.213835903988314E-2</v>
      </c>
      <c r="D121" s="302">
        <f t="shared" si="13"/>
        <v>4.3026312521652565</v>
      </c>
      <c r="E121" s="36">
        <f t="shared" si="11"/>
        <v>5.6009589978091467</v>
      </c>
    </row>
    <row r="122" spans="1:5" ht="18" customHeight="1" x14ac:dyDescent="0.25">
      <c r="A122" s="299">
        <v>42186</v>
      </c>
      <c r="B122" s="300">
        <f t="shared" si="9"/>
        <v>175.94194968869354</v>
      </c>
      <c r="C122" s="301">
        <v>2.7543241249283756E-3</v>
      </c>
      <c r="D122" s="302">
        <f t="shared" si="13"/>
        <v>4.5899145057165969</v>
      </c>
      <c r="E122" s="36">
        <f t="shared" si="11"/>
        <v>5.2707210128167592</v>
      </c>
    </row>
    <row r="123" spans="1:5" ht="18" customHeight="1" x14ac:dyDescent="0.25">
      <c r="A123" s="299">
        <v>42217</v>
      </c>
      <c r="B123" s="300">
        <f t="shared" si="9"/>
        <v>175.87434941045859</v>
      </c>
      <c r="C123" s="301">
        <v>-3.842192175007586E-4</v>
      </c>
      <c r="D123" s="302">
        <f t="shared" si="13"/>
        <v>4.5497290506067323</v>
      </c>
      <c r="E123" s="36">
        <f t="shared" si="11"/>
        <v>4.7380053536015598</v>
      </c>
    </row>
    <row r="124" spans="1:5" ht="18" customHeight="1" x14ac:dyDescent="0.25">
      <c r="A124" s="299">
        <v>42248</v>
      </c>
      <c r="B124" s="300">
        <f t="shared" si="9"/>
        <v>176.2022826750877</v>
      </c>
      <c r="C124" s="301">
        <v>1.8645883594075041E-3</v>
      </c>
      <c r="D124" s="302">
        <f t="shared" si="13"/>
        <v>4.7446712583737005</v>
      </c>
      <c r="E124" s="36">
        <f t="shared" si="11"/>
        <v>4.9228063385375886</v>
      </c>
    </row>
    <row r="125" spans="1:5" ht="18" customHeight="1" x14ac:dyDescent="0.25">
      <c r="A125" s="299">
        <v>42278</v>
      </c>
      <c r="B125" s="300">
        <f t="shared" si="9"/>
        <v>176.17063999165856</v>
      </c>
      <c r="C125" s="301">
        <v>-1.7958157493047633E-4</v>
      </c>
      <c r="D125" s="302">
        <f t="shared" si="13"/>
        <v>4.7258610453435601</v>
      </c>
      <c r="E125" s="36">
        <f t="shared" si="11"/>
        <v>4.7782302594178816</v>
      </c>
    </row>
    <row r="126" spans="1:5" ht="18" customHeight="1" x14ac:dyDescent="0.25">
      <c r="A126" s="299">
        <v>42309</v>
      </c>
      <c r="B126" s="300">
        <f t="shared" si="9"/>
        <v>176.20947419404885</v>
      </c>
      <c r="C126" s="301">
        <v>2.2043515532521596E-4</v>
      </c>
      <c r="D126" s="302">
        <f t="shared" si="13"/>
        <v>4.7489463067896365</v>
      </c>
      <c r="E126" s="36">
        <f t="shared" si="11"/>
        <v>4.7803709906816705</v>
      </c>
    </row>
    <row r="127" spans="1:5" ht="18" customHeight="1" x14ac:dyDescent="0.25">
      <c r="A127" s="299">
        <v>42339</v>
      </c>
      <c r="B127" s="300">
        <f t="shared" si="9"/>
        <v>176.50432647145664</v>
      </c>
      <c r="C127" s="301">
        <v>1.6733054721171925E-3</v>
      </c>
      <c r="D127" s="302">
        <f t="shared" si="13"/>
        <v>4.9242232918432993</v>
      </c>
      <c r="E127" s="36">
        <f t="shared" si="11"/>
        <v>4.9242232918432993</v>
      </c>
    </row>
    <row r="128" spans="1:5" ht="18" customHeight="1" x14ac:dyDescent="0.25">
      <c r="A128" s="299">
        <v>42370</v>
      </c>
      <c r="B128" s="300">
        <f t="shared" si="9"/>
        <v>177.21916345619644</v>
      </c>
      <c r="C128" s="301">
        <v>4.0499686270036861E-3</v>
      </c>
      <c r="D128" s="302">
        <f t="shared" ref="D128:D139" si="14">(B128/$B$127-1)*100</f>
        <v>0.40499686270036861</v>
      </c>
      <c r="E128" s="36">
        <f t="shared" si="11"/>
        <v>5.0059655701380601</v>
      </c>
    </row>
    <row r="129" spans="1:5" ht="18" customHeight="1" x14ac:dyDescent="0.25">
      <c r="A129" s="299">
        <v>42401</v>
      </c>
      <c r="B129" s="300">
        <f t="shared" si="9"/>
        <v>177.29970846856151</v>
      </c>
      <c r="C129" s="301">
        <v>4.5449380752193846E-4</v>
      </c>
      <c r="D129" s="302">
        <f t="shared" si="14"/>
        <v>0.45063031201872938</v>
      </c>
      <c r="E129" s="36">
        <f t="shared" si="11"/>
        <v>4.947258192220283</v>
      </c>
    </row>
    <row r="130" spans="1:5" ht="18" customHeight="1" x14ac:dyDescent="0.25">
      <c r="A130" s="299">
        <v>42430</v>
      </c>
      <c r="B130" s="300">
        <f t="shared" si="9"/>
        <v>177.32272132923725</v>
      </c>
      <c r="C130" s="301">
        <v>1.2979638192600618E-4</v>
      </c>
      <c r="D130" s="302">
        <f t="shared" si="14"/>
        <v>0.46366844039540389</v>
      </c>
      <c r="E130" s="36">
        <f t="shared" si="11"/>
        <v>4.9019357583492962</v>
      </c>
    </row>
    <row r="131" spans="1:5" ht="18" customHeight="1" x14ac:dyDescent="0.25">
      <c r="A131" s="299">
        <v>42461</v>
      </c>
      <c r="B131" s="300">
        <f t="shared" si="9"/>
        <v>177.54134350565664</v>
      </c>
      <c r="C131" s="301">
        <v>1.2329056016091577E-3</v>
      </c>
      <c r="D131" s="302">
        <f t="shared" si="14"/>
        <v>0.5875306599737673</v>
      </c>
      <c r="E131" s="36">
        <f t="shared" si="11"/>
        <v>4.6803314139366892</v>
      </c>
    </row>
    <row r="132" spans="1:5" ht="18" customHeight="1" x14ac:dyDescent="0.25">
      <c r="A132" s="299">
        <v>42491</v>
      </c>
      <c r="B132" s="300">
        <f t="shared" si="9"/>
        <v>177.58305431563139</v>
      </c>
      <c r="C132" s="301">
        <v>2.3493575722222104E-4</v>
      </c>
      <c r="D132" s="302">
        <f t="shared" si="14"/>
        <v>0.61116226765647319</v>
      </c>
      <c r="E132" s="36">
        <f t="shared" si="11"/>
        <v>2.4392874625602579</v>
      </c>
    </row>
    <row r="133" spans="1:5" ht="18" customHeight="1" x14ac:dyDescent="0.25">
      <c r="A133" s="299">
        <v>42522</v>
      </c>
      <c r="B133" s="300">
        <f t="shared" si="9"/>
        <v>183.62536854680221</v>
      </c>
      <c r="C133" s="301">
        <v>3.4025286108838815E-2</v>
      </c>
      <c r="D133" s="302">
        <f t="shared" si="14"/>
        <v>4.0344858495563019</v>
      </c>
      <c r="E133" s="36">
        <f t="shared" si="11"/>
        <v>4.6544798753996197</v>
      </c>
    </row>
    <row r="134" spans="1:5" ht="18" customHeight="1" x14ac:dyDescent="0.25">
      <c r="A134" s="299">
        <v>42552</v>
      </c>
      <c r="B134" s="300">
        <f t="shared" si="9"/>
        <v>185.85473942476335</v>
      </c>
      <c r="C134" s="301">
        <v>1.2140865369552278E-2</v>
      </c>
      <c r="D134" s="302">
        <f t="shared" si="14"/>
        <v>5.297554536046345</v>
      </c>
      <c r="E134" s="36">
        <f t="shared" si="11"/>
        <v>5.6341252064156411</v>
      </c>
    </row>
    <row r="135" spans="1:5" ht="18" customHeight="1" x14ac:dyDescent="0.25">
      <c r="A135" s="299">
        <v>42583</v>
      </c>
      <c r="B135" s="300">
        <f t="shared" si="9"/>
        <v>185.86768415889344</v>
      </c>
      <c r="C135" s="301">
        <v>6.9649739200317029E-5</v>
      </c>
      <c r="D135" s="302">
        <f t="shared" si="14"/>
        <v>5.3048884832582299</v>
      </c>
      <c r="E135" s="36">
        <f t="shared" si="11"/>
        <v>5.6820876847210045</v>
      </c>
    </row>
    <row r="136" spans="1:5" ht="18" customHeight="1" x14ac:dyDescent="0.25">
      <c r="A136" s="299">
        <v>42614</v>
      </c>
      <c r="B136" s="300">
        <f t="shared" si="9"/>
        <v>186.27184752451092</v>
      </c>
      <c r="C136" s="301">
        <v>2.174468183893552E-3</v>
      </c>
      <c r="D136" s="302">
        <f t="shared" si="14"/>
        <v>5.5338706128735149</v>
      </c>
      <c r="E136" s="36">
        <f t="shared" si="11"/>
        <v>5.7147754822173491</v>
      </c>
    </row>
    <row r="137" spans="1:5" ht="18" customHeight="1" x14ac:dyDescent="0.25">
      <c r="A137" s="299">
        <v>42644</v>
      </c>
      <c r="B137" s="300">
        <f t="shared" si="9"/>
        <v>186.35239253687595</v>
      </c>
      <c r="C137" s="301">
        <v>4.3240572010994072E-4</v>
      </c>
      <c r="D137" s="302">
        <f t="shared" si="14"/>
        <v>5.5795040621918757</v>
      </c>
      <c r="E137" s="36">
        <f t="shared" si="11"/>
        <v>5.7794832020247489</v>
      </c>
    </row>
    <row r="138" spans="1:5" ht="18" customHeight="1" x14ac:dyDescent="0.25">
      <c r="A138" s="299">
        <v>42675</v>
      </c>
      <c r="B138" s="300">
        <f t="shared" si="9"/>
        <v>186.35095423308371</v>
      </c>
      <c r="C138" s="301">
        <v>-7.7181933253456236E-6</v>
      </c>
      <c r="D138" s="302">
        <f t="shared" si="14"/>
        <v>5.578689179168328</v>
      </c>
      <c r="E138" s="36">
        <f t="shared" si="11"/>
        <v>5.755354577510774</v>
      </c>
    </row>
    <row r="139" spans="1:5" ht="18" customHeight="1" x14ac:dyDescent="0.25">
      <c r="A139" s="299">
        <v>42705</v>
      </c>
      <c r="B139" s="300">
        <f t="shared" si="9"/>
        <v>186.29629868897885</v>
      </c>
      <c r="C139" s="301">
        <v>-2.9329361005847598E-4</v>
      </c>
      <c r="D139" s="302">
        <f t="shared" si="14"/>
        <v>5.5477236242737149</v>
      </c>
      <c r="E139" s="36">
        <f t="shared" si="11"/>
        <v>5.5477236242737149</v>
      </c>
    </row>
    <row r="140" spans="1:5" ht="18" customHeight="1" x14ac:dyDescent="0.25">
      <c r="A140" s="299">
        <v>42736</v>
      </c>
      <c r="B140" s="300">
        <f t="shared" si="9"/>
        <v>186.39697995443518</v>
      </c>
      <c r="C140" s="301">
        <v>5.4043620922605839E-4</v>
      </c>
      <c r="D140" s="302">
        <f t="shared" ref="D140:D151" si="15">(B140/$B$139-1)*100</f>
        <v>5.4043620922605839E-2</v>
      </c>
      <c r="E140" s="36">
        <f t="shared" si="11"/>
        <v>5.178794617494753</v>
      </c>
    </row>
    <row r="141" spans="1:5" ht="18" customHeight="1" x14ac:dyDescent="0.25">
      <c r="A141" s="299">
        <v>42767</v>
      </c>
      <c r="B141" s="300">
        <f t="shared" si="9"/>
        <v>186.46026532129346</v>
      </c>
      <c r="C141" s="301">
        <v>3.3951927157693795E-4</v>
      </c>
      <c r="D141" s="302">
        <f t="shared" si="15"/>
        <v>8.8013896931116165E-2</v>
      </c>
      <c r="E141" s="36">
        <f t="shared" si="11"/>
        <v>5.1667072280360271</v>
      </c>
    </row>
    <row r="142" spans="1:5" ht="18" customHeight="1" x14ac:dyDescent="0.25">
      <c r="A142" s="299">
        <v>42795</v>
      </c>
      <c r="B142" s="300">
        <f t="shared" si="9"/>
        <v>186.56957640950318</v>
      </c>
      <c r="C142" s="301">
        <v>5.862433372674225E-4</v>
      </c>
      <c r="D142" s="302">
        <f t="shared" si="15"/>
        <v>0.14668982821852694</v>
      </c>
      <c r="E142" s="36">
        <f t="shared" si="11"/>
        <v>5.2147040215434037</v>
      </c>
    </row>
    <row r="143" spans="1:5" ht="18" customHeight="1" x14ac:dyDescent="0.25">
      <c r="A143" s="299">
        <v>42826</v>
      </c>
      <c r="B143" s="300">
        <f t="shared" si="9"/>
        <v>186.34088610653816</v>
      </c>
      <c r="C143" s="301">
        <v>-1.2257641753072868E-3</v>
      </c>
      <c r="D143" s="302">
        <f t="shared" si="15"/>
        <v>2.3933603551484772E-2</v>
      </c>
      <c r="E143" s="36">
        <f t="shared" si="11"/>
        <v>4.9563343540887095</v>
      </c>
    </row>
    <row r="144" spans="1:5" ht="18" customHeight="1" x14ac:dyDescent="0.25">
      <c r="A144" s="299">
        <v>42856</v>
      </c>
      <c r="B144" s="300">
        <f t="shared" si="9"/>
        <v>188.26389827675368</v>
      </c>
      <c r="C144" s="301">
        <v>1.0319861681435061E-2</v>
      </c>
      <c r="D144" s="302">
        <f t="shared" si="15"/>
        <v>1.0561667631731719</v>
      </c>
      <c r="E144" s="36">
        <f t="shared" si="11"/>
        <v>6.0145625956733673</v>
      </c>
    </row>
    <row r="145" spans="1:5" ht="18" customHeight="1" x14ac:dyDescent="0.25">
      <c r="A145" s="299">
        <v>42887</v>
      </c>
      <c r="B145" s="300">
        <f t="shared" si="9"/>
        <v>189.43036265225464</v>
      </c>
      <c r="C145" s="301">
        <v>6.1959004683214136E-3</v>
      </c>
      <c r="D145" s="302">
        <f t="shared" si="15"/>
        <v>1.6823007141478996</v>
      </c>
      <c r="E145" s="36">
        <f t="shared" si="11"/>
        <v>3.1613246859040878</v>
      </c>
    </row>
    <row r="146" spans="1:5" ht="18" customHeight="1" x14ac:dyDescent="0.25">
      <c r="A146" s="299">
        <v>42917</v>
      </c>
      <c r="B146" s="300">
        <f t="shared" si="9"/>
        <v>189.4936480191129</v>
      </c>
      <c r="C146" s="301">
        <v>3.3408248800337326E-4</v>
      </c>
      <c r="D146" s="302">
        <f t="shared" si="15"/>
        <v>1.7162709901563877</v>
      </c>
      <c r="E146" s="36">
        <f t="shared" si="11"/>
        <v>1.9579315575229739</v>
      </c>
    </row>
    <row r="147" spans="1:5" ht="18" customHeight="1" x14ac:dyDescent="0.25">
      <c r="A147" s="299">
        <v>42948</v>
      </c>
      <c r="B147" s="300">
        <f t="shared" si="9"/>
        <v>189.73096814483137</v>
      </c>
      <c r="C147" s="301">
        <v>1.2523909281356715E-3</v>
      </c>
      <c r="D147" s="302">
        <f t="shared" si="15"/>
        <v>1.843659525188257</v>
      </c>
      <c r="E147" s="36">
        <f t="shared" si="11"/>
        <v>2.0785130042483946</v>
      </c>
    </row>
    <row r="148" spans="1:5" ht="18" customHeight="1" x14ac:dyDescent="0.25">
      <c r="A148" s="299">
        <v>42979</v>
      </c>
      <c r="B148" s="300">
        <f t="shared" si="9"/>
        <v>190.22574464935948</v>
      </c>
      <c r="C148" s="301">
        <v>2.6077793697358853E-3</v>
      </c>
      <c r="D148" s="302">
        <f t="shared" si="15"/>
        <v>2.1092453194364591</v>
      </c>
      <c r="E148" s="36">
        <f t="shared" si="11"/>
        <v>2.1226487938969418</v>
      </c>
    </row>
    <row r="149" spans="1:5" ht="18" customHeight="1" x14ac:dyDescent="0.25">
      <c r="A149" s="299">
        <v>43009</v>
      </c>
      <c r="B149" s="300">
        <f t="shared" si="9"/>
        <v>190.59107381258667</v>
      </c>
      <c r="C149" s="301">
        <v>1.9205032625873031E-3</v>
      </c>
      <c r="D149" s="302">
        <f t="shared" si="15"/>
        <v>2.3053464582127425</v>
      </c>
      <c r="E149" s="36">
        <f t="shared" si="11"/>
        <v>2.2745515729678312</v>
      </c>
    </row>
    <row r="150" spans="1:5" ht="18" customHeight="1" x14ac:dyDescent="0.25">
      <c r="A150" s="299">
        <v>43040</v>
      </c>
      <c r="B150" s="300">
        <f t="shared" ref="B150:B213" si="16">B149*(1+C150)</f>
        <v>190.66442730599056</v>
      </c>
      <c r="C150" s="301">
        <v>3.8487370859785486E-4</v>
      </c>
      <c r="D150" s="302">
        <f t="shared" si="15"/>
        <v>2.3447210963134957</v>
      </c>
      <c r="E150" s="36">
        <f t="shared" si="11"/>
        <v>2.3147040435927302</v>
      </c>
    </row>
    <row r="151" spans="1:5" ht="18" customHeight="1" x14ac:dyDescent="0.25">
      <c r="A151" s="299">
        <v>43070</v>
      </c>
      <c r="B151" s="300">
        <f t="shared" si="16"/>
        <v>191.18509327877894</v>
      </c>
      <c r="C151" s="301">
        <v>2.7307976644892484E-3</v>
      </c>
      <c r="D151" s="302">
        <f t="shared" si="15"/>
        <v>2.6242038216561125</v>
      </c>
      <c r="E151" s="36">
        <f t="shared" si="11"/>
        <v>2.6242038216561125</v>
      </c>
    </row>
    <row r="152" spans="1:5" ht="18" customHeight="1" x14ac:dyDescent="0.25">
      <c r="A152" s="299">
        <v>43101</v>
      </c>
      <c r="B152" s="300">
        <f t="shared" si="16"/>
        <v>191.93444955453234</v>
      </c>
      <c r="C152" s="301">
        <v>3.919532966206285E-3</v>
      </c>
      <c r="D152" s="302">
        <f t="shared" ref="D152:D163" si="17">(B152/$B$151-1)*100</f>
        <v>0.3919532966206285</v>
      </c>
      <c r="E152" s="36">
        <f t="shared" si="11"/>
        <v>2.9707936262973744</v>
      </c>
    </row>
    <row r="153" spans="1:5" ht="18" customHeight="1" x14ac:dyDescent="0.25">
      <c r="A153" s="299">
        <v>43132</v>
      </c>
      <c r="B153" s="300">
        <f t="shared" si="16"/>
        <v>192.47956669178865</v>
      </c>
      <c r="C153" s="301">
        <v>2.8401213983288986E-3</v>
      </c>
      <c r="D153" s="302">
        <f t="shared" si="17"/>
        <v>0.67707863139840896</v>
      </c>
      <c r="E153" s="36">
        <f t="shared" si="11"/>
        <v>3.2281952190313712</v>
      </c>
    </row>
    <row r="154" spans="1:5" ht="18" customHeight="1" x14ac:dyDescent="0.25">
      <c r="A154" s="299">
        <v>43160</v>
      </c>
      <c r="B154" s="300">
        <f t="shared" si="16"/>
        <v>192.44217079319057</v>
      </c>
      <c r="C154" s="301">
        <v>-1.9428503108565032E-4</v>
      </c>
      <c r="D154" s="302">
        <f t="shared" si="17"/>
        <v>0.65751858204687874</v>
      </c>
      <c r="E154" s="36">
        <f t="shared" si="11"/>
        <v>3.1476698916856449</v>
      </c>
    </row>
    <row r="155" spans="1:5" ht="18" customHeight="1" x14ac:dyDescent="0.25">
      <c r="A155" s="299">
        <v>43191</v>
      </c>
      <c r="B155" s="300">
        <f t="shared" si="16"/>
        <v>192.87222362706822</v>
      </c>
      <c r="C155" s="301">
        <v>2.2347120285803879E-3</v>
      </c>
      <c r="D155" s="302">
        <f t="shared" si="17"/>
        <v>0.88245914958922089</v>
      </c>
      <c r="E155" s="36">
        <f t="shared" si="11"/>
        <v>3.5050480101268988</v>
      </c>
    </row>
    <row r="156" spans="1:5" ht="18" customHeight="1" x14ac:dyDescent="0.25">
      <c r="A156" s="299">
        <v>43221</v>
      </c>
      <c r="B156" s="300">
        <f t="shared" si="16"/>
        <v>193.94232164848958</v>
      </c>
      <c r="C156" s="301">
        <v>5.5482225553145081E-3</v>
      </c>
      <c r="D156" s="302">
        <f t="shared" si="17"/>
        <v>1.4421774848785818</v>
      </c>
      <c r="E156" s="36">
        <f t="shared" si="11"/>
        <v>3.01620407508425</v>
      </c>
    </row>
    <row r="157" spans="1:5" ht="18" customHeight="1" x14ac:dyDescent="0.25">
      <c r="A157" s="299">
        <v>43252</v>
      </c>
      <c r="B157" s="300">
        <f t="shared" si="16"/>
        <v>195.16919478326432</v>
      </c>
      <c r="C157" s="301">
        <v>6.325969104352458E-3</v>
      </c>
      <c r="D157" s="302">
        <f t="shared" si="17"/>
        <v>2.0838975655261605</v>
      </c>
      <c r="E157" s="36">
        <f t="shared" si="11"/>
        <v>3.0295207434853921</v>
      </c>
    </row>
    <row r="158" spans="1:5" ht="18" customHeight="1" x14ac:dyDescent="0.25">
      <c r="A158" s="299">
        <v>43282</v>
      </c>
      <c r="B158" s="300">
        <f t="shared" si="16"/>
        <v>195.83369113527593</v>
      </c>
      <c r="C158" s="301">
        <v>3.4047194422743843E-3</v>
      </c>
      <c r="D158" s="302">
        <f t="shared" si="17"/>
        <v>2.4314645963106507</v>
      </c>
      <c r="E158" s="36">
        <f t="shared" si="11"/>
        <v>3.3457813401341907</v>
      </c>
    </row>
    <row r="159" spans="1:5" ht="18" customHeight="1" x14ac:dyDescent="0.25">
      <c r="A159" s="299">
        <v>43313</v>
      </c>
      <c r="B159" s="300">
        <f t="shared" si="16"/>
        <v>196.463668196274</v>
      </c>
      <c r="C159" s="301">
        <v>3.2168982637563737E-3</v>
      </c>
      <c r="D159" s="302">
        <f t="shared" si="17"/>
        <v>2.7609761969245472</v>
      </c>
      <c r="E159" s="36">
        <f t="shared" si="11"/>
        <v>3.5485509388763603</v>
      </c>
    </row>
    <row r="160" spans="1:5" ht="18" customHeight="1" x14ac:dyDescent="0.25">
      <c r="A160" s="299">
        <v>43344</v>
      </c>
      <c r="B160" s="300">
        <f t="shared" si="16"/>
        <v>196.40901265216911</v>
      </c>
      <c r="C160" s="301">
        <v>-2.7819669970874372E-4</v>
      </c>
      <c r="D160" s="302">
        <f t="shared" si="17"/>
        <v>2.732388432487709</v>
      </c>
      <c r="E160" s="36">
        <f t="shared" si="11"/>
        <v>3.2504895771112263</v>
      </c>
    </row>
    <row r="161" spans="1:5" ht="18" customHeight="1" x14ac:dyDescent="0.25">
      <c r="A161" s="299">
        <v>43374</v>
      </c>
      <c r="B161" s="300">
        <f t="shared" si="16"/>
        <v>196.70098832199241</v>
      </c>
      <c r="C161" s="301">
        <v>1.4865696124666261E-3</v>
      </c>
      <c r="D161" s="302">
        <f t="shared" si="17"/>
        <v>2.8851072793475652</v>
      </c>
      <c r="E161" s="36">
        <f t="shared" ref="E161:E224" si="18">(B161/B149-1)*100</f>
        <v>3.2057715963202948</v>
      </c>
    </row>
    <row r="162" spans="1:5" ht="18" customHeight="1" x14ac:dyDescent="0.25">
      <c r="A162" s="299">
        <v>43405</v>
      </c>
      <c r="B162" s="300">
        <f t="shared" si="16"/>
        <v>197.25617358579436</v>
      </c>
      <c r="C162" s="301">
        <v>2.8224833466170551E-3</v>
      </c>
      <c r="D162" s="302">
        <f t="shared" si="17"/>
        <v>3.1754987812584234</v>
      </c>
      <c r="E162" s="36">
        <f t="shared" si="18"/>
        <v>3.4572501923628041</v>
      </c>
    </row>
    <row r="163" spans="1:5" ht="18" customHeight="1" x14ac:dyDescent="0.25">
      <c r="A163" s="299">
        <v>43435</v>
      </c>
      <c r="B163" s="300">
        <f t="shared" si="16"/>
        <v>197.41151039535555</v>
      </c>
      <c r="C163" s="301">
        <v>7.8748769550496256E-4</v>
      </c>
      <c r="D163" s="302">
        <f t="shared" si="17"/>
        <v>3.2567482170262618</v>
      </c>
      <c r="E163" s="36">
        <f t="shared" si="18"/>
        <v>3.2567482170262618</v>
      </c>
    </row>
    <row r="164" spans="1:5" ht="18" customHeight="1" x14ac:dyDescent="0.25">
      <c r="A164" s="299">
        <v>43466</v>
      </c>
      <c r="B164" s="300">
        <f t="shared" si="16"/>
        <v>198.48160841677688</v>
      </c>
      <c r="C164" s="301">
        <v>5.4206465432449225E-3</v>
      </c>
      <c r="D164" s="302">
        <f t="shared" ref="D164:D175" si="19">(B164/$B$163-1)*100</f>
        <v>0.54206465432449225</v>
      </c>
      <c r="E164" s="36">
        <f t="shared" si="18"/>
        <v>3.4111431675970971</v>
      </c>
    </row>
    <row r="165" spans="1:5" ht="18" customHeight="1" x14ac:dyDescent="0.25">
      <c r="A165" s="303">
        <v>43497</v>
      </c>
      <c r="B165" s="304">
        <f t="shared" si="16"/>
        <v>199.04686180712449</v>
      </c>
      <c r="C165" s="305">
        <v>2.8478879975653015E-3</v>
      </c>
      <c r="D165" s="306">
        <f t="shared" si="19"/>
        <v>0.82839719350398244</v>
      </c>
      <c r="E165" s="307">
        <f t="shared" si="18"/>
        <v>3.4119440459110306</v>
      </c>
    </row>
    <row r="166" spans="1:5" ht="18" customHeight="1" x14ac:dyDescent="0.25">
      <c r="A166" s="303">
        <v>43525</v>
      </c>
      <c r="B166" s="304">
        <f t="shared" si="16"/>
        <v>199.37048016037693</v>
      </c>
      <c r="C166" s="305">
        <v>1.6258400173423393E-3</v>
      </c>
      <c r="D166" s="306">
        <f t="shared" si="19"/>
        <v>0.99232803654567547</v>
      </c>
      <c r="E166" s="307">
        <f t="shared" si="18"/>
        <v>3.6002032915290361</v>
      </c>
    </row>
    <row r="167" spans="1:5" ht="18" customHeight="1" x14ac:dyDescent="0.25">
      <c r="A167" s="303">
        <v>43556</v>
      </c>
      <c r="B167" s="304">
        <f t="shared" si="16"/>
        <v>199.80340960183906</v>
      </c>
      <c r="C167" s="305">
        <v>2.1714821628251446E-3</v>
      </c>
      <c r="D167" s="306">
        <f t="shared" si="19"/>
        <v>1.2116310754592075</v>
      </c>
      <c r="E167" s="307">
        <f t="shared" si="18"/>
        <v>3.5936672707070461</v>
      </c>
    </row>
    <row r="168" spans="1:5" ht="18" customHeight="1" x14ac:dyDescent="0.25">
      <c r="A168" s="303">
        <v>43586</v>
      </c>
      <c r="B168" s="304">
        <f t="shared" si="16"/>
        <v>199.92854203176336</v>
      </c>
      <c r="C168" s="305">
        <v>6.2627775058321511E-4</v>
      </c>
      <c r="D168" s="306">
        <f t="shared" si="19"/>
        <v>1.2750176681020076</v>
      </c>
      <c r="E168" s="307">
        <f t="shared" si="18"/>
        <v>3.0865982898376831</v>
      </c>
    </row>
    <row r="169" spans="1:5" ht="18" customHeight="1" x14ac:dyDescent="0.25">
      <c r="A169" s="303">
        <v>43617</v>
      </c>
      <c r="B169" s="304">
        <f t="shared" si="16"/>
        <v>203.54156115785264</v>
      </c>
      <c r="C169" s="305">
        <v>1.8071552412537883E-2</v>
      </c>
      <c r="D169" s="306">
        <f t="shared" si="19"/>
        <v>3.1052144579718055</v>
      </c>
      <c r="E169" s="307">
        <f t="shared" si="18"/>
        <v>4.2897991068138852</v>
      </c>
    </row>
    <row r="170" spans="1:5" ht="18" customHeight="1" x14ac:dyDescent="0.25">
      <c r="A170" s="303">
        <v>43647</v>
      </c>
      <c r="B170" s="304">
        <f t="shared" si="16"/>
        <v>205.32074294884484</v>
      </c>
      <c r="C170" s="305">
        <v>8.7411228491678372E-3</v>
      </c>
      <c r="D170" s="306">
        <f t="shared" si="19"/>
        <v>4.0064698039387281</v>
      </c>
      <c r="E170" s="307">
        <f t="shared" si="18"/>
        <v>4.8444431387526299</v>
      </c>
    </row>
    <row r="171" spans="1:5" ht="18" customHeight="1" x14ac:dyDescent="0.25">
      <c r="A171" s="303">
        <v>43678</v>
      </c>
      <c r="B171" s="304">
        <f t="shared" si="16"/>
        <v>205.46025841669143</v>
      </c>
      <c r="C171" s="305">
        <v>6.7950011208250949E-4</v>
      </c>
      <c r="D171" s="306">
        <f t="shared" si="19"/>
        <v>4.0771422118278</v>
      </c>
      <c r="E171" s="307">
        <f t="shared" si="18"/>
        <v>4.5792640965196307</v>
      </c>
    </row>
    <row r="172" spans="1:5" ht="18" customHeight="1" x14ac:dyDescent="0.25">
      <c r="A172" s="303">
        <v>43709</v>
      </c>
      <c r="B172" s="304">
        <f t="shared" si="16"/>
        <v>205.68319550448754</v>
      </c>
      <c r="C172" s="305">
        <v>1.0850618485254149E-3</v>
      </c>
      <c r="D172" s="306">
        <f t="shared" si="19"/>
        <v>4.1900723481454127</v>
      </c>
      <c r="E172" s="307">
        <f t="shared" si="18"/>
        <v>4.7218723454114375</v>
      </c>
    </row>
    <row r="173" spans="1:5" ht="18" customHeight="1" x14ac:dyDescent="0.25">
      <c r="A173" s="303">
        <v>43739</v>
      </c>
      <c r="B173" s="304">
        <f t="shared" si="16"/>
        <v>205.89750276953026</v>
      </c>
      <c r="C173" s="305">
        <v>1.0419288970937579E-3</v>
      </c>
      <c r="D173" s="306">
        <f t="shared" si="19"/>
        <v>4.2986309953152446</v>
      </c>
      <c r="E173" s="307">
        <f t="shared" si="18"/>
        <v>4.675377854473961</v>
      </c>
    </row>
    <row r="174" spans="1:5" ht="18" customHeight="1" x14ac:dyDescent="0.25">
      <c r="A174" s="303">
        <v>43770</v>
      </c>
      <c r="B174" s="304">
        <f t="shared" si="16"/>
        <v>206.09742699665068</v>
      </c>
      <c r="C174" s="305">
        <v>9.7098908161208364E-4</v>
      </c>
      <c r="D174" s="306">
        <f t="shared" si="19"/>
        <v>4.3999038272387825</v>
      </c>
      <c r="E174" s="307">
        <f t="shared" si="18"/>
        <v>4.4821174669146258</v>
      </c>
    </row>
    <row r="175" spans="1:5" ht="18" customHeight="1" x14ac:dyDescent="0.25">
      <c r="A175" s="299">
        <v>43800</v>
      </c>
      <c r="B175" s="300">
        <f t="shared" si="16"/>
        <v>206.10893342698853</v>
      </c>
      <c r="C175" s="301">
        <v>5.5830053317578203E-5</v>
      </c>
      <c r="D175" s="302">
        <f t="shared" si="19"/>
        <v>4.4057324794358088</v>
      </c>
      <c r="E175" s="36">
        <f t="shared" si="18"/>
        <v>4.4057324794358088</v>
      </c>
    </row>
    <row r="176" spans="1:5" ht="18" customHeight="1" x14ac:dyDescent="0.2">
      <c r="A176" s="303">
        <v>43831</v>
      </c>
      <c r="B176" s="304">
        <f t="shared" si="16"/>
        <v>206.76767656383123</v>
      </c>
      <c r="C176" s="308">
        <v>3.1960921144451601E-3</v>
      </c>
      <c r="D176" s="306">
        <f t="shared" ref="D176:D187" si="20">(B176/$B$175-1)*100</f>
        <v>0.31960921144451593</v>
      </c>
      <c r="E176" s="307">
        <f t="shared" si="18"/>
        <v>4.1747284361254522</v>
      </c>
    </row>
    <row r="177" spans="1:5" ht="18" customHeight="1" x14ac:dyDescent="0.2">
      <c r="A177" s="303">
        <v>43862</v>
      </c>
      <c r="B177" s="304">
        <f t="shared" si="16"/>
        <v>206.74610200694772</v>
      </c>
      <c r="C177" s="308">
        <v>-1.0434201922682185E-4</v>
      </c>
      <c r="D177" s="306">
        <f t="shared" si="20"/>
        <v>0.30914166085134198</v>
      </c>
      <c r="E177" s="307">
        <f t="shared" si="18"/>
        <v>3.8680540501481397</v>
      </c>
    </row>
    <row r="178" spans="1:5" ht="18" customHeight="1" x14ac:dyDescent="0.2">
      <c r="A178" s="303">
        <v>43891</v>
      </c>
      <c r="B178" s="304">
        <f t="shared" si="16"/>
        <v>206.92445167718461</v>
      </c>
      <c r="C178" s="308">
        <v>8.6265070299074154E-4</v>
      </c>
      <c r="D178" s="306">
        <f t="shared" si="20"/>
        <v>0.39567341242148224</v>
      </c>
      <c r="E178" s="307">
        <f t="shared" si="18"/>
        <v>3.7889117339393152</v>
      </c>
    </row>
    <row r="179" spans="1:5" ht="18" customHeight="1" x14ac:dyDescent="0.2">
      <c r="A179" s="303">
        <v>43922</v>
      </c>
      <c r="B179" s="304">
        <f t="shared" si="16"/>
        <v>206.14632932558655</v>
      </c>
      <c r="C179" s="308">
        <v>-3.7604176079295559E-3</v>
      </c>
      <c r="D179" s="306">
        <f t="shared" si="20"/>
        <v>1.814375436146598E-2</v>
      </c>
      <c r="E179" s="307">
        <f t="shared" si="18"/>
        <v>3.1745803219211499</v>
      </c>
    </row>
    <row r="180" spans="1:5" ht="18" customHeight="1" x14ac:dyDescent="0.2">
      <c r="A180" s="303">
        <v>43952</v>
      </c>
      <c r="B180" s="304">
        <f t="shared" si="16"/>
        <v>206.46994767883899</v>
      </c>
      <c r="C180" s="308">
        <v>1.5698477596528537E-3</v>
      </c>
      <c r="D180" s="306">
        <f t="shared" si="20"/>
        <v>0.17515701325889754</v>
      </c>
      <c r="E180" s="307">
        <f t="shared" si="18"/>
        <v>3.2718718301043781</v>
      </c>
    </row>
    <row r="181" spans="1:5" ht="18" customHeight="1" x14ac:dyDescent="0.2">
      <c r="A181" s="303">
        <v>43983</v>
      </c>
      <c r="B181" s="304">
        <f t="shared" si="16"/>
        <v>209.1926567575361</v>
      </c>
      <c r="C181" s="308">
        <v>1.3186950979094725E-2</v>
      </c>
      <c r="D181" s="306">
        <f t="shared" si="20"/>
        <v>1.4961618981158553</v>
      </c>
      <c r="E181" s="307">
        <f t="shared" si="18"/>
        <v>2.7763841288909408</v>
      </c>
    </row>
    <row r="182" spans="1:5" ht="18" customHeight="1" x14ac:dyDescent="0.2">
      <c r="A182" s="303">
        <v>44013</v>
      </c>
      <c r="B182" s="304">
        <f t="shared" si="16"/>
        <v>211.16457125668751</v>
      </c>
      <c r="C182" s="308">
        <v>9.4263084073593628E-3</v>
      </c>
      <c r="D182" s="306">
        <f t="shared" si="20"/>
        <v>2.4528960223307639</v>
      </c>
      <c r="E182" s="307">
        <f t="shared" si="18"/>
        <v>2.8461947993723369</v>
      </c>
    </row>
    <row r="183" spans="1:5" ht="18" customHeight="1" x14ac:dyDescent="0.2">
      <c r="A183" s="303">
        <v>44044</v>
      </c>
      <c r="B183" s="304">
        <f t="shared" si="16"/>
        <v>212.44753823935935</v>
      </c>
      <c r="C183" s="308">
        <v>6.0756734666076451E-3</v>
      </c>
      <c r="D183" s="306">
        <f t="shared" si="20"/>
        <v>3.0753663642707707</v>
      </c>
      <c r="E183" s="307">
        <f t="shared" si="18"/>
        <v>3.4007938452491837</v>
      </c>
    </row>
    <row r="184" spans="1:5" ht="18" customHeight="1" x14ac:dyDescent="0.2">
      <c r="A184" s="303">
        <v>44075</v>
      </c>
      <c r="B184" s="304">
        <f t="shared" si="16"/>
        <v>215.8548799231593</v>
      </c>
      <c r="C184" s="308">
        <v>1.6038508669189655E-2</v>
      </c>
      <c r="D184" s="306">
        <f t="shared" si="20"/>
        <v>4.7285415212840132</v>
      </c>
      <c r="E184" s="307">
        <f t="shared" si="18"/>
        <v>4.9453162149310614</v>
      </c>
    </row>
    <row r="185" spans="1:5" ht="18" customHeight="1" x14ac:dyDescent="0.2">
      <c r="A185" s="303">
        <v>44105</v>
      </c>
      <c r="B185" s="304">
        <f t="shared" si="16"/>
        <v>218.28417502824084</v>
      </c>
      <c r="C185" s="308">
        <v>1.1254297822436587E-2</v>
      </c>
      <c r="D185" s="306">
        <f t="shared" si="20"/>
        <v>5.9071877180739696</v>
      </c>
      <c r="E185" s="307">
        <f t="shared" si="18"/>
        <v>6.0159409862175384</v>
      </c>
    </row>
    <row r="186" spans="1:5" ht="18" customHeight="1" x14ac:dyDescent="0.2">
      <c r="A186" s="303">
        <v>44136</v>
      </c>
      <c r="B186" s="304">
        <f t="shared" si="16"/>
        <v>220.2158170212098</v>
      </c>
      <c r="C186" s="308">
        <v>8.849207656574487E-3</v>
      </c>
      <c r="D186" s="306">
        <f t="shared" si="20"/>
        <v>6.8443824145150156</v>
      </c>
      <c r="E186" s="307">
        <f t="shared" si="18"/>
        <v>6.8503475420819138</v>
      </c>
    </row>
    <row r="187" spans="1:5" ht="18" customHeight="1" x14ac:dyDescent="0.2">
      <c r="A187" s="303">
        <v>44166</v>
      </c>
      <c r="B187" s="304">
        <f t="shared" si="16"/>
        <v>221.28160013125444</v>
      </c>
      <c r="C187" s="308">
        <v>4.8397209812680586E-3</v>
      </c>
      <c r="D187" s="306">
        <f t="shared" si="20"/>
        <v>7.3614794138171735</v>
      </c>
      <c r="E187" s="307">
        <f t="shared" si="18"/>
        <v>7.3614794138171735</v>
      </c>
    </row>
    <row r="188" spans="1:5" ht="18" customHeight="1" x14ac:dyDescent="0.2">
      <c r="A188" s="303">
        <v>44197</v>
      </c>
      <c r="B188" s="304">
        <f t="shared" si="16"/>
        <v>223.5900777177884</v>
      </c>
      <c r="C188" s="308">
        <v>1.0432307002320451E-2</v>
      </c>
      <c r="D188" s="306">
        <f t="shared" ref="D188:D199" si="21">(B188/$B$187-1)*100</f>
        <v>1.0432307002320451</v>
      </c>
      <c r="E188" s="307">
        <f t="shared" si="18"/>
        <v>8.135895045840936</v>
      </c>
    </row>
    <row r="189" spans="1:5" ht="18" customHeight="1" x14ac:dyDescent="0.2">
      <c r="A189" s="303">
        <v>44228</v>
      </c>
      <c r="B189" s="304">
        <f t="shared" si="16"/>
        <v>226.55442183358059</v>
      </c>
      <c r="C189" s="308">
        <v>1.3257941255934158E-2</v>
      </c>
      <c r="D189" s="306">
        <f t="shared" si="21"/>
        <v>2.3828559171655161</v>
      </c>
      <c r="E189" s="307">
        <f t="shared" si="18"/>
        <v>9.5809882916037878</v>
      </c>
    </row>
    <row r="190" spans="1:5" ht="18" customHeight="1" x14ac:dyDescent="0.2">
      <c r="A190" s="303">
        <v>44256</v>
      </c>
      <c r="B190" s="304">
        <f t="shared" si="16"/>
        <v>230.06819799800581</v>
      </c>
      <c r="C190" s="308">
        <v>1.5509634003110895E-2</v>
      </c>
      <c r="D190" s="306">
        <f t="shared" si="21"/>
        <v>3.9707765406340023</v>
      </c>
      <c r="E190" s="307">
        <f t="shared" si="18"/>
        <v>11.184635809462939</v>
      </c>
    </row>
    <row r="191" spans="1:5" ht="18" customHeight="1" x14ac:dyDescent="0.2">
      <c r="A191" s="303">
        <v>44287</v>
      </c>
      <c r="B191" s="304">
        <f t="shared" si="16"/>
        <v>233.32307947982906</v>
      </c>
      <c r="C191" s="308">
        <v>1.4147463709223596E-2</v>
      </c>
      <c r="D191" s="306">
        <f t="shared" si="21"/>
        <v>5.4416993285623994</v>
      </c>
      <c r="E191" s="307">
        <f t="shared" si="18"/>
        <v>13.183232630506691</v>
      </c>
    </row>
    <row r="192" spans="1:5" ht="18" customHeight="1" x14ac:dyDescent="0.2">
      <c r="A192" s="303">
        <v>44317</v>
      </c>
      <c r="B192" s="304">
        <f t="shared" si="16"/>
        <v>238.53261581529696</v>
      </c>
      <c r="C192" s="308">
        <v>2.2327565481657707E-2</v>
      </c>
      <c r="D192" s="306">
        <f t="shared" si="21"/>
        <v>7.7959557748181529</v>
      </c>
      <c r="E192" s="307">
        <f t="shared" si="18"/>
        <v>15.528975764710795</v>
      </c>
    </row>
    <row r="193" spans="1:5" ht="18" customHeight="1" x14ac:dyDescent="0.2">
      <c r="A193" s="303">
        <v>44348</v>
      </c>
      <c r="B193" s="304">
        <f t="shared" si="16"/>
        <v>245.67954735890274</v>
      </c>
      <c r="C193" s="308">
        <v>2.9962072562604414E-2</v>
      </c>
      <c r="D193" s="306">
        <f t="shared" si="21"/>
        <v>11.025746023698545</v>
      </c>
      <c r="E193" s="307">
        <f t="shared" si="18"/>
        <v>17.44176452792825</v>
      </c>
    </row>
    <row r="194" spans="1:5" ht="18" customHeight="1" x14ac:dyDescent="0.2">
      <c r="A194" s="303">
        <v>44378</v>
      </c>
      <c r="B194" s="304">
        <f t="shared" si="16"/>
        <v>248.03836557816484</v>
      </c>
      <c r="C194" s="308">
        <v>9.601198978994363E-3</v>
      </c>
      <c r="D194" s="306">
        <f t="shared" si="21"/>
        <v>12.091726303063366</v>
      </c>
      <c r="E194" s="307">
        <f t="shared" si="18"/>
        <v>17.462112181997735</v>
      </c>
    </row>
    <row r="195" spans="1:5" ht="18" customHeight="1" x14ac:dyDescent="0.2">
      <c r="A195" s="303">
        <v>44409</v>
      </c>
      <c r="B195" s="304">
        <f t="shared" si="16"/>
        <v>249.35297524426582</v>
      </c>
      <c r="C195" s="308">
        <v>5.3000255143460517E-3</v>
      </c>
      <c r="D195" s="306">
        <f t="shared" si="21"/>
        <v>12.685815312416704</v>
      </c>
      <c r="E195" s="307">
        <f t="shared" si="18"/>
        <v>17.371553142369688</v>
      </c>
    </row>
    <row r="196" spans="1:5" ht="18" customHeight="1" x14ac:dyDescent="0.2">
      <c r="A196" s="303">
        <v>44440</v>
      </c>
      <c r="B196" s="304">
        <f t="shared" si="16"/>
        <v>251.10051435182888</v>
      </c>
      <c r="C196" s="308">
        <v>7.0082945906346783E-3</v>
      </c>
      <c r="D196" s="306">
        <f t="shared" si="21"/>
        <v>13.475550702311988</v>
      </c>
      <c r="E196" s="307">
        <f t="shared" si="18"/>
        <v>16.328393613902282</v>
      </c>
    </row>
    <row r="197" spans="1:5" ht="18" customHeight="1" x14ac:dyDescent="0.2">
      <c r="A197" s="303">
        <v>44470</v>
      </c>
      <c r="B197" s="304">
        <f t="shared" si="16"/>
        <v>251.09763774424442</v>
      </c>
      <c r="C197" s="308">
        <v>-1.1456000366560914E-5</v>
      </c>
      <c r="D197" s="306">
        <f t="shared" si="21"/>
        <v>13.474250726361547</v>
      </c>
      <c r="E197" s="307">
        <f t="shared" si="18"/>
        <v>15.0324514874971</v>
      </c>
    </row>
    <row r="198" spans="1:5" ht="18" customHeight="1" x14ac:dyDescent="0.2">
      <c r="A198" s="303">
        <v>44501</v>
      </c>
      <c r="B198" s="304">
        <f t="shared" si="16"/>
        <v>251.70172533698229</v>
      </c>
      <c r="C198" s="308">
        <v>2.4057876376883947E-3</v>
      </c>
      <c r="D198" s="306">
        <f t="shared" si="21"/>
        <v>13.747245675954979</v>
      </c>
      <c r="E198" s="307">
        <f t="shared" si="18"/>
        <v>14.29775060741434</v>
      </c>
    </row>
    <row r="199" spans="1:5" ht="18" customHeight="1" x14ac:dyDescent="0.2">
      <c r="A199" s="303">
        <v>44531</v>
      </c>
      <c r="B199" s="304">
        <f t="shared" si="16"/>
        <v>252.25115738561533</v>
      </c>
      <c r="C199" s="308">
        <v>2.1828696163979089E-3</v>
      </c>
      <c r="D199" s="306">
        <f t="shared" si="21"/>
        <v>13.995541082489972</v>
      </c>
      <c r="E199" s="307">
        <f t="shared" si="18"/>
        <v>13.995541082489972</v>
      </c>
    </row>
    <row r="200" spans="1:5" ht="18" customHeight="1" x14ac:dyDescent="0.2">
      <c r="A200" s="303">
        <v>44562</v>
      </c>
      <c r="B200" s="304">
        <f t="shared" si="16"/>
        <v>253.13859082542305</v>
      </c>
      <c r="C200" s="308">
        <v>3.5180549774489478E-3</v>
      </c>
      <c r="D200" s="306">
        <f t="shared" ref="D200:D211" si="22">(B200/$B$199-1)*100</f>
        <v>0.35180549774489478</v>
      </c>
      <c r="E200" s="307">
        <f t="shared" si="18"/>
        <v>13.215484966613889</v>
      </c>
    </row>
    <row r="201" spans="1:5" ht="18" customHeight="1" x14ac:dyDescent="0.2">
      <c r="A201" s="303">
        <v>44593</v>
      </c>
      <c r="B201" s="304">
        <f t="shared" si="16"/>
        <v>253.58158839343082</v>
      </c>
      <c r="C201" s="308">
        <v>1.7500198865896266E-3</v>
      </c>
      <c r="D201" s="306">
        <f t="shared" si="22"/>
        <v>0.52742315302112264</v>
      </c>
      <c r="E201" s="307">
        <f t="shared" si="18"/>
        <v>11.929657492937174</v>
      </c>
    </row>
    <row r="202" spans="1:5" ht="18" customHeight="1" x14ac:dyDescent="0.2">
      <c r="A202" s="303">
        <v>44621</v>
      </c>
      <c r="B202" s="304">
        <f t="shared" si="16"/>
        <v>254.21444206201332</v>
      </c>
      <c r="C202" s="308">
        <v>2.4956609531154861E-3</v>
      </c>
      <c r="D202" s="306">
        <f t="shared" si="22"/>
        <v>0.77830551770143863</v>
      </c>
      <c r="E202" s="307">
        <f t="shared" si="18"/>
        <v>10.495255004438642</v>
      </c>
    </row>
    <row r="203" spans="1:5" ht="18" customHeight="1" x14ac:dyDescent="0.2">
      <c r="A203" s="303">
        <v>44652</v>
      </c>
      <c r="B203" s="304">
        <f t="shared" si="16"/>
        <v>256.01519840988908</v>
      </c>
      <c r="C203" s="308">
        <v>7.0836115103030117E-3</v>
      </c>
      <c r="D203" s="306">
        <f t="shared" si="22"/>
        <v>1.4921798826554644</v>
      </c>
      <c r="E203" s="307">
        <f t="shared" si="18"/>
        <v>9.7256212204338546</v>
      </c>
    </row>
    <row r="204" spans="1:5" ht="18" customHeight="1" x14ac:dyDescent="0.2">
      <c r="A204" s="303">
        <v>44682</v>
      </c>
      <c r="B204" s="304">
        <f t="shared" si="16"/>
        <v>266.57666315625596</v>
      </c>
      <c r="C204" s="308">
        <v>4.1253272508679828E-2</v>
      </c>
      <c r="D204" s="306">
        <f t="shared" si="22"/>
        <v>5.6790644368546195</v>
      </c>
      <c r="E204" s="307">
        <f t="shared" si="18"/>
        <v>11.756902612712029</v>
      </c>
    </row>
    <row r="205" spans="1:5" ht="18" customHeight="1" x14ac:dyDescent="0.2">
      <c r="A205" s="303">
        <v>44713</v>
      </c>
      <c r="B205" s="304">
        <f t="shared" si="16"/>
        <v>272.48521513474907</v>
      </c>
      <c r="C205" s="308">
        <v>2.216455074700141E-2</v>
      </c>
      <c r="D205" s="306">
        <f t="shared" si="22"/>
        <v>8.0213934234608875</v>
      </c>
      <c r="E205" s="307">
        <f t="shared" si="18"/>
        <v>10.910825937287761</v>
      </c>
    </row>
    <row r="206" spans="1:5" ht="18" customHeight="1" x14ac:dyDescent="0.2">
      <c r="A206" s="303">
        <v>44743</v>
      </c>
      <c r="B206" s="304">
        <f t="shared" si="16"/>
        <v>274.47582758319953</v>
      </c>
      <c r="C206" s="308">
        <v>7.305396175223855E-3</v>
      </c>
      <c r="D206" s="306">
        <f t="shared" si="22"/>
        <v>8.8105324978190005</v>
      </c>
      <c r="E206" s="307">
        <f t="shared" si="18"/>
        <v>10.658618050240044</v>
      </c>
    </row>
    <row r="207" spans="1:5" ht="18" customHeight="1" x14ac:dyDescent="0.2">
      <c r="A207" s="303">
        <v>44774</v>
      </c>
      <c r="B207" s="304">
        <f t="shared" si="16"/>
        <v>274.44849981114714</v>
      </c>
      <c r="C207" s="308">
        <v>-9.9563492687249067E-5</v>
      </c>
      <c r="D207" s="306">
        <f t="shared" si="22"/>
        <v>8.7996989411623705</v>
      </c>
      <c r="E207" s="307">
        <f t="shared" si="18"/>
        <v>10.064257120773391</v>
      </c>
    </row>
    <row r="208" spans="1:5" ht="18" customHeight="1" x14ac:dyDescent="0.2">
      <c r="A208" s="303">
        <v>44805</v>
      </c>
      <c r="B208" s="304">
        <f t="shared" si="16"/>
        <v>274.2759033560792</v>
      </c>
      <c r="C208" s="308">
        <v>-6.288846730323483E-4</v>
      </c>
      <c r="D208" s="306">
        <f t="shared" si="22"/>
        <v>8.7312764780677519</v>
      </c>
      <c r="E208" s="307">
        <f t="shared" si="18"/>
        <v>9.2295266953448696</v>
      </c>
    </row>
    <row r="209" spans="1:5" ht="18" customHeight="1" x14ac:dyDescent="0.2">
      <c r="A209" s="303">
        <v>44835</v>
      </c>
      <c r="B209" s="304">
        <f t="shared" si="16"/>
        <v>274.38665274808113</v>
      </c>
      <c r="C209" s="308">
        <v>4.0378826811537927E-4</v>
      </c>
      <c r="D209" s="306">
        <f t="shared" si="22"/>
        <v>8.7751808918868015</v>
      </c>
      <c r="E209" s="307">
        <f t="shared" si="18"/>
        <v>9.2748841498691235</v>
      </c>
    </row>
    <row r="210" spans="1:5" ht="18" customHeight="1" x14ac:dyDescent="0.2">
      <c r="A210" s="303">
        <v>44866</v>
      </c>
      <c r="B210" s="304">
        <f t="shared" si="16"/>
        <v>274.7893778099064</v>
      </c>
      <c r="C210" s="308">
        <v>1.467728323487405E-3</v>
      </c>
      <c r="D210" s="306">
        <f t="shared" si="22"/>
        <v>8.9348333057742924</v>
      </c>
      <c r="E210" s="307">
        <f t="shared" si="18"/>
        <v>9.172623843564832</v>
      </c>
    </row>
    <row r="211" spans="1:5" ht="18" customHeight="1" x14ac:dyDescent="0.2">
      <c r="A211" s="303">
        <v>44896</v>
      </c>
      <c r="B211" s="304">
        <f t="shared" si="16"/>
        <v>275.25107332721319</v>
      </c>
      <c r="C211" s="308">
        <v>1.680179637897794E-3</v>
      </c>
      <c r="D211" s="306">
        <f t="shared" si="22"/>
        <v>9.1178633945524279</v>
      </c>
      <c r="E211" s="307">
        <f t="shared" si="18"/>
        <v>9.1178633945524279</v>
      </c>
    </row>
    <row r="212" spans="1:5" ht="18" customHeight="1" x14ac:dyDescent="0.25">
      <c r="A212" s="303">
        <v>44927</v>
      </c>
      <c r="B212" s="304">
        <f t="shared" si="16"/>
        <v>275.07991517593746</v>
      </c>
      <c r="C212" s="305">
        <v>-6.2182555441758769E-4</v>
      </c>
      <c r="D212" s="306">
        <f t="shared" ref="D212:D223" si="23">(B212/$B$211-1)*100</f>
        <v>-6.2182555441758769E-2</v>
      </c>
      <c r="E212" s="307">
        <f t="shared" si="18"/>
        <v>8.6677121330924312</v>
      </c>
    </row>
    <row r="213" spans="1:5" ht="18" customHeight="1" x14ac:dyDescent="0.25">
      <c r="A213" s="303">
        <v>44958</v>
      </c>
      <c r="B213" s="304">
        <f t="shared" si="16"/>
        <v>275.08998330248306</v>
      </c>
      <c r="C213" s="305">
        <v>3.6600733060332402E-5</v>
      </c>
      <c r="D213" s="306">
        <f t="shared" si="23"/>
        <v>-5.8524758062838966E-2</v>
      </c>
      <c r="E213" s="307">
        <f t="shared" si="18"/>
        <v>8.4818440665660901</v>
      </c>
    </row>
    <row r="214" spans="1:5" ht="18" customHeight="1" x14ac:dyDescent="0.25">
      <c r="A214" s="303">
        <v>44986</v>
      </c>
      <c r="B214" s="304">
        <f t="shared" ref="B214:B236" si="24">B213*(1+C214)</f>
        <v>274.59233019037049</v>
      </c>
      <c r="C214" s="305">
        <v>-1.8090557356477133E-3</v>
      </c>
      <c r="D214" s="306">
        <f t="shared" si="23"/>
        <v>-0.23932445707836036</v>
      </c>
      <c r="E214" s="307">
        <f t="shared" si="18"/>
        <v>8.0160229934482565</v>
      </c>
    </row>
    <row r="215" spans="1:5" ht="18" customHeight="1" x14ac:dyDescent="0.25">
      <c r="A215" s="303">
        <v>45017</v>
      </c>
      <c r="B215" s="304">
        <f t="shared" si="24"/>
        <v>275.38915049126757</v>
      </c>
      <c r="C215" s="305">
        <v>2.9018301434153848E-3</v>
      </c>
      <c r="D215" s="306">
        <f t="shared" si="23"/>
        <v>5.0164078339576257E-2</v>
      </c>
      <c r="E215" s="307">
        <f t="shared" si="18"/>
        <v>7.5675007584354859</v>
      </c>
    </row>
    <row r="216" spans="1:5" ht="18" customHeight="1" x14ac:dyDescent="0.25">
      <c r="A216" s="303">
        <v>45047</v>
      </c>
      <c r="B216" s="304">
        <f t="shared" si="24"/>
        <v>279.35743065403835</v>
      </c>
      <c r="C216" s="305">
        <v>1.440971859527429E-2</v>
      </c>
      <c r="D216" s="306">
        <f t="shared" si="23"/>
        <v>1.49185878811946</v>
      </c>
      <c r="E216" s="307">
        <f t="shared" si="18"/>
        <v>4.7944059868026967</v>
      </c>
    </row>
    <row r="217" spans="1:5" ht="18" customHeight="1" x14ac:dyDescent="0.25">
      <c r="A217" s="303">
        <v>45078</v>
      </c>
      <c r="B217" s="304">
        <f t="shared" si="24"/>
        <v>281.13805074882282</v>
      </c>
      <c r="C217" s="305">
        <v>6.3739850793145258E-3</v>
      </c>
      <c r="D217" s="306">
        <f t="shared" si="23"/>
        <v>2.1387663817068248</v>
      </c>
      <c r="E217" s="307">
        <f t="shared" si="18"/>
        <v>3.1755248114268442</v>
      </c>
    </row>
    <row r="218" spans="1:5" ht="18" customHeight="1" x14ac:dyDescent="0.25">
      <c r="A218" s="303">
        <v>45108</v>
      </c>
      <c r="B218" s="304">
        <f t="shared" si="24"/>
        <v>281.40269864659371</v>
      </c>
      <c r="C218" s="305">
        <v>9.4134499782572156E-4</v>
      </c>
      <c r="D218" s="306">
        <f t="shared" si="23"/>
        <v>2.2349141985243293</v>
      </c>
      <c r="E218" s="307">
        <f t="shared" si="18"/>
        <v>2.523672530432397</v>
      </c>
    </row>
    <row r="219" spans="1:5" ht="18" customHeight="1" x14ac:dyDescent="0.25">
      <c r="A219" s="303">
        <v>45139</v>
      </c>
      <c r="B219" s="304">
        <f t="shared" si="24"/>
        <v>281.55372054477817</v>
      </c>
      <c r="C219" s="305">
        <v>5.3667537273383026E-4</v>
      </c>
      <c r="D219" s="306">
        <f t="shared" si="23"/>
        <v>2.2897811592082373</v>
      </c>
      <c r="E219" s="307">
        <f t="shared" si="18"/>
        <v>2.5889085706499504</v>
      </c>
    </row>
    <row r="220" spans="1:5" ht="18" customHeight="1" x14ac:dyDescent="0.25">
      <c r="A220" s="303">
        <v>45170</v>
      </c>
      <c r="B220" s="304">
        <f t="shared" si="24"/>
        <v>281.41564338072379</v>
      </c>
      <c r="C220" s="305">
        <v>-4.9041143475991866E-4</v>
      </c>
      <c r="D220" s="306">
        <f t="shared" si="23"/>
        <v>2.2396170808686611</v>
      </c>
      <c r="E220" s="307">
        <f t="shared" si="18"/>
        <v>2.6031233284738997</v>
      </c>
    </row>
    <row r="221" spans="1:5" ht="18" customHeight="1" x14ac:dyDescent="0.25">
      <c r="A221" s="303">
        <v>45200</v>
      </c>
      <c r="B221" s="304">
        <f t="shared" si="24"/>
        <v>281.27468960908493</v>
      </c>
      <c r="C221" s="305">
        <v>-5.0087397397502453E-4</v>
      </c>
      <c r="D221" s="306">
        <f t="shared" si="23"/>
        <v>2.1884079175636728</v>
      </c>
      <c r="E221" s="307">
        <f t="shared" si="18"/>
        <v>2.5103396218502771</v>
      </c>
    </row>
    <row r="222" spans="1:5" ht="18" customHeight="1" x14ac:dyDescent="0.25">
      <c r="A222" s="303">
        <v>45231</v>
      </c>
      <c r="B222" s="304">
        <f t="shared" si="24"/>
        <v>281.60981439267522</v>
      </c>
      <c r="C222" s="305">
        <v>1.1914501943137701E-3</v>
      </c>
      <c r="D222" s="306">
        <f t="shared" si="23"/>
        <v>2.3101603160336825</v>
      </c>
      <c r="E222" s="307">
        <f t="shared" si="18"/>
        <v>2.4820597641467268</v>
      </c>
    </row>
    <row r="223" spans="1:5" ht="18" customHeight="1" x14ac:dyDescent="0.25">
      <c r="A223" s="303">
        <v>45261</v>
      </c>
      <c r="B223" s="304">
        <f t="shared" si="24"/>
        <v>281.6126910002597</v>
      </c>
      <c r="C223" s="305">
        <v>1.0214869786029368E-5</v>
      </c>
      <c r="D223" s="306">
        <f t="shared" si="23"/>
        <v>2.3112054009990946</v>
      </c>
      <c r="E223" s="307">
        <f t="shared" si="18"/>
        <v>2.3112054009990946</v>
      </c>
    </row>
    <row r="224" spans="1:5" ht="18" customHeight="1" x14ac:dyDescent="0.25">
      <c r="A224" s="303">
        <v>45292</v>
      </c>
      <c r="B224" s="304">
        <f t="shared" si="24"/>
        <v>281.60406117750631</v>
      </c>
      <c r="C224" s="305">
        <v>-3.0644296330262222E-5</v>
      </c>
      <c r="D224" s="306">
        <f t="shared" ref="D224:D235" si="25">(B224/$B$223-1)*100</f>
        <v>-3.0644296330373244E-3</v>
      </c>
      <c r="E224" s="307">
        <f t="shared" si="18"/>
        <v>2.3717275023136697</v>
      </c>
    </row>
    <row r="225" spans="1:5" ht="18" customHeight="1" x14ac:dyDescent="0.25">
      <c r="A225" s="303">
        <v>45323</v>
      </c>
      <c r="B225" s="304">
        <f t="shared" si="24"/>
        <v>281.8888453283684</v>
      </c>
      <c r="C225" s="305">
        <v>1.0112927692564888E-3</v>
      </c>
      <c r="D225" s="306">
        <f t="shared" si="25"/>
        <v>9.8061748257083359E-2</v>
      </c>
      <c r="E225" s="307">
        <f t="shared" ref="E225:E236" si="26">(B225/B213-1)*100</f>
        <v>2.4715047579211502</v>
      </c>
    </row>
    <row r="226" spans="1:5" ht="18" customHeight="1" x14ac:dyDescent="0.25">
      <c r="A226" s="303">
        <v>45352</v>
      </c>
      <c r="B226" s="304">
        <f t="shared" si="24"/>
        <v>282.16356135268495</v>
      </c>
      <c r="C226" s="305">
        <v>9.7455443473304371E-4</v>
      </c>
      <c r="D226" s="306">
        <f t="shared" si="25"/>
        <v>0.19561275824204749</v>
      </c>
      <c r="E226" s="307">
        <f t="shared" si="26"/>
        <v>2.7572624322993455</v>
      </c>
    </row>
    <row r="227" spans="1:5" ht="18" customHeight="1" x14ac:dyDescent="0.25">
      <c r="A227" s="303">
        <v>45383</v>
      </c>
      <c r="B227" s="304">
        <f t="shared" si="24"/>
        <v>282.29444699777815</v>
      </c>
      <c r="C227" s="305">
        <v>4.638644496324229E-4</v>
      </c>
      <c r="D227" s="306">
        <f t="shared" si="25"/>
        <v>0.24208994100973769</v>
      </c>
      <c r="E227" s="307">
        <f t="shared" si="26"/>
        <v>2.5074686109427979</v>
      </c>
    </row>
    <row r="228" spans="1:5" ht="18" customHeight="1" x14ac:dyDescent="0.25">
      <c r="A228" s="303">
        <v>45413</v>
      </c>
      <c r="B228" s="304">
        <f t="shared" si="24"/>
        <v>285.75212931430627</v>
      </c>
      <c r="C228" s="305">
        <v>1.2248495687041672E-2</v>
      </c>
      <c r="D228" s="306">
        <f t="shared" si="25"/>
        <v>1.469904747312234</v>
      </c>
      <c r="E228" s="307">
        <f t="shared" si="26"/>
        <v>2.2890741246067714</v>
      </c>
    </row>
    <row r="229" spans="1:5" ht="18" customHeight="1" x14ac:dyDescent="0.25">
      <c r="A229" s="303">
        <v>45444</v>
      </c>
      <c r="B229" s="304">
        <f t="shared" si="24"/>
        <v>288.01889609086544</v>
      </c>
      <c r="C229" s="305">
        <v>7.9326330200881756E-3</v>
      </c>
      <c r="D229" s="306">
        <f t="shared" si="25"/>
        <v>2.2748282642559792</v>
      </c>
      <c r="E229" s="307">
        <f t="shared" si="26"/>
        <v>2.4474969943468095</v>
      </c>
    </row>
    <row r="230" spans="1:5" ht="18" customHeight="1" x14ac:dyDescent="0.25">
      <c r="A230" s="303">
        <v>45474</v>
      </c>
      <c r="B230" s="304">
        <f t="shared" si="24"/>
        <v>289.21268823841882</v>
      </c>
      <c r="C230" s="305">
        <v>4.1448396746051053E-3</v>
      </c>
      <c r="D230" s="306">
        <f t="shared" si="25"/>
        <v>2.6987410301590797</v>
      </c>
      <c r="E230" s="307">
        <f t="shared" si="26"/>
        <v>2.7753783561377476</v>
      </c>
    </row>
    <row r="231" spans="1:5" ht="18" customHeight="1" x14ac:dyDescent="0.25">
      <c r="A231" s="303">
        <v>45505</v>
      </c>
      <c r="B231" s="304">
        <f t="shared" si="24"/>
        <v>290.2338839309042</v>
      </c>
      <c r="C231" s="305">
        <v>3.5309505219340842E-3</v>
      </c>
      <c r="D231" s="306">
        <f t="shared" si="25"/>
        <v>3.0613652034014782</v>
      </c>
      <c r="E231" s="307">
        <f t="shared" si="26"/>
        <v>3.0829510508086244</v>
      </c>
    </row>
    <row r="232" spans="1:5" ht="18" customHeight="1" x14ac:dyDescent="0.25">
      <c r="A232" s="303">
        <v>45536</v>
      </c>
      <c r="B232" s="304">
        <f t="shared" si="24"/>
        <v>291.18460273757017</v>
      </c>
      <c r="C232" s="305">
        <v>3.2756988735758164E-3</v>
      </c>
      <c r="D232" s="306">
        <f t="shared" si="25"/>
        <v>3.3989632013074367</v>
      </c>
      <c r="E232" s="307">
        <f t="shared" si="26"/>
        <v>3.4713632971817621</v>
      </c>
    </row>
    <row r="233" spans="1:5" ht="18" customHeight="1" x14ac:dyDescent="0.25">
      <c r="A233" s="303">
        <v>45566</v>
      </c>
      <c r="B233" s="304">
        <f t="shared" si="24"/>
        <v>292.26333058174492</v>
      </c>
      <c r="C233" s="305">
        <v>3.7046184243023639E-3</v>
      </c>
      <c r="D233" s="306">
        <f t="shared" si="25"/>
        <v>3.7820169054367581</v>
      </c>
      <c r="E233" s="307">
        <f t="shared" si="26"/>
        <v>3.9067293925137747</v>
      </c>
    </row>
    <row r="234" spans="1:5" ht="18" customHeight="1" x14ac:dyDescent="0.25">
      <c r="A234" s="303">
        <v>45597</v>
      </c>
      <c r="B234" s="304">
        <f t="shared" si="24"/>
        <v>292.88180121240504</v>
      </c>
      <c r="C234" s="305">
        <v>2.1161417322832499E-3</v>
      </c>
      <c r="D234" s="306">
        <f t="shared" si="25"/>
        <v>4.0016343624708739</v>
      </c>
      <c r="E234" s="307">
        <f t="shared" si="26"/>
        <v>4.0026967256234336</v>
      </c>
    </row>
    <row r="235" spans="1:5" ht="18" customHeight="1" x14ac:dyDescent="0.25">
      <c r="A235" s="303">
        <v>45627</v>
      </c>
      <c r="B235" s="304">
        <f t="shared" si="24"/>
        <v>293.34637333729631</v>
      </c>
      <c r="C235" s="305">
        <v>1.5862102833570368E-3</v>
      </c>
      <c r="D235" s="306">
        <f t="shared" si="25"/>
        <v>4.1666028243825703</v>
      </c>
      <c r="E235" s="307">
        <f t="shared" si="26"/>
        <v>4.1666028243825703</v>
      </c>
    </row>
    <row r="236" spans="1:5" ht="18" customHeight="1" x14ac:dyDescent="0.25">
      <c r="A236" s="303">
        <v>45658</v>
      </c>
      <c r="B236" s="304">
        <f t="shared" si="24"/>
        <v>294.0310059423993</v>
      </c>
      <c r="C236" s="305">
        <v>2.3338710389160244E-3</v>
      </c>
      <c r="D236" s="306">
        <f>(B236/$B$235-1)*100</f>
        <v>0.23338710389160244</v>
      </c>
      <c r="E236" s="307">
        <f t="shared" si="26"/>
        <v>4.4129139022110131</v>
      </c>
    </row>
    <row r="237" spans="1:5" ht="18" customHeight="1" x14ac:dyDescent="0.25">
      <c r="A237" s="303">
        <v>45689</v>
      </c>
      <c r="B237" s="304">
        <f t="shared" ref="B237" si="27">B236*(1+C237)</f>
        <v>294.28558571362453</v>
      </c>
      <c r="C237" s="305">
        <v>8.6582627709375082E-4</v>
      </c>
      <c r="D237" s="306">
        <f>(B237/$B$235-1)*100</f>
        <v>0.32017180428827174</v>
      </c>
      <c r="E237" s="307">
        <f t="shared" ref="E237" si="28">(B237/B225-1)*100</f>
        <v>4.3977406664727381</v>
      </c>
    </row>
    <row r="238" spans="1:5" ht="18" customHeight="1" x14ac:dyDescent="0.25">
      <c r="A238" s="303">
        <v>45717</v>
      </c>
      <c r="B238" s="304">
        <f t="shared" ref="B238" si="29">B237*(1+C238)</f>
        <v>294.63365523134485</v>
      </c>
      <c r="C238" s="305">
        <v>1.1827610138508415E-3</v>
      </c>
      <c r="D238" s="306">
        <f>(B238/$B$235-1)*100</f>
        <v>0.43882659240119803</v>
      </c>
      <c r="E238" s="307">
        <f t="shared" ref="E238" si="30">(B238/B226-1)*100</f>
        <v>4.4194558003445072</v>
      </c>
    </row>
    <row r="239" spans="1:5" ht="18" customHeight="1" thickBot="1" x14ac:dyDescent="0.3">
      <c r="A239" s="309">
        <v>45748</v>
      </c>
      <c r="B239" s="310">
        <f t="shared" ref="B239" si="31">B238*(1+C239)</f>
        <v>295.37869659572158</v>
      </c>
      <c r="C239" s="311">
        <v>2.5287042099508827E-3</v>
      </c>
      <c r="D239" s="312">
        <f>(B239/$B$235-1)*100</f>
        <v>0.69280667604791901</v>
      </c>
      <c r="E239" s="313">
        <f t="shared" ref="E239" si="32">(B239/B227-1)*100</f>
        <v>4.6349652772469829</v>
      </c>
    </row>
    <row r="240" spans="1:5" ht="18" customHeight="1" x14ac:dyDescent="0.25">
      <c r="A240" s="314" t="s">
        <v>107</v>
      </c>
    </row>
    <row r="241" spans="1:3" ht="18" customHeight="1" x14ac:dyDescent="0.25">
      <c r="A241" s="316" t="s">
        <v>108</v>
      </c>
      <c r="C241" s="224"/>
    </row>
  </sheetData>
  <mergeCells count="5">
    <mergeCell ref="A4:B4"/>
    <mergeCell ref="C4:E4"/>
    <mergeCell ref="A5:B5"/>
    <mergeCell ref="C5:E5"/>
    <mergeCell ref="A1:E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7546-B90B-4478-A27D-7700A022E4E8}">
  <dimension ref="A1:G400"/>
  <sheetViews>
    <sheetView showGridLines="0" workbookViewId="0">
      <pane ySplit="2655" topLeftCell="A380" activePane="bottomLeft"/>
      <selection activeCell="A379" sqref="A379"/>
      <selection pane="bottomLeft" activeCell="H395" sqref="H395"/>
    </sheetView>
  </sheetViews>
  <sheetFormatPr defaultColWidth="12.42578125" defaultRowHeight="12.75" x14ac:dyDescent="0.25"/>
  <cols>
    <col min="1" max="1" width="10.28515625" style="224" customWidth="1"/>
    <col min="2" max="2" width="11.28515625" style="224" customWidth="1"/>
    <col min="3" max="6" width="13.85546875" style="224" customWidth="1"/>
    <col min="7" max="7" width="16.42578125" style="224" customWidth="1"/>
    <col min="8" max="16384" width="12.42578125" style="224"/>
  </cols>
  <sheetData>
    <row r="1" spans="1:7" s="55" customFormat="1" ht="21" customHeight="1" x14ac:dyDescent="0.25">
      <c r="A1" s="714" t="s">
        <v>110</v>
      </c>
      <c r="B1" s="714"/>
      <c r="C1" s="714"/>
      <c r="D1" s="714"/>
      <c r="E1" s="714"/>
      <c r="F1" s="714"/>
      <c r="G1" s="714"/>
    </row>
    <row r="2" spans="1:7" s="55" customFormat="1" ht="15.75" customHeight="1" x14ac:dyDescent="0.25">
      <c r="A2" s="714"/>
      <c r="B2" s="714"/>
      <c r="C2" s="714"/>
      <c r="D2" s="714"/>
      <c r="E2" s="714"/>
      <c r="F2" s="714"/>
      <c r="G2" s="714"/>
    </row>
    <row r="3" spans="1:7" s="55" customFormat="1" ht="15" customHeight="1" thickBot="1" x14ac:dyDescent="0.3">
      <c r="A3" s="715"/>
      <c r="B3" s="715"/>
      <c r="C3" s="715"/>
      <c r="D3" s="715"/>
      <c r="E3" s="715"/>
      <c r="F3" s="715"/>
      <c r="G3" s="715"/>
    </row>
    <row r="4" spans="1:7" s="55" customFormat="1" ht="17.25" customHeight="1" thickBot="1" x14ac:dyDescent="0.3">
      <c r="A4" s="684" t="s">
        <v>111</v>
      </c>
      <c r="B4" s="685"/>
      <c r="C4" s="686"/>
      <c r="D4" s="687" t="s">
        <v>112</v>
      </c>
      <c r="E4" s="688"/>
      <c r="F4" s="688"/>
      <c r="G4" s="688"/>
    </row>
    <row r="5" spans="1:7" s="55" customFormat="1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695" t="s">
        <v>5</v>
      </c>
    </row>
    <row r="6" spans="1:7" s="55" customFormat="1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6"/>
    </row>
    <row r="7" spans="1:7" ht="18" hidden="1" customHeight="1" x14ac:dyDescent="0.25">
      <c r="A7" s="317">
        <v>1993</v>
      </c>
      <c r="B7" s="318" t="s">
        <v>13</v>
      </c>
      <c r="C7" s="319">
        <v>100</v>
      </c>
      <c r="D7" s="320"/>
      <c r="E7" s="321"/>
      <c r="F7" s="322"/>
      <c r="G7" s="323">
        <f>+$C$394/C7</f>
        <v>4212.394076684931</v>
      </c>
    </row>
    <row r="8" spans="1:7" ht="18" hidden="1" customHeight="1" x14ac:dyDescent="0.25">
      <c r="A8" s="324">
        <v>1993</v>
      </c>
      <c r="B8" s="325" t="s">
        <v>14</v>
      </c>
      <c r="C8" s="326">
        <f>+C7*(1+D8/100)</f>
        <v>127.61025912036614</v>
      </c>
      <c r="D8" s="327">
        <f>(753.388/590.382-1)*100</f>
        <v>27.610259120366145</v>
      </c>
      <c r="E8" s="328"/>
      <c r="F8" s="329"/>
      <c r="G8" s="330">
        <f>+$C$394/C8</f>
        <v>3300.9838752162273</v>
      </c>
    </row>
    <row r="9" spans="1:7" ht="18" hidden="1" customHeight="1" x14ac:dyDescent="0.25">
      <c r="A9" s="324">
        <v>1993</v>
      </c>
      <c r="B9" s="325" t="s">
        <v>15</v>
      </c>
      <c r="C9" s="326">
        <f t="shared" ref="C9:C72" si="0">+C8*(1+D9/100)</f>
        <v>161.83064434711443</v>
      </c>
      <c r="D9" s="327">
        <f>+(590.382/465.541-1)*100</f>
        <v>26.816327670387775</v>
      </c>
      <c r="E9" s="328"/>
      <c r="F9" s="329"/>
      <c r="G9" s="330">
        <f>+$C$394/C9</f>
        <v>2602.964409910935</v>
      </c>
    </row>
    <row r="10" spans="1:7" ht="18" hidden="1" customHeight="1" x14ac:dyDescent="0.25">
      <c r="A10" s="324">
        <v>1993</v>
      </c>
      <c r="B10" s="325" t="s">
        <v>16</v>
      </c>
      <c r="C10" s="326">
        <f t="shared" si="0"/>
        <v>204.61824265600555</v>
      </c>
      <c r="D10" s="327">
        <f>100*(465.541/368.192-1)</f>
        <v>26.439737962802013</v>
      </c>
      <c r="E10" s="328"/>
      <c r="F10" s="329"/>
      <c r="G10" s="330">
        <f>+$C$394/C10</f>
        <v>2058.6600793784587</v>
      </c>
    </row>
    <row r="11" spans="1:7" ht="18" hidden="1" customHeight="1" x14ac:dyDescent="0.25">
      <c r="A11" s="324">
        <v>1993</v>
      </c>
      <c r="B11" s="325" t="s">
        <v>17</v>
      </c>
      <c r="C11" s="326">
        <f t="shared" si="0"/>
        <v>263.67406650404058</v>
      </c>
      <c r="D11" s="327">
        <f>100*(368.192/285.727-1)</f>
        <v>28.861465664777942</v>
      </c>
      <c r="E11" s="328"/>
      <c r="F11" s="329"/>
      <c r="G11" s="330">
        <f>+$C$394/C11</f>
        <v>1597.5761790059773</v>
      </c>
    </row>
    <row r="12" spans="1:7" ht="18" hidden="1" customHeight="1" x14ac:dyDescent="0.25">
      <c r="A12" s="324">
        <v>1993</v>
      </c>
      <c r="B12" s="325" t="s">
        <v>18</v>
      </c>
      <c r="C12" s="326">
        <f t="shared" si="0"/>
        <v>340.99058119588483</v>
      </c>
      <c r="D12" s="327">
        <f>100*(285.727/220.941-1)</f>
        <v>29.322760374941701</v>
      </c>
      <c r="E12" s="328"/>
      <c r="F12" s="329"/>
      <c r="G12" s="330">
        <f>+$C$394/C12</f>
        <v>1235.340302336705</v>
      </c>
    </row>
    <row r="13" spans="1:7" ht="18" hidden="1" customHeight="1" x14ac:dyDescent="0.25">
      <c r="A13" s="324">
        <v>1993</v>
      </c>
      <c r="B13" s="325" t="s">
        <v>19</v>
      </c>
      <c r="C13" s="326">
        <f t="shared" si="0"/>
        <v>445.77852726250694</v>
      </c>
      <c r="D13" s="327">
        <f>100*(220.941/169.005-1)</f>
        <v>30.730451761782195</v>
      </c>
      <c r="E13" s="328"/>
      <c r="F13" s="329"/>
      <c r="G13" s="330">
        <f>+$C$394/C13</f>
        <v>944.9522170915078</v>
      </c>
    </row>
    <row r="14" spans="1:7" ht="18" hidden="1" customHeight="1" x14ac:dyDescent="0.25">
      <c r="A14" s="324">
        <v>1993</v>
      </c>
      <c r="B14" s="325" t="s">
        <v>20</v>
      </c>
      <c r="C14" s="326">
        <f t="shared" si="0"/>
        <v>584.06698193658406</v>
      </c>
      <c r="D14" s="327">
        <f>100*(169.005/128.99-1)</f>
        <v>31.021784634467785</v>
      </c>
      <c r="E14" s="328"/>
      <c r="F14" s="329"/>
      <c r="G14" s="330">
        <f>+$C$394/C14</f>
        <v>721.21763547015541</v>
      </c>
    </row>
    <row r="15" spans="1:7" ht="18" hidden="1" customHeight="1" x14ac:dyDescent="0.25">
      <c r="A15" s="324">
        <v>1993</v>
      </c>
      <c r="B15" s="325" t="s">
        <v>21</v>
      </c>
      <c r="C15" s="326">
        <f t="shared" si="0"/>
        <v>782.6879223740732</v>
      </c>
      <c r="D15" s="327">
        <f>100*(128.99/96.2565-1)</f>
        <v>34.006534623635808</v>
      </c>
      <c r="E15" s="328"/>
      <c r="F15" s="329"/>
      <c r="G15" s="330">
        <f>+$C$394/C15</f>
        <v>538.19587044447644</v>
      </c>
    </row>
    <row r="16" spans="1:7" ht="18" hidden="1" customHeight="1" x14ac:dyDescent="0.25">
      <c r="A16" s="324">
        <v>1993</v>
      </c>
      <c r="B16" s="325" t="s">
        <v>22</v>
      </c>
      <c r="C16" s="326">
        <f t="shared" si="0"/>
        <v>1084.8528571078864</v>
      </c>
      <c r="D16" s="327">
        <f>100*(96.2565/69.4461-1)</f>
        <v>38.606055631633751</v>
      </c>
      <c r="E16" s="328"/>
      <c r="F16" s="329"/>
      <c r="G16" s="330">
        <f>+$C$394/C16</f>
        <v>388.29174381443482</v>
      </c>
    </row>
    <row r="17" spans="1:7" ht="18" hidden="1" customHeight="1" x14ac:dyDescent="0.25">
      <c r="A17" s="324">
        <v>1993</v>
      </c>
      <c r="B17" s="325" t="s">
        <v>23</v>
      </c>
      <c r="C17" s="326">
        <f t="shared" si="0"/>
        <v>1452.9724308843522</v>
      </c>
      <c r="D17" s="327">
        <f>100*(69.4461/51.8515-1)</f>
        <v>33.932673114567557</v>
      </c>
      <c r="E17" s="328"/>
      <c r="F17" s="329"/>
      <c r="G17" s="330">
        <f>+$C$394/C17</f>
        <v>289.91562311482096</v>
      </c>
    </row>
    <row r="18" spans="1:7" ht="18" hidden="1" customHeight="1" x14ac:dyDescent="0.25">
      <c r="A18" s="324">
        <v>1993</v>
      </c>
      <c r="B18" s="325" t="s">
        <v>12</v>
      </c>
      <c r="C18" s="326">
        <f t="shared" si="0"/>
        <v>1988.2665596951308</v>
      </c>
      <c r="D18" s="327">
        <f>100*(51.8515/37.8917-1)</f>
        <v>36.84131353304285</v>
      </c>
      <c r="E18" s="328"/>
      <c r="F18" s="329"/>
      <c r="G18" s="330">
        <f>+$C$394/C18</f>
        <v>211.86264266954402</v>
      </c>
    </row>
    <row r="19" spans="1:7" ht="18" hidden="1" customHeight="1" x14ac:dyDescent="0.25">
      <c r="A19" s="324">
        <v>1994</v>
      </c>
      <c r="B19" s="325" t="s">
        <v>13</v>
      </c>
      <c r="C19" s="326">
        <f>+C18*(1+D19/100)</f>
        <v>2733.5590170060991</v>
      </c>
      <c r="D19" s="327">
        <f>100*(37.8917/27.5607-1)</f>
        <v>37.484534137376777</v>
      </c>
      <c r="E19" s="328">
        <f>100*(C19/1988.27-1)</f>
        <v>37.484296247798298</v>
      </c>
      <c r="F19" s="329">
        <f t="shared" ref="F19:F82" si="1">100*(C19/C7-1)</f>
        <v>2633.5590170060991</v>
      </c>
      <c r="G19" s="330">
        <f>+$C$394/C19</f>
        <v>154.09925487171336</v>
      </c>
    </row>
    <row r="20" spans="1:7" ht="18" hidden="1" customHeight="1" x14ac:dyDescent="0.25">
      <c r="A20" s="324">
        <v>1994</v>
      </c>
      <c r="B20" s="325" t="s">
        <v>14</v>
      </c>
      <c r="C20" s="326">
        <f t="shared" si="0"/>
        <v>3885.686581944215</v>
      </c>
      <c r="D20" s="327">
        <f>100*(27.5607/19.3888-1)</f>
        <v>42.14752847004457</v>
      </c>
      <c r="E20" s="328">
        <f t="shared" ref="E20:E30" si="2">100*(C20/1988.27-1)</f>
        <v>95.43052915067949</v>
      </c>
      <c r="F20" s="329">
        <f t="shared" si="1"/>
        <v>2944.9641029872914</v>
      </c>
      <c r="G20" s="330">
        <f>+$C$394/C20</f>
        <v>108.40797341347194</v>
      </c>
    </row>
    <row r="21" spans="1:7" ht="18" hidden="1" customHeight="1" x14ac:dyDescent="0.25">
      <c r="A21" s="324">
        <v>1994</v>
      </c>
      <c r="B21" s="325" t="s">
        <v>15</v>
      </c>
      <c r="C21" s="326">
        <f t="shared" si="0"/>
        <v>5461.6683944585002</v>
      </c>
      <c r="D21" s="327">
        <f>100*(19.3888/13.7941-1)</f>
        <v>40.558644637924914</v>
      </c>
      <c r="E21" s="328">
        <f t="shared" si="2"/>
        <v>174.69450298291983</v>
      </c>
      <c r="F21" s="329">
        <f t="shared" si="1"/>
        <v>3274.9284114222746</v>
      </c>
      <c r="G21" s="330">
        <f>+$C$394/C21</f>
        <v>77.12650736831435</v>
      </c>
    </row>
    <row r="22" spans="1:7" ht="18" hidden="1" customHeight="1" x14ac:dyDescent="0.25">
      <c r="A22" s="324">
        <v>1994</v>
      </c>
      <c r="B22" s="325" t="s">
        <v>16</v>
      </c>
      <c r="C22" s="326">
        <f t="shared" si="0"/>
        <v>7786.0788810356244</v>
      </c>
      <c r="D22" s="327">
        <f>100*(13.7941/9.67609-1)</f>
        <v>42.558616135236434</v>
      </c>
      <c r="E22" s="328">
        <f t="shared" si="2"/>
        <v>291.60068205201628</v>
      </c>
      <c r="F22" s="329">
        <f t="shared" si="1"/>
        <v>3705.1733706486816</v>
      </c>
      <c r="G22" s="330">
        <f>+$C$394/C22</f>
        <v>54.101610593041428</v>
      </c>
    </row>
    <row r="23" spans="1:7" ht="18" hidden="1" customHeight="1" x14ac:dyDescent="0.25">
      <c r="A23" s="324">
        <v>1994</v>
      </c>
      <c r="B23" s="325" t="s">
        <v>17</v>
      </c>
      <c r="C23" s="326">
        <f t="shared" si="0"/>
        <v>11422.16912478168</v>
      </c>
      <c r="D23" s="327">
        <f>100*(9.67609/6.59584-1)</f>
        <v>46.699889627401525</v>
      </c>
      <c r="E23" s="328">
        <f t="shared" si="2"/>
        <v>474.47776835045943</v>
      </c>
      <c r="F23" s="329">
        <f t="shared" si="1"/>
        <v>4231.9273966621386</v>
      </c>
      <c r="G23" s="330">
        <f>+$C$394/C23</f>
        <v>36.879107905569953</v>
      </c>
    </row>
    <row r="24" spans="1:7" ht="18" hidden="1" customHeight="1" x14ac:dyDescent="0.25">
      <c r="A24" s="324">
        <v>1994</v>
      </c>
      <c r="B24" s="325" t="s">
        <v>18</v>
      </c>
      <c r="C24" s="326">
        <f t="shared" si="0"/>
        <v>16810.355022324165</v>
      </c>
      <c r="D24" s="327">
        <f>100*(6.59584/4.48169-1)</f>
        <v>47.173053022408951</v>
      </c>
      <c r="E24" s="328">
        <f t="shared" si="2"/>
        <v>745.47647061637326</v>
      </c>
      <c r="F24" s="329">
        <f t="shared" si="1"/>
        <v>4829.8590487070724</v>
      </c>
      <c r="G24" s="330">
        <f>+$C$394/C24</f>
        <v>25.058329054269635</v>
      </c>
    </row>
    <row r="25" spans="1:7" ht="18" hidden="1" customHeight="1" x14ac:dyDescent="0.25">
      <c r="A25" s="324">
        <v>1994</v>
      </c>
      <c r="B25" s="325" t="s">
        <v>19</v>
      </c>
      <c r="C25" s="326">
        <f t="shared" si="0"/>
        <v>24813.762075246119</v>
      </c>
      <c r="D25" s="327">
        <f>100*(4.48169/3.03617-1)</f>
        <v>47.609982313243357</v>
      </c>
      <c r="E25" s="328">
        <f t="shared" si="2"/>
        <v>1148.0076687394628</v>
      </c>
      <c r="F25" s="329">
        <f t="shared" si="1"/>
        <v>5466.3879163551464</v>
      </c>
      <c r="G25" s="330">
        <f>+$C$394/C25</f>
        <v>16.976039602181725</v>
      </c>
    </row>
    <row r="26" spans="1:7" ht="18" hidden="1" customHeight="1" x14ac:dyDescent="0.25">
      <c r="A26" s="324">
        <v>1994</v>
      </c>
      <c r="B26" s="325" t="s">
        <v>20</v>
      </c>
      <c r="C26" s="326">
        <f t="shared" si="0"/>
        <v>26190.86190653322</v>
      </c>
      <c r="D26" s="327">
        <f>100*(3.03617/2.87653-1)</f>
        <v>5.54974222413811</v>
      </c>
      <c r="E26" s="328">
        <f t="shared" si="2"/>
        <v>1217.2688772919785</v>
      </c>
      <c r="F26" s="329">
        <f t="shared" si="1"/>
        <v>4384.2223095187619</v>
      </c>
      <c r="G26" s="330">
        <f>+$C$394/C26</f>
        <v>16.083449608178661</v>
      </c>
    </row>
    <row r="27" spans="1:7" ht="18" hidden="1" customHeight="1" x14ac:dyDescent="0.25">
      <c r="A27" s="324">
        <v>1994</v>
      </c>
      <c r="B27" s="325" t="s">
        <v>21</v>
      </c>
      <c r="C27" s="326">
        <f t="shared" si="0"/>
        <v>26883.191493157774</v>
      </c>
      <c r="D27" s="327">
        <f>100*(2.87653/2.80245-1)</f>
        <v>2.6434013095684161</v>
      </c>
      <c r="E27" s="328">
        <f t="shared" si="2"/>
        <v>1252.0895800448518</v>
      </c>
      <c r="F27" s="329">
        <f t="shared" si="1"/>
        <v>3334.7267569448172</v>
      </c>
      <c r="G27" s="330">
        <f>+$C$394/C27</f>
        <v>15.669248488435819</v>
      </c>
    </row>
    <row r="28" spans="1:7" ht="18" hidden="1" customHeight="1" x14ac:dyDescent="0.25">
      <c r="A28" s="324">
        <v>1994</v>
      </c>
      <c r="B28" s="325" t="s">
        <v>22</v>
      </c>
      <c r="C28" s="326">
        <f t="shared" si="0"/>
        <v>27675.906809983175</v>
      </c>
      <c r="D28" s="327">
        <f>+(2.80245/2.72218-1)*100</f>
        <v>2.948739613104201</v>
      </c>
      <c r="E28" s="328">
        <f t="shared" si="2"/>
        <v>1291.9591810962884</v>
      </c>
      <c r="F28" s="329">
        <f t="shared" si="1"/>
        <v>2451.1207928939311</v>
      </c>
      <c r="G28" s="330">
        <f>+$C$394/C28</f>
        <v>15.22043742091749</v>
      </c>
    </row>
    <row r="29" spans="1:7" ht="18" hidden="1" customHeight="1" x14ac:dyDescent="0.25">
      <c r="A29" s="324">
        <v>1994</v>
      </c>
      <c r="B29" s="325" t="s">
        <v>23</v>
      </c>
      <c r="C29" s="326">
        <f t="shared" si="0"/>
        <v>28525.538601340351</v>
      </c>
      <c r="D29" s="327">
        <f>100*(2.72218/2.6411-1)</f>
        <v>3.0699329824694255</v>
      </c>
      <c r="E29" s="328">
        <f t="shared" si="2"/>
        <v>1334.6913950992748</v>
      </c>
      <c r="F29" s="329">
        <f t="shared" si="1"/>
        <v>1863.2539472189619</v>
      </c>
      <c r="G29" s="330">
        <f>+$C$394/C29</f>
        <v>14.767097426468926</v>
      </c>
    </row>
    <row r="30" spans="1:7" ht="18" hidden="1" customHeight="1" x14ac:dyDescent="0.25">
      <c r="A30" s="324">
        <v>1994</v>
      </c>
      <c r="B30" s="325" t="s">
        <v>12</v>
      </c>
      <c r="C30" s="326">
        <f t="shared" si="0"/>
        <v>29505.402621612837</v>
      </c>
      <c r="D30" s="327">
        <f>100*(2.6411/2.55339-1)</f>
        <v>3.4350412588754597</v>
      </c>
      <c r="E30" s="328">
        <f t="shared" si="2"/>
        <v>1383.9736364584708</v>
      </c>
      <c r="F30" s="329">
        <f t="shared" si="1"/>
        <v>1383.9762041834583</v>
      </c>
      <c r="G30" s="330">
        <f>+$C$394/C30</f>
        <v>14.276687326406229</v>
      </c>
    </row>
    <row r="31" spans="1:7" ht="18" hidden="1" customHeight="1" x14ac:dyDescent="0.25">
      <c r="A31" s="324">
        <v>1995</v>
      </c>
      <c r="B31" s="325" t="s">
        <v>13</v>
      </c>
      <c r="C31" s="326">
        <f>+C30*(1+D31/100)</f>
        <v>30516.982278481009</v>
      </c>
      <c r="D31" s="327">
        <f>100*(2.55339/2.46875-1)</f>
        <v>3.4284556962025148</v>
      </c>
      <c r="E31" s="328">
        <f>100*(C31/29505.4-1)</f>
        <v>3.428464886024285</v>
      </c>
      <c r="F31" s="329">
        <f t="shared" si="1"/>
        <v>1016.3827848101265</v>
      </c>
      <c r="G31" s="330">
        <f>+$C$394/C31</f>
        <v>13.8034424185359</v>
      </c>
    </row>
    <row r="32" spans="1:7" ht="18" hidden="1" customHeight="1" x14ac:dyDescent="0.25">
      <c r="A32" s="324">
        <v>1995</v>
      </c>
      <c r="B32" s="325" t="s">
        <v>14</v>
      </c>
      <c r="C32" s="326">
        <f t="shared" si="0"/>
        <v>31301.435883799768</v>
      </c>
      <c r="D32" s="327">
        <f>100*(2.46875/2.40688-1)</f>
        <v>2.5705477630791673</v>
      </c>
      <c r="E32" s="328">
        <f t="shared" ref="E32:E42" si="3">100*(C32/29505.4-1)</f>
        <v>6.087142976539095</v>
      </c>
      <c r="F32" s="329">
        <f t="shared" si="1"/>
        <v>705.55740211393993</v>
      </c>
      <c r="G32" s="330">
        <f>+$C$394/C32</f>
        <v>13.457510678815469</v>
      </c>
    </row>
    <row r="33" spans="1:7" ht="18" hidden="1" customHeight="1" x14ac:dyDescent="0.25">
      <c r="A33" s="324">
        <v>1995</v>
      </c>
      <c r="B33" s="325" t="s">
        <v>15</v>
      </c>
      <c r="C33" s="326">
        <f t="shared" si="0"/>
        <v>32041.338833836595</v>
      </c>
      <c r="D33" s="327">
        <f>100*(2.40688/2.3513-1)</f>
        <v>2.3637987496278656</v>
      </c>
      <c r="E33" s="328">
        <f t="shared" si="3"/>
        <v>8.5948295357344495</v>
      </c>
      <c r="F33" s="329">
        <f t="shared" si="1"/>
        <v>486.65844426487467</v>
      </c>
      <c r="G33" s="330">
        <f>+$C$394/C33</f>
        <v>13.146748013652036</v>
      </c>
    </row>
    <row r="34" spans="1:7" ht="18" hidden="1" customHeight="1" x14ac:dyDescent="0.25">
      <c r="A34" s="324">
        <v>1995</v>
      </c>
      <c r="B34" s="325" t="s">
        <v>16</v>
      </c>
      <c r="C34" s="326">
        <f t="shared" si="0"/>
        <v>32941.906935662999</v>
      </c>
      <c r="D34" s="327">
        <f>100*(2.3513/2.28702-1)</f>
        <v>2.810644419375441</v>
      </c>
      <c r="E34" s="328">
        <f t="shared" si="3"/>
        <v>11.647044051810852</v>
      </c>
      <c r="F34" s="329">
        <f t="shared" si="1"/>
        <v>323.08724890906069</v>
      </c>
      <c r="G34" s="330">
        <f>+$C$394/C34</f>
        <v>12.787341318497205</v>
      </c>
    </row>
    <row r="35" spans="1:7" ht="18" hidden="1" customHeight="1" x14ac:dyDescent="0.25">
      <c r="A35" s="324">
        <v>1995</v>
      </c>
      <c r="B35" s="325" t="s">
        <v>17</v>
      </c>
      <c r="C35" s="326">
        <f t="shared" si="0"/>
        <v>34254.251159407111</v>
      </c>
      <c r="D35" s="327">
        <f>100*(2.28702/2.1994-1)</f>
        <v>3.98381376739112</v>
      </c>
      <c r="E35" s="328">
        <f t="shared" si="3"/>
        <v>16.094854363632116</v>
      </c>
      <c r="F35" s="329">
        <f t="shared" si="1"/>
        <v>199.8926980085478</v>
      </c>
      <c r="G35" s="330">
        <f>+$C$394/C35</f>
        <v>12.297434432537866</v>
      </c>
    </row>
    <row r="36" spans="1:7" ht="18" hidden="1" customHeight="1" x14ac:dyDescent="0.25">
      <c r="A36" s="324">
        <v>1995</v>
      </c>
      <c r="B36" s="325" t="s">
        <v>18</v>
      </c>
      <c r="C36" s="326">
        <f t="shared" si="0"/>
        <v>35542.534722222219</v>
      </c>
      <c r="D36" s="327">
        <f>100*(2.1994/2.11968-1)</f>
        <v>3.7609450483091722</v>
      </c>
      <c r="E36" s="328">
        <f t="shared" si="3"/>
        <v>20.461118040162884</v>
      </c>
      <c r="F36" s="329">
        <f t="shared" si="1"/>
        <v>111.43238602053142</v>
      </c>
      <c r="G36" s="330">
        <f>+$C$394/C36</f>
        <v>11.851698562317843</v>
      </c>
    </row>
    <row r="37" spans="1:7" ht="18" hidden="1" customHeight="1" x14ac:dyDescent="0.25">
      <c r="A37" s="324">
        <v>1995</v>
      </c>
      <c r="B37" s="325" t="s">
        <v>19</v>
      </c>
      <c r="C37" s="326">
        <f t="shared" si="0"/>
        <v>36751.889088895718</v>
      </c>
      <c r="D37" s="327">
        <f>100*(2.11968/2.04993-1)</f>
        <v>3.4025552092022737</v>
      </c>
      <c r="E37" s="328">
        <f t="shared" si="3"/>
        <v>24.55987408710174</v>
      </c>
      <c r="F37" s="329">
        <f t="shared" si="1"/>
        <v>48.110911104281584</v>
      </c>
      <c r="G37" s="330">
        <f>+$C$394/C37</f>
        <v>11.461707632214399</v>
      </c>
    </row>
    <row r="38" spans="1:7" ht="18" hidden="1" customHeight="1" x14ac:dyDescent="0.25">
      <c r="A38" s="324">
        <v>1995</v>
      </c>
      <c r="B38" s="325" t="s">
        <v>20</v>
      </c>
      <c r="C38" s="326">
        <f t="shared" si="0"/>
        <v>38040.292855339561</v>
      </c>
      <c r="D38" s="327">
        <f>100*(2.04993/1.9805-1)</f>
        <v>3.5056803837414829</v>
      </c>
      <c r="E38" s="328">
        <f t="shared" si="3"/>
        <v>28.926545158986361</v>
      </c>
      <c r="F38" s="329">
        <f t="shared" si="1"/>
        <v>45.242615501136065</v>
      </c>
      <c r="G38" s="330">
        <f>+$C$394/C38</f>
        <v>11.073505907811786</v>
      </c>
    </row>
    <row r="39" spans="1:7" ht="18" hidden="1" customHeight="1" x14ac:dyDescent="0.25">
      <c r="A39" s="324">
        <v>1995</v>
      </c>
      <c r="B39" s="325" t="s">
        <v>21</v>
      </c>
      <c r="C39" s="326">
        <f t="shared" si="0"/>
        <v>39226.087273446734</v>
      </c>
      <c r="D39" s="327">
        <f>100*(1.9805/1.92063-1)</f>
        <v>3.1172063333385402</v>
      </c>
      <c r="E39" s="328">
        <f t="shared" si="3"/>
        <v>32.945451590036853</v>
      </c>
      <c r="F39" s="329">
        <f t="shared" si="1"/>
        <v>45.913059777260592</v>
      </c>
      <c r="G39" s="330">
        <f>+$C$394/C39</f>
        <v>10.738756703721561</v>
      </c>
    </row>
    <row r="40" spans="1:7" ht="18" hidden="1" customHeight="1" x14ac:dyDescent="0.25">
      <c r="A40" s="324">
        <v>1995</v>
      </c>
      <c r="B40" s="325" t="s">
        <v>22</v>
      </c>
      <c r="C40" s="326">
        <f t="shared" si="0"/>
        <v>40186.908908577861</v>
      </c>
      <c r="D40" s="327">
        <f>100*(1.92063/1.87471-1)</f>
        <v>2.4494455142395344</v>
      </c>
      <c r="E40" s="328">
        <f t="shared" si="3"/>
        <v>36.201877990394493</v>
      </c>
      <c r="F40" s="329">
        <f t="shared" si="1"/>
        <v>45.205391767260018</v>
      </c>
      <c r="G40" s="330">
        <f>+$C$394/C40</f>
        <v>10.482005685652023</v>
      </c>
    </row>
    <row r="41" spans="1:7" ht="18" hidden="1" customHeight="1" x14ac:dyDescent="0.25">
      <c r="A41" s="324">
        <v>1995</v>
      </c>
      <c r="B41" s="325" t="s">
        <v>23</v>
      </c>
      <c r="C41" s="326">
        <f t="shared" si="0"/>
        <v>41055.895543942068</v>
      </c>
      <c r="D41" s="327">
        <f>100*(1.87471/1.83503-1)</f>
        <v>2.16236246818855</v>
      </c>
      <c r="E41" s="328">
        <f t="shared" si="3"/>
        <v>39.14705628102675</v>
      </c>
      <c r="F41" s="329">
        <f t="shared" si="1"/>
        <v>43.926802286611142</v>
      </c>
      <c r="G41" s="330">
        <f>+$C$394/C41</f>
        <v>10.26014417874873</v>
      </c>
    </row>
    <row r="42" spans="1:7" ht="18" hidden="1" customHeight="1" x14ac:dyDescent="0.25">
      <c r="A42" s="324">
        <v>1995</v>
      </c>
      <c r="B42" s="325" t="s">
        <v>12</v>
      </c>
      <c r="C42" s="326">
        <f t="shared" si="0"/>
        <v>41854.656363020207</v>
      </c>
      <c r="D42" s="327">
        <f>100*(1.83503/1.80001-1)</f>
        <v>1.9455447469736153</v>
      </c>
      <c r="E42" s="328">
        <f t="shared" si="3"/>
        <v>41.854224525070684</v>
      </c>
      <c r="F42" s="329">
        <f t="shared" si="1"/>
        <v>41.854211921044879</v>
      </c>
      <c r="G42" s="330">
        <f>+$C$394/C42</f>
        <v>10.064337979863819</v>
      </c>
    </row>
    <row r="43" spans="1:7" ht="18" hidden="1" customHeight="1" x14ac:dyDescent="0.25">
      <c r="A43" s="324">
        <v>1996</v>
      </c>
      <c r="B43" s="325" t="s">
        <v>13</v>
      </c>
      <c r="C43" s="326">
        <f>+C42*(1+D43/100)</f>
        <v>42627.633149821486</v>
      </c>
      <c r="D43" s="327">
        <f>100*(1.80001/1.76737-1)</f>
        <v>1.8468119295902863</v>
      </c>
      <c r="E43" s="328">
        <f>100*(C43/41854.66-1)</f>
        <v>1.8468030795650625</v>
      </c>
      <c r="F43" s="329">
        <f t="shared" si="1"/>
        <v>39.684955612011088</v>
      </c>
      <c r="G43" s="330">
        <f>+$C$394/C43</f>
        <v>9.8818389983788517</v>
      </c>
    </row>
    <row r="44" spans="1:7" ht="18" hidden="1" customHeight="1" x14ac:dyDescent="0.25">
      <c r="A44" s="324">
        <v>1996</v>
      </c>
      <c r="B44" s="325" t="s">
        <v>14</v>
      </c>
      <c r="C44" s="326">
        <f t="shared" si="0"/>
        <v>43377.436924954804</v>
      </c>
      <c r="D44" s="327">
        <f>100*(1.76737/1.73682-1)</f>
        <v>1.7589617807256985</v>
      </c>
      <c r="E44" s="328">
        <f t="shared" ref="E44:E54" si="4">100*(C44/41854.66-1)</f>
        <v>3.6382494206255611</v>
      </c>
      <c r="F44" s="329">
        <f t="shared" si="1"/>
        <v>38.579703135615695</v>
      </c>
      <c r="G44" s="330">
        <f>+$C$394/C44</f>
        <v>9.7110257666274507</v>
      </c>
    </row>
    <row r="45" spans="1:7" ht="18" hidden="1" customHeight="1" x14ac:dyDescent="0.25">
      <c r="A45" s="324">
        <v>1996</v>
      </c>
      <c r="B45" s="325" t="s">
        <v>15</v>
      </c>
      <c r="C45" s="326">
        <f t="shared" si="0"/>
        <v>44013.764013764012</v>
      </c>
      <c r="D45" s="327">
        <f>100*(1.73682/1.71171-1)</f>
        <v>1.4669540985330354</v>
      </c>
      <c r="E45" s="328">
        <f t="shared" si="4"/>
        <v>5.158574968149332</v>
      </c>
      <c r="F45" s="329">
        <f t="shared" si="1"/>
        <v>37.365558418190027</v>
      </c>
      <c r="G45" s="330">
        <f>+$C$394/C45</f>
        <v>9.5706290317902116</v>
      </c>
    </row>
    <row r="46" spans="1:7" ht="18" hidden="1" customHeight="1" x14ac:dyDescent="0.25">
      <c r="A46" s="324">
        <v>1996</v>
      </c>
      <c r="B46" s="325" t="s">
        <v>16</v>
      </c>
      <c r="C46" s="326">
        <f t="shared" si="0"/>
        <v>44593.948290557812</v>
      </c>
      <c r="D46" s="327">
        <f>100*(1.71171/1.68944-1)</f>
        <v>1.3181882754048635</v>
      </c>
      <c r="E46" s="328">
        <f t="shared" si="4"/>
        <v>6.5447629739622926</v>
      </c>
      <c r="F46" s="329">
        <f t="shared" si="1"/>
        <v>35.371484042049438</v>
      </c>
      <c r="G46" s="330">
        <f>+$C$394/C46</f>
        <v>9.4461114975478644</v>
      </c>
    </row>
    <row r="47" spans="1:7" ht="18" hidden="1" customHeight="1" x14ac:dyDescent="0.25">
      <c r="A47" s="324">
        <v>1996</v>
      </c>
      <c r="B47" s="325" t="s">
        <v>17</v>
      </c>
      <c r="C47" s="326">
        <f t="shared" si="0"/>
        <v>45112.243492631867</v>
      </c>
      <c r="D47" s="327">
        <f>100*(1.68944/1.67003-1)</f>
        <v>1.162254570277188</v>
      </c>
      <c r="E47" s="328">
        <f t="shared" si="4"/>
        <v>7.7830843510181769</v>
      </c>
      <c r="F47" s="329">
        <f t="shared" si="1"/>
        <v>31.698232965874862</v>
      </c>
      <c r="G47" s="330">
        <f>+$C$394/C47</f>
        <v>9.3375849892567118</v>
      </c>
    </row>
    <row r="48" spans="1:7" ht="18" hidden="1" customHeight="1" x14ac:dyDescent="0.25">
      <c r="A48" s="324">
        <v>1996</v>
      </c>
      <c r="B48" s="325" t="s">
        <v>18</v>
      </c>
      <c r="C48" s="326">
        <f t="shared" si="0"/>
        <v>45604.876542836217</v>
      </c>
      <c r="D48" s="327">
        <f>100*(1.67003/1.65199-1)</f>
        <v>1.0920162954981549</v>
      </c>
      <c r="E48" s="328">
        <f t="shared" si="4"/>
        <v>8.9600931959218144</v>
      </c>
      <c r="F48" s="329">
        <f t="shared" si="1"/>
        <v>28.310704059951952</v>
      </c>
      <c r="G48" s="330">
        <f>+$C$394/C48</f>
        <v>9.2367185178722497</v>
      </c>
    </row>
    <row r="49" spans="1:7" ht="18" hidden="1" customHeight="1" x14ac:dyDescent="0.25">
      <c r="A49" s="324">
        <v>1996</v>
      </c>
      <c r="B49" s="325" t="s">
        <v>19</v>
      </c>
      <c r="C49" s="326">
        <f t="shared" si="0"/>
        <v>46112.338644028379</v>
      </c>
      <c r="D49" s="327">
        <f>100*(1.65199/1.63381-1)</f>
        <v>1.1127364871068357</v>
      </c>
      <c r="E49" s="328">
        <f t="shared" si="4"/>
        <v>10.172531909298455</v>
      </c>
      <c r="F49" s="329">
        <f t="shared" si="1"/>
        <v>25.469301816000645</v>
      </c>
      <c r="G49" s="330">
        <f>+$C$394/C49</f>
        <v>9.135069268993675</v>
      </c>
    </row>
    <row r="50" spans="1:7" ht="18" hidden="1" customHeight="1" x14ac:dyDescent="0.25">
      <c r="A50" s="324">
        <v>1996</v>
      </c>
      <c r="B50" s="325" t="s">
        <v>20</v>
      </c>
      <c r="C50" s="326">
        <f t="shared" si="0"/>
        <v>46614.198562076948</v>
      </c>
      <c r="D50" s="327">
        <f>100*(1.63381/1.61622-1)</f>
        <v>1.0883419336476408</v>
      </c>
      <c r="E50" s="328">
        <f t="shared" si="4"/>
        <v>11.371585773428672</v>
      </c>
      <c r="F50" s="329">
        <f t="shared" si="1"/>
        <v>22.539010778235635</v>
      </c>
      <c r="G50" s="330">
        <f>+$C$394/C50</f>
        <v>9.0367188681260107</v>
      </c>
    </row>
    <row r="51" spans="1:7" ht="18" hidden="1" customHeight="1" x14ac:dyDescent="0.25">
      <c r="A51" s="324">
        <v>1996</v>
      </c>
      <c r="B51" s="325" t="s">
        <v>21</v>
      </c>
      <c r="C51" s="326">
        <f t="shared" si="0"/>
        <v>47140.96210642239</v>
      </c>
      <c r="D51" s="327">
        <f>100*(1.61622/1.59816-1)</f>
        <v>1.1300495569905422</v>
      </c>
      <c r="E51" s="328">
        <f t="shared" si="4"/>
        <v>12.630139885074643</v>
      </c>
      <c r="F51" s="329">
        <f t="shared" si="1"/>
        <v>20.177579216098529</v>
      </c>
      <c r="G51" s="330">
        <f>+$C$394/C51</f>
        <v>8.9357405713852476</v>
      </c>
    </row>
    <row r="52" spans="1:7" ht="18" hidden="1" customHeight="1" x14ac:dyDescent="0.25">
      <c r="A52" s="324">
        <v>1996</v>
      </c>
      <c r="B52" s="325" t="s">
        <v>22</v>
      </c>
      <c r="C52" s="326">
        <f t="shared" si="0"/>
        <v>47690.330748536166</v>
      </c>
      <c r="D52" s="327">
        <f>100*(1.59816/1.57975-1)</f>
        <v>1.165374268080388</v>
      </c>
      <c r="E52" s="328">
        <f t="shared" si="4"/>
        <v>13.942702553398266</v>
      </c>
      <c r="F52" s="329">
        <f t="shared" si="1"/>
        <v>18.671308751384718</v>
      </c>
      <c r="G52" s="330">
        <f>+$C$394/C52</f>
        <v>8.8328053309091992</v>
      </c>
    </row>
    <row r="53" spans="1:7" ht="18" hidden="1" customHeight="1" x14ac:dyDescent="0.25">
      <c r="A53" s="324">
        <v>1996</v>
      </c>
      <c r="B53" s="325" t="s">
        <v>23</v>
      </c>
      <c r="C53" s="326">
        <f t="shared" si="0"/>
        <v>48284.198113207553</v>
      </c>
      <c r="D53" s="327">
        <f>100*(1.57975/1.56032-1)</f>
        <v>1.2452573831009062</v>
      </c>
      <c r="E53" s="328">
        <f t="shared" si="4"/>
        <v>15.361582469449164</v>
      </c>
      <c r="F53" s="329">
        <f t="shared" si="1"/>
        <v>17.606003896636579</v>
      </c>
      <c r="G53" s="330">
        <f>+$C$394/C53</f>
        <v>8.7241669972617437</v>
      </c>
    </row>
    <row r="54" spans="1:7" ht="18" hidden="1" customHeight="1" x14ac:dyDescent="0.25">
      <c r="A54" s="324">
        <v>1996</v>
      </c>
      <c r="B54" s="325" t="s">
        <v>12</v>
      </c>
      <c r="C54" s="326">
        <f t="shared" si="0"/>
        <v>48921.298701298707</v>
      </c>
      <c r="D54" s="327">
        <f>100*(1.56032/1.54-1)</f>
        <v>1.3194805194805204</v>
      </c>
      <c r="E54" s="328">
        <f t="shared" si="4"/>
        <v>16.883756077097999</v>
      </c>
      <c r="F54" s="329">
        <f t="shared" si="1"/>
        <v>16.883766233766238</v>
      </c>
      <c r="G54" s="330">
        <f>+$C$394/C54</f>
        <v>8.6105524352588478</v>
      </c>
    </row>
    <row r="55" spans="1:7" ht="18" hidden="1" customHeight="1" x14ac:dyDescent="0.25">
      <c r="A55" s="324">
        <v>1997</v>
      </c>
      <c r="B55" s="325" t="s">
        <v>13</v>
      </c>
      <c r="C55" s="326">
        <f>+C54*(1+D55/100)</f>
        <v>49594.365084589568</v>
      </c>
      <c r="D55" s="327">
        <f>100*(1.54/1.5191-1)</f>
        <v>1.3758146270818283</v>
      </c>
      <c r="E55" s="328">
        <f>100*(C55/48921.3-1)</f>
        <v>1.3758119358838972</v>
      </c>
      <c r="F55" s="329">
        <f t="shared" si="1"/>
        <v>16.343229543808846</v>
      </c>
      <c r="G55" s="330">
        <f>+$C$394/C55</f>
        <v>8.4936949379231912</v>
      </c>
    </row>
    <row r="56" spans="1:7" ht="18" hidden="1" customHeight="1" x14ac:dyDescent="0.25">
      <c r="A56" s="324">
        <v>1997</v>
      </c>
      <c r="B56" s="325" t="s">
        <v>14</v>
      </c>
      <c r="C56" s="326">
        <f t="shared" si="0"/>
        <v>50212.811335719394</v>
      </c>
      <c r="D56" s="327">
        <f>100*(1.5191/1.50039-1)</f>
        <v>1.2470091109644921</v>
      </c>
      <c r="E56" s="328">
        <f t="shared" ref="E56:E66" si="5">100*(C56/48921.3-1)</f>
        <v>2.6399775470385967</v>
      </c>
      <c r="F56" s="329">
        <f t="shared" si="1"/>
        <v>15.757902945234271</v>
      </c>
      <c r="G56" s="330">
        <f>+$C$394/C56</f>
        <v>8.389082317102611</v>
      </c>
    </row>
    <row r="57" spans="1:7" ht="18" hidden="1" customHeight="1" x14ac:dyDescent="0.25">
      <c r="A57" s="324">
        <v>1997</v>
      </c>
      <c r="B57" s="325" t="s">
        <v>15</v>
      </c>
      <c r="C57" s="326">
        <f t="shared" si="0"/>
        <v>50798.192974175719</v>
      </c>
      <c r="D57" s="327">
        <f>100*(1.50039/1.4831-1)</f>
        <v>1.1658013620119867</v>
      </c>
      <c r="E57" s="328">
        <f t="shared" si="5"/>
        <v>3.8365558032507741</v>
      </c>
      <c r="F57" s="329">
        <f t="shared" si="1"/>
        <v>15.414334839188214</v>
      </c>
      <c r="G57" s="330">
        <f>+$C$394/C57</f>
        <v>8.2924092965794785</v>
      </c>
    </row>
    <row r="58" spans="1:7" ht="18" hidden="1" customHeight="1" x14ac:dyDescent="0.25">
      <c r="A58" s="324">
        <v>1997</v>
      </c>
      <c r="B58" s="325" t="s">
        <v>16</v>
      </c>
      <c r="C58" s="326">
        <f t="shared" si="0"/>
        <v>51367.132735486492</v>
      </c>
      <c r="D58" s="327">
        <v>1.1200000000000001</v>
      </c>
      <c r="E58" s="328">
        <f t="shared" si="5"/>
        <v>4.9995252282471814</v>
      </c>
      <c r="F58" s="329">
        <f t="shared" si="1"/>
        <v>15.188573123862215</v>
      </c>
      <c r="G58" s="330">
        <f>+$C$394/C58</f>
        <v>8.2005629910793889</v>
      </c>
    </row>
    <row r="59" spans="1:7" ht="18" hidden="1" customHeight="1" x14ac:dyDescent="0.25">
      <c r="A59" s="324">
        <v>1997</v>
      </c>
      <c r="B59" s="325" t="s">
        <v>17</v>
      </c>
      <c r="C59" s="326">
        <f t="shared" si="0"/>
        <v>51952.718048671042</v>
      </c>
      <c r="D59" s="327">
        <v>1.1399999999999999</v>
      </c>
      <c r="E59" s="328">
        <f t="shared" si="5"/>
        <v>6.1965198158492107</v>
      </c>
      <c r="F59" s="329">
        <f t="shared" si="1"/>
        <v>15.163232919587388</v>
      </c>
      <c r="G59" s="330">
        <f>+$C$394/C59</f>
        <v>8.1081303055955978</v>
      </c>
    </row>
    <row r="60" spans="1:7" ht="18" hidden="1" customHeight="1" x14ac:dyDescent="0.25">
      <c r="A60" s="324">
        <v>1997</v>
      </c>
      <c r="B60" s="325" t="s">
        <v>18</v>
      </c>
      <c r="C60" s="326">
        <f t="shared" si="0"/>
        <v>52555.369578035628</v>
      </c>
      <c r="D60" s="327">
        <v>1.1599999999999999</v>
      </c>
      <c r="E60" s="328">
        <f t="shared" si="5"/>
        <v>7.4283994457130742</v>
      </c>
      <c r="F60" s="329">
        <f t="shared" si="1"/>
        <v>15.240679423111425</v>
      </c>
      <c r="G60" s="330">
        <f>+$C$394/C60</f>
        <v>8.0151545132419919</v>
      </c>
    </row>
    <row r="61" spans="1:7" ht="18" hidden="1" customHeight="1" x14ac:dyDescent="0.25">
      <c r="A61" s="324">
        <v>1997</v>
      </c>
      <c r="B61" s="325" t="s">
        <v>19</v>
      </c>
      <c r="C61" s="326">
        <f t="shared" si="0"/>
        <v>53165.011865140841</v>
      </c>
      <c r="D61" s="327">
        <v>1.1599999999999999</v>
      </c>
      <c r="E61" s="328">
        <f t="shared" si="5"/>
        <v>8.6745688792833278</v>
      </c>
      <c r="F61" s="329">
        <f t="shared" si="1"/>
        <v>15.294546814371547</v>
      </c>
      <c r="G61" s="330">
        <f>+$C$394/C61</f>
        <v>7.923244872718457</v>
      </c>
    </row>
    <row r="62" spans="1:7" ht="18" hidden="1" customHeight="1" x14ac:dyDescent="0.25">
      <c r="A62" s="324">
        <v>1997</v>
      </c>
      <c r="B62" s="325" t="s">
        <v>20</v>
      </c>
      <c r="C62" s="326">
        <f t="shared" si="0"/>
        <v>53765.77649921694</v>
      </c>
      <c r="D62" s="331">
        <v>1.1299999999999999</v>
      </c>
      <c r="E62" s="328">
        <f t="shared" si="5"/>
        <v>9.9025915076192526</v>
      </c>
      <c r="F62" s="329">
        <f t="shared" si="1"/>
        <v>15.342059196011082</v>
      </c>
      <c r="G62" s="330">
        <f>+$C$394/C62</f>
        <v>7.8347126201111994</v>
      </c>
    </row>
    <row r="63" spans="1:7" ht="18" hidden="1" customHeight="1" x14ac:dyDescent="0.25">
      <c r="A63" s="324">
        <v>1997</v>
      </c>
      <c r="B63" s="325" t="s">
        <v>21</v>
      </c>
      <c r="C63" s="326">
        <f t="shared" si="0"/>
        <v>54384.082928957941</v>
      </c>
      <c r="D63" s="331">
        <v>1.1499999999999999</v>
      </c>
      <c r="E63" s="328">
        <f t="shared" si="5"/>
        <v>11.166471309956894</v>
      </c>
      <c r="F63" s="329">
        <f t="shared" si="1"/>
        <v>15.364813314976367</v>
      </c>
      <c r="G63" s="330">
        <f>+$C$394/C63</f>
        <v>7.7456377855770624</v>
      </c>
    </row>
    <row r="64" spans="1:7" ht="18" hidden="1" customHeight="1" x14ac:dyDescent="0.25">
      <c r="A64" s="324">
        <v>1997</v>
      </c>
      <c r="B64" s="325" t="s">
        <v>22</v>
      </c>
      <c r="C64" s="326">
        <f t="shared" si="0"/>
        <v>55014.93829093386</v>
      </c>
      <c r="D64" s="331">
        <v>1.1599999999999999</v>
      </c>
      <c r="E64" s="328">
        <f t="shared" si="5"/>
        <v>12.456002377152409</v>
      </c>
      <c r="F64" s="329">
        <f t="shared" si="1"/>
        <v>15.358684721687577</v>
      </c>
      <c r="G64" s="330">
        <f>+$C$394/C64</f>
        <v>7.6568186887871308</v>
      </c>
    </row>
    <row r="65" spans="1:7" ht="18" hidden="1" customHeight="1" x14ac:dyDescent="0.25">
      <c r="A65" s="324">
        <v>1997</v>
      </c>
      <c r="B65" s="325" t="s">
        <v>23</v>
      </c>
      <c r="C65" s="326">
        <f t="shared" si="0"/>
        <v>56137.243032068909</v>
      </c>
      <c r="D65" s="331">
        <v>2.04</v>
      </c>
      <c r="E65" s="328">
        <f t="shared" si="5"/>
        <v>14.750104825646314</v>
      </c>
      <c r="F65" s="329">
        <f t="shared" si="1"/>
        <v>16.264213191340659</v>
      </c>
      <c r="G65" s="330">
        <f>+$C$394/C65</f>
        <v>7.5037423449501475</v>
      </c>
    </row>
    <row r="66" spans="1:7" ht="18" hidden="1" customHeight="1" x14ac:dyDescent="0.25">
      <c r="A66" s="324">
        <v>1997</v>
      </c>
      <c r="B66" s="325" t="s">
        <v>12</v>
      </c>
      <c r="C66" s="326">
        <f t="shared" si="0"/>
        <v>57158.940855252564</v>
      </c>
      <c r="D66" s="331">
        <v>1.82</v>
      </c>
      <c r="E66" s="328">
        <f t="shared" si="5"/>
        <v>16.838556733473077</v>
      </c>
      <c r="F66" s="329">
        <f t="shared" si="1"/>
        <v>16.838559835156563</v>
      </c>
      <c r="G66" s="330">
        <f>+$C$394/C66</f>
        <v>7.3696153456591516</v>
      </c>
    </row>
    <row r="67" spans="1:7" ht="18" hidden="1" customHeight="1" x14ac:dyDescent="0.25">
      <c r="A67" s="324">
        <v>1998</v>
      </c>
      <c r="B67" s="332" t="s">
        <v>13</v>
      </c>
      <c r="C67" s="326">
        <f>+C66*(1+D67/100)</f>
        <v>58102.063379364226</v>
      </c>
      <c r="D67" s="331">
        <v>1.65</v>
      </c>
      <c r="E67" s="333">
        <f>100*(C67/57158.95-1)</f>
        <v>1.6499837372174087</v>
      </c>
      <c r="F67" s="329">
        <f t="shared" si="1"/>
        <v>17.154566411453565</v>
      </c>
      <c r="G67" s="330">
        <f>+$C$394/C67</f>
        <v>7.2499905023700464</v>
      </c>
    </row>
    <row r="68" spans="1:7" ht="18" hidden="1" customHeight="1" x14ac:dyDescent="0.25">
      <c r="A68" s="324">
        <v>1998</v>
      </c>
      <c r="B68" s="332" t="s">
        <v>14</v>
      </c>
      <c r="C68" s="326">
        <f t="shared" si="0"/>
        <v>58654.03298146819</v>
      </c>
      <c r="D68" s="331">
        <v>0.95</v>
      </c>
      <c r="E68" s="333">
        <f t="shared" ref="E68:E78" si="6">100*(C68/57158.95-1)</f>
        <v>2.61565858272097</v>
      </c>
      <c r="F68" s="329">
        <f t="shared" si="1"/>
        <v>16.810892322501857</v>
      </c>
      <c r="G68" s="330">
        <f>+$C$394/C68</f>
        <v>7.181763746775677</v>
      </c>
    </row>
    <row r="69" spans="1:7" ht="18" hidden="1" customHeight="1" x14ac:dyDescent="0.25">
      <c r="A69" s="324">
        <v>1998</v>
      </c>
      <c r="B69" s="332" t="s">
        <v>15</v>
      </c>
      <c r="C69" s="326">
        <f t="shared" si="0"/>
        <v>59475.189443208743</v>
      </c>
      <c r="D69" s="331">
        <v>1.4</v>
      </c>
      <c r="E69" s="333">
        <f t="shared" si="6"/>
        <v>4.0522778028790674</v>
      </c>
      <c r="F69" s="329">
        <f t="shared" si="1"/>
        <v>17.081309316345461</v>
      </c>
      <c r="G69" s="330">
        <f>+$C$394/C69</f>
        <v>7.0826072453409044</v>
      </c>
    </row>
    <row r="70" spans="1:7" ht="18" hidden="1" customHeight="1" x14ac:dyDescent="0.25">
      <c r="A70" s="324">
        <v>1998</v>
      </c>
      <c r="B70" s="332" t="s">
        <v>16</v>
      </c>
      <c r="C70" s="326">
        <f t="shared" si="0"/>
        <v>60052.098780807872</v>
      </c>
      <c r="D70" s="331">
        <v>0.97</v>
      </c>
      <c r="E70" s="333">
        <f t="shared" si="6"/>
        <v>5.0615848975670064</v>
      </c>
      <c r="F70" s="329">
        <f t="shared" si="1"/>
        <v>16.907632532351681</v>
      </c>
      <c r="G70" s="330">
        <f>+$C$394/C70</f>
        <v>7.0145659555718565</v>
      </c>
    </row>
    <row r="71" spans="1:7" ht="18" hidden="1" customHeight="1" x14ac:dyDescent="0.25">
      <c r="A71" s="324">
        <v>1998</v>
      </c>
      <c r="B71" s="332" t="s">
        <v>17</v>
      </c>
      <c r="C71" s="326">
        <f t="shared" si="0"/>
        <v>60628.598929103631</v>
      </c>
      <c r="D71" s="331">
        <v>0.96</v>
      </c>
      <c r="E71" s="333">
        <f t="shared" si="6"/>
        <v>6.0701761125836473</v>
      </c>
      <c r="F71" s="329">
        <f t="shared" si="1"/>
        <v>16.699570698697098</v>
      </c>
      <c r="G71" s="330">
        <f>+$C$394/C71</f>
        <v>6.9478664377692709</v>
      </c>
    </row>
    <row r="72" spans="1:7" ht="18" hidden="1" customHeight="1" x14ac:dyDescent="0.25">
      <c r="A72" s="324">
        <v>1998</v>
      </c>
      <c r="B72" s="332" t="s">
        <v>18</v>
      </c>
      <c r="C72" s="326">
        <f t="shared" si="0"/>
        <v>61228.822058501755</v>
      </c>
      <c r="D72" s="331">
        <v>0.99</v>
      </c>
      <c r="E72" s="333">
        <f t="shared" si="6"/>
        <v>7.120270856098232</v>
      </c>
      <c r="F72" s="329">
        <f t="shared" si="1"/>
        <v>16.503456354897384</v>
      </c>
      <c r="G72" s="330">
        <f>+$C$394/C72</f>
        <v>6.879756845003735</v>
      </c>
    </row>
    <row r="73" spans="1:7" ht="18" hidden="1" customHeight="1" x14ac:dyDescent="0.25">
      <c r="A73" s="324">
        <v>1998</v>
      </c>
      <c r="B73" s="332" t="s">
        <v>19</v>
      </c>
      <c r="C73" s="326">
        <f t="shared" ref="C73:C99" si="7">+C72*(1+D73/100)</f>
        <v>61871.724690116018</v>
      </c>
      <c r="D73" s="331">
        <v>1.05</v>
      </c>
      <c r="E73" s="333">
        <f t="shared" si="6"/>
        <v>8.2450337000872445</v>
      </c>
      <c r="F73" s="329">
        <f t="shared" si="1"/>
        <v>16.376772090375447</v>
      </c>
      <c r="G73" s="330">
        <f>+$C$394/C73</f>
        <v>6.808270009899787</v>
      </c>
    </row>
    <row r="74" spans="1:7" ht="18" hidden="1" customHeight="1" x14ac:dyDescent="0.25">
      <c r="A74" s="324">
        <v>1998</v>
      </c>
      <c r="B74" s="332" t="s">
        <v>20</v>
      </c>
      <c r="C74" s="326">
        <f t="shared" si="7"/>
        <v>62416.195867389033</v>
      </c>
      <c r="D74" s="331">
        <v>0.88</v>
      </c>
      <c r="E74" s="333">
        <f t="shared" si="6"/>
        <v>9.1975899966480146</v>
      </c>
      <c r="F74" s="329">
        <f t="shared" si="1"/>
        <v>16.089081068694465</v>
      </c>
      <c r="G74" s="330">
        <f>+$C$394/C74</f>
        <v>6.7488798670695758</v>
      </c>
    </row>
    <row r="75" spans="1:7" ht="18" hidden="1" customHeight="1" x14ac:dyDescent="0.25">
      <c r="A75" s="324">
        <v>1998</v>
      </c>
      <c r="B75" s="332" t="s">
        <v>21</v>
      </c>
      <c r="C75" s="326">
        <f t="shared" si="7"/>
        <v>63009.149728129232</v>
      </c>
      <c r="D75" s="331">
        <v>0.95</v>
      </c>
      <c r="E75" s="333">
        <f t="shared" si="6"/>
        <v>10.234967101616178</v>
      </c>
      <c r="F75" s="329">
        <f t="shared" si="1"/>
        <v>15.859542598959031</v>
      </c>
      <c r="G75" s="330">
        <f>+$C$394/C75</f>
        <v>6.6853688628722887</v>
      </c>
    </row>
    <row r="76" spans="1:7" ht="18" hidden="1" customHeight="1" x14ac:dyDescent="0.25">
      <c r="A76" s="324">
        <v>1998</v>
      </c>
      <c r="B76" s="332" t="s">
        <v>22</v>
      </c>
      <c r="C76" s="326">
        <f t="shared" si="7"/>
        <v>63884.976909350233</v>
      </c>
      <c r="D76" s="331">
        <v>1.39</v>
      </c>
      <c r="E76" s="333">
        <f t="shared" si="6"/>
        <v>11.767233144328637</v>
      </c>
      <c r="F76" s="329">
        <f t="shared" si="1"/>
        <v>16.122963860305006</v>
      </c>
      <c r="G76" s="330">
        <f>+$C$394/C76</f>
        <v>6.593716207586831</v>
      </c>
    </row>
    <row r="77" spans="1:7" ht="18" hidden="1" customHeight="1" x14ac:dyDescent="0.25">
      <c r="A77" s="324">
        <v>1998</v>
      </c>
      <c r="B77" s="332" t="s">
        <v>23</v>
      </c>
      <c r="C77" s="326">
        <f t="shared" si="7"/>
        <v>64600.488650734958</v>
      </c>
      <c r="D77" s="331">
        <v>1.1200000000000001</v>
      </c>
      <c r="E77" s="333">
        <f t="shared" si="6"/>
        <v>13.019026155545133</v>
      </c>
      <c r="F77" s="329">
        <f t="shared" si="1"/>
        <v>15.075990842356379</v>
      </c>
      <c r="G77" s="330">
        <f>+$C$394/C77</f>
        <v>6.520684540730648</v>
      </c>
    </row>
    <row r="78" spans="1:7" ht="18" hidden="1" customHeight="1" x14ac:dyDescent="0.25">
      <c r="A78" s="324">
        <v>1998</v>
      </c>
      <c r="B78" s="332" t="s">
        <v>12</v>
      </c>
      <c r="C78" s="326">
        <f t="shared" si="7"/>
        <v>65407.994758869143</v>
      </c>
      <c r="D78" s="331">
        <v>1.25</v>
      </c>
      <c r="E78" s="333">
        <f t="shared" si="6"/>
        <v>14.431763982489443</v>
      </c>
      <c r="F78" s="329">
        <f t="shared" si="1"/>
        <v>14.431782290204097</v>
      </c>
      <c r="G78" s="330">
        <f>+$C$394/C78</f>
        <v>6.4401822624500227</v>
      </c>
    </row>
    <row r="79" spans="1:7" ht="18" hidden="1" customHeight="1" x14ac:dyDescent="0.25">
      <c r="A79" s="324">
        <v>1999</v>
      </c>
      <c r="B79" s="332" t="s">
        <v>13</v>
      </c>
      <c r="C79" s="326">
        <f>+C78*(1+D79/100)</f>
        <v>66075.156305409604</v>
      </c>
      <c r="D79" s="331">
        <v>1.02</v>
      </c>
      <c r="E79" s="333">
        <f>100*(C79/65407.99-1)</f>
        <v>1.0200073498812801</v>
      </c>
      <c r="F79" s="329">
        <f t="shared" si="1"/>
        <v>13.72256416090918</v>
      </c>
      <c r="G79" s="330">
        <f>+$C$394/C79</f>
        <v>6.3751556745694149</v>
      </c>
    </row>
    <row r="80" spans="1:7" ht="18" hidden="1" customHeight="1" x14ac:dyDescent="0.25">
      <c r="A80" s="324">
        <v>1999</v>
      </c>
      <c r="B80" s="332" t="s">
        <v>14</v>
      </c>
      <c r="C80" s="326">
        <f t="shared" si="7"/>
        <v>66953.955884271563</v>
      </c>
      <c r="D80" s="331">
        <v>1.33</v>
      </c>
      <c r="E80" s="333">
        <f t="shared" ref="E80:E90" si="8">100*(C80/65407.99-1)</f>
        <v>2.3635734476347148</v>
      </c>
      <c r="F80" s="329">
        <f t="shared" si="1"/>
        <v>14.150643154283603</v>
      </c>
      <c r="G80" s="330">
        <f>+$C$394/C80</f>
        <v>6.2914790038186261</v>
      </c>
    </row>
    <row r="81" spans="1:7" ht="18" hidden="1" customHeight="1" x14ac:dyDescent="0.25">
      <c r="A81" s="324">
        <v>1999</v>
      </c>
      <c r="B81" s="332" t="s">
        <v>15</v>
      </c>
      <c r="C81" s="326">
        <f t="shared" si="7"/>
        <v>68072.08694753889</v>
      </c>
      <c r="D81" s="331">
        <v>1.67</v>
      </c>
      <c r="E81" s="333">
        <f t="shared" si="8"/>
        <v>4.0730451242102061</v>
      </c>
      <c r="F81" s="329">
        <f t="shared" si="1"/>
        <v>14.454594570966584</v>
      </c>
      <c r="G81" s="330">
        <f>+$C$394/C81</f>
        <v>6.1881371140145838</v>
      </c>
    </row>
    <row r="82" spans="1:7" ht="18" hidden="1" customHeight="1" x14ac:dyDescent="0.25">
      <c r="A82" s="324">
        <v>1999</v>
      </c>
      <c r="B82" s="332" t="s">
        <v>16</v>
      </c>
      <c r="C82" s="326">
        <f t="shared" si="7"/>
        <v>68827.687112656582</v>
      </c>
      <c r="D82" s="331">
        <v>1.1100000000000001</v>
      </c>
      <c r="E82" s="333">
        <f t="shared" si="8"/>
        <v>5.2282559250889538</v>
      </c>
      <c r="F82" s="329">
        <f t="shared" si="1"/>
        <v>14.613291641779069</v>
      </c>
      <c r="G82" s="330">
        <f>+$C$394/C82</f>
        <v>6.1202028622436782</v>
      </c>
    </row>
    <row r="83" spans="1:7" ht="18" hidden="1" customHeight="1" x14ac:dyDescent="0.25">
      <c r="A83" s="324">
        <v>1999</v>
      </c>
      <c r="B83" s="332" t="s">
        <v>17</v>
      </c>
      <c r="C83" s="326">
        <f t="shared" si="7"/>
        <v>69591.674439607072</v>
      </c>
      <c r="D83" s="331">
        <v>1.1100000000000001</v>
      </c>
      <c r="E83" s="333">
        <f t="shared" si="8"/>
        <v>6.396289565857427</v>
      </c>
      <c r="F83" s="329">
        <f t="shared" ref="F83:F146" si="9">100*(C83/C71-1)</f>
        <v>14.783576841326095</v>
      </c>
      <c r="G83" s="330">
        <f>+$C$394/C83</f>
        <v>6.0530144023772898</v>
      </c>
    </row>
    <row r="84" spans="1:7" ht="18" hidden="1" customHeight="1" x14ac:dyDescent="0.25">
      <c r="A84" s="324">
        <v>1999</v>
      </c>
      <c r="B84" s="332" t="s">
        <v>18</v>
      </c>
      <c r="C84" s="326">
        <f t="shared" si="7"/>
        <v>70155.367002567888</v>
      </c>
      <c r="D84" s="331">
        <v>0.81</v>
      </c>
      <c r="E84" s="333">
        <f t="shared" si="8"/>
        <v>7.2580995113408875</v>
      </c>
      <c r="F84" s="329">
        <f t="shared" si="9"/>
        <v>14.578991794970619</v>
      </c>
      <c r="G84" s="330">
        <f>+$C$394/C84</f>
        <v>6.0043789330198294</v>
      </c>
    </row>
    <row r="85" spans="1:7" ht="18" hidden="1" customHeight="1" x14ac:dyDescent="0.25">
      <c r="A85" s="324">
        <v>1999</v>
      </c>
      <c r="B85" s="332" t="s">
        <v>19</v>
      </c>
      <c r="C85" s="326">
        <f t="shared" si="7"/>
        <v>70709.594401888171</v>
      </c>
      <c r="D85" s="331">
        <v>0.79</v>
      </c>
      <c r="E85" s="333">
        <f t="shared" si="8"/>
        <v>8.105438497480467</v>
      </c>
      <c r="F85" s="329">
        <f t="shared" si="9"/>
        <v>14.28418191999099</v>
      </c>
      <c r="G85" s="330">
        <f>+$C$394/C85</f>
        <v>5.9573161355489921</v>
      </c>
    </row>
    <row r="86" spans="1:7" ht="18" hidden="1" customHeight="1" x14ac:dyDescent="0.25">
      <c r="A86" s="324">
        <v>1999</v>
      </c>
      <c r="B86" s="332" t="s">
        <v>20</v>
      </c>
      <c r="C86" s="326">
        <f t="shared" si="7"/>
        <v>71275.271157103271</v>
      </c>
      <c r="D86" s="331">
        <v>0.8</v>
      </c>
      <c r="E86" s="333">
        <f t="shared" si="8"/>
        <v>8.9702820054603052</v>
      </c>
      <c r="F86" s="329">
        <f t="shared" si="9"/>
        <v>14.193552116723751</v>
      </c>
      <c r="G86" s="330">
        <f>+$C$394/C86</f>
        <v>5.9100358487589215</v>
      </c>
    </row>
    <row r="87" spans="1:7" ht="18" hidden="1" customHeight="1" x14ac:dyDescent="0.25">
      <c r="A87" s="324">
        <v>1999</v>
      </c>
      <c r="B87" s="332" t="s">
        <v>21</v>
      </c>
      <c r="C87" s="326">
        <f t="shared" si="7"/>
        <v>71824.090745012974</v>
      </c>
      <c r="D87" s="331">
        <v>0.77</v>
      </c>
      <c r="E87" s="333">
        <f t="shared" si="8"/>
        <v>9.8093531769023699</v>
      </c>
      <c r="F87" s="329">
        <f t="shared" si="9"/>
        <v>13.989938056485919</v>
      </c>
      <c r="G87" s="330">
        <f>+$C$394/C87</f>
        <v>5.8648763012393772</v>
      </c>
    </row>
    <row r="88" spans="1:7" ht="18" hidden="1" customHeight="1" x14ac:dyDescent="0.25">
      <c r="A88" s="324">
        <v>1999</v>
      </c>
      <c r="B88" s="332" t="s">
        <v>22</v>
      </c>
      <c r="C88" s="326">
        <f t="shared" si="7"/>
        <v>72348.406607451572</v>
      </c>
      <c r="D88" s="331">
        <v>0.73</v>
      </c>
      <c r="E88" s="333">
        <f t="shared" si="8"/>
        <v>10.610961455093747</v>
      </c>
      <c r="F88" s="329">
        <f t="shared" si="9"/>
        <v>13.247918536638981</v>
      </c>
      <c r="G88" s="330">
        <f>+$C$394/C88</f>
        <v>5.8223729784963538</v>
      </c>
    </row>
    <row r="89" spans="1:7" ht="18" hidden="1" customHeight="1" x14ac:dyDescent="0.25">
      <c r="A89" s="324">
        <v>1999</v>
      </c>
      <c r="B89" s="332" t="s">
        <v>23</v>
      </c>
      <c r="C89" s="326">
        <f t="shared" si="7"/>
        <v>72854.845453703732</v>
      </c>
      <c r="D89" s="331">
        <v>0.7</v>
      </c>
      <c r="E89" s="333">
        <f t="shared" si="8"/>
        <v>11.385238185279412</v>
      </c>
      <c r="F89" s="329">
        <f t="shared" si="9"/>
        <v>12.777545457273964</v>
      </c>
      <c r="G89" s="330">
        <f>+$C$394/C89</f>
        <v>5.7818996807312351</v>
      </c>
    </row>
    <row r="90" spans="1:7" ht="18" hidden="1" customHeight="1" x14ac:dyDescent="0.25">
      <c r="A90" s="324">
        <v>1999</v>
      </c>
      <c r="B90" s="332" t="s">
        <v>12</v>
      </c>
      <c r="C90" s="326">
        <f t="shared" si="7"/>
        <v>73438.631330324264</v>
      </c>
      <c r="D90" s="331">
        <v>0.80130000000000001</v>
      </c>
      <c r="E90" s="333">
        <f t="shared" si="8"/>
        <v>12.277768098858054</v>
      </c>
      <c r="F90" s="329">
        <f t="shared" si="9"/>
        <v>12.277759929899368</v>
      </c>
      <c r="G90" s="330">
        <f>+$C$394/C90</f>
        <v>5.7359376126411412</v>
      </c>
    </row>
    <row r="91" spans="1:7" ht="18" hidden="1" customHeight="1" x14ac:dyDescent="0.25">
      <c r="A91" s="324">
        <v>2000</v>
      </c>
      <c r="B91" s="334" t="s">
        <v>13</v>
      </c>
      <c r="C91" s="326">
        <f>+C90*(1+D91/100)</f>
        <v>73964.451930649389</v>
      </c>
      <c r="D91" s="331">
        <v>0.71599999999999997</v>
      </c>
      <c r="E91" s="333">
        <f t="shared" ref="E91:E96" si="10">100*(C91/73438.63-1)</f>
        <v>0.71600182444768734</v>
      </c>
      <c r="F91" s="329">
        <f t="shared" si="9"/>
        <v>11.939881895661731</v>
      </c>
      <c r="G91" s="330">
        <f>+$C$394/C91</f>
        <v>5.6951602651427198</v>
      </c>
    </row>
    <row r="92" spans="1:7" ht="18" hidden="1" customHeight="1" x14ac:dyDescent="0.25">
      <c r="A92" s="324">
        <v>2000</v>
      </c>
      <c r="B92" s="334" t="s">
        <v>14</v>
      </c>
      <c r="C92" s="326">
        <f t="shared" si="7"/>
        <v>74507.351007820354</v>
      </c>
      <c r="D92" s="331">
        <v>0.73399999999999999</v>
      </c>
      <c r="E92" s="333">
        <f t="shared" si="10"/>
        <v>1.4552572778391282</v>
      </c>
      <c r="F92" s="329">
        <f t="shared" si="9"/>
        <v>11.281476984876981</v>
      </c>
      <c r="G92" s="330">
        <f>+$C$394/C92</f>
        <v>5.6536623832496673</v>
      </c>
    </row>
    <row r="93" spans="1:7" ht="18" hidden="1" customHeight="1" x14ac:dyDescent="0.25">
      <c r="A93" s="324">
        <v>2000</v>
      </c>
      <c r="B93" s="334" t="s">
        <v>15</v>
      </c>
      <c r="C93" s="326">
        <f t="shared" si="7"/>
        <v>75047.752824680065</v>
      </c>
      <c r="D93" s="331">
        <v>0.72529999999999994</v>
      </c>
      <c r="E93" s="333">
        <f t="shared" si="10"/>
        <v>2.1911122588752718</v>
      </c>
      <c r="F93" s="329">
        <f t="shared" si="9"/>
        <v>10.247468808348881</v>
      </c>
      <c r="G93" s="330">
        <f>+$C$394/C93</f>
        <v>5.6129516449687094</v>
      </c>
    </row>
    <row r="94" spans="1:7" ht="18" hidden="1" customHeight="1" x14ac:dyDescent="0.25">
      <c r="A94" s="324">
        <v>2000</v>
      </c>
      <c r="B94" s="334" t="s">
        <v>16</v>
      </c>
      <c r="C94" s="326">
        <f t="shared" si="7"/>
        <v>75521.154049498145</v>
      </c>
      <c r="D94" s="331">
        <v>0.63080000000000003</v>
      </c>
      <c r="E94" s="333">
        <f t="shared" si="10"/>
        <v>2.8357337950042583</v>
      </c>
      <c r="F94" s="329">
        <f t="shared" si="9"/>
        <v>9.7249627550112905</v>
      </c>
      <c r="G94" s="330">
        <f>+$C$394/C94</f>
        <v>5.577767090163956</v>
      </c>
    </row>
    <row r="95" spans="1:7" ht="18" hidden="1" customHeight="1" x14ac:dyDescent="0.25">
      <c r="A95" s="324">
        <v>2000</v>
      </c>
      <c r="B95" s="334" t="s">
        <v>17</v>
      </c>
      <c r="C95" s="326">
        <f t="shared" si="7"/>
        <v>76087.864789485582</v>
      </c>
      <c r="D95" s="331">
        <v>0.75039999999999996</v>
      </c>
      <c r="E95" s="333">
        <f t="shared" si="10"/>
        <v>3.6074131414019828</v>
      </c>
      <c r="F95" s="329">
        <f t="shared" si="9"/>
        <v>9.3347234452822789</v>
      </c>
      <c r="G95" s="330">
        <f>+$C$394/C95</f>
        <v>5.5362232707403205</v>
      </c>
    </row>
    <row r="96" spans="1:7" ht="18" hidden="1" customHeight="1" x14ac:dyDescent="0.25">
      <c r="A96" s="324">
        <v>2000</v>
      </c>
      <c r="B96" s="334" t="s">
        <v>18</v>
      </c>
      <c r="C96" s="326">
        <f t="shared" si="7"/>
        <v>76631.969110595193</v>
      </c>
      <c r="D96" s="331">
        <v>0.71509999999999996</v>
      </c>
      <c r="E96" s="333">
        <f t="shared" si="10"/>
        <v>4.3483097527761361</v>
      </c>
      <c r="F96" s="329">
        <f t="shared" si="9"/>
        <v>9.2317984849116907</v>
      </c>
      <c r="G96" s="330">
        <f>+$C$394/C96</f>
        <v>5.4969148327711732</v>
      </c>
    </row>
    <row r="97" spans="1:7" ht="18" hidden="1" customHeight="1" x14ac:dyDescent="0.25">
      <c r="A97" s="324">
        <v>2000</v>
      </c>
      <c r="B97" s="334" t="s">
        <v>19</v>
      </c>
      <c r="C97" s="326">
        <f t="shared" si="7"/>
        <v>77134.291668115155</v>
      </c>
      <c r="D97" s="331">
        <v>0.65549999999999997</v>
      </c>
      <c r="E97" s="333">
        <f>100*(C97/73438.63-1)</f>
        <v>5.0323129232056063</v>
      </c>
      <c r="F97" s="329">
        <f t="shared" si="9"/>
        <v>9.0860332612167092</v>
      </c>
      <c r="G97" s="330">
        <f>+$C$394/C97</f>
        <v>5.4611172094631417</v>
      </c>
    </row>
    <row r="98" spans="1:7" ht="18" hidden="1" customHeight="1" x14ac:dyDescent="0.25">
      <c r="A98" s="324">
        <v>2000</v>
      </c>
      <c r="B98" s="334" t="s">
        <v>20</v>
      </c>
      <c r="C98" s="326">
        <f t="shared" si="7"/>
        <v>77676.931410000339</v>
      </c>
      <c r="D98" s="331">
        <v>0.70350000000000001</v>
      </c>
      <c r="E98" s="333">
        <f>100*(C98/73438.63-1)</f>
        <v>5.7712152446203424</v>
      </c>
      <c r="F98" s="329">
        <f t="shared" si="9"/>
        <v>8.9816006996124678</v>
      </c>
      <c r="G98" s="330">
        <f>+$C$394/C98</f>
        <v>5.4229666391566749</v>
      </c>
    </row>
    <row r="99" spans="1:7" ht="18" hidden="1" customHeight="1" x14ac:dyDescent="0.25">
      <c r="A99" s="324">
        <v>2000</v>
      </c>
      <c r="B99" s="334" t="s">
        <v>21</v>
      </c>
      <c r="C99" s="326">
        <f t="shared" si="7"/>
        <v>78146.333106510967</v>
      </c>
      <c r="D99" s="331">
        <v>0.60429999999999995</v>
      </c>
      <c r="E99" s="333">
        <f>100*(C99/73438.63-1)</f>
        <v>6.4103906983435932</v>
      </c>
      <c r="F99" s="329">
        <f t="shared" si="9"/>
        <v>8.8023980476731101</v>
      </c>
      <c r="G99" s="330">
        <f>+$C$394/C99</f>
        <v>5.3903924972955188</v>
      </c>
    </row>
    <row r="100" spans="1:7" ht="18" hidden="1" customHeight="1" x14ac:dyDescent="0.25">
      <c r="A100" s="324">
        <v>2000</v>
      </c>
      <c r="B100" s="334" t="s">
        <v>22</v>
      </c>
      <c r="C100" s="326">
        <f>+C99*(1+D100/100)</f>
        <v>78640.452370743442</v>
      </c>
      <c r="D100" s="331">
        <v>0.63229999999999997</v>
      </c>
      <c r="E100" s="333">
        <f>100*(C100/73438.63-1)</f>
        <v>7.0832235987292158</v>
      </c>
      <c r="F100" s="329">
        <f t="shared" si="9"/>
        <v>8.6968684706925092</v>
      </c>
      <c r="G100" s="330">
        <f>+$C$394/C100</f>
        <v>5.3565232010949941</v>
      </c>
    </row>
    <row r="101" spans="1:7" ht="18" hidden="1" customHeight="1" x14ac:dyDescent="0.25">
      <c r="A101" s="324">
        <v>2000</v>
      </c>
      <c r="B101" s="334" t="s">
        <v>23</v>
      </c>
      <c r="C101" s="326">
        <f>+C100*(1+D101/100)</f>
        <v>79128.259096799156</v>
      </c>
      <c r="D101" s="331">
        <v>0.62029999999999996</v>
      </c>
      <c r="E101" s="333">
        <f>100*(C101/C90-1)</f>
        <v>7.747458882891145</v>
      </c>
      <c r="F101" s="329">
        <f t="shared" si="9"/>
        <v>8.6108392709197688</v>
      </c>
      <c r="G101" s="330">
        <f>+$C$394/C101</f>
        <v>5.323501521159244</v>
      </c>
    </row>
    <row r="102" spans="1:7" ht="18" hidden="1" customHeight="1" x14ac:dyDescent="0.25">
      <c r="A102" s="324">
        <v>2000</v>
      </c>
      <c r="B102" s="334" t="s">
        <v>12</v>
      </c>
      <c r="C102" s="326">
        <f>+C101*(1+D102/100)</f>
        <v>79602.712138343559</v>
      </c>
      <c r="D102" s="331">
        <v>0.59960000000000002</v>
      </c>
      <c r="E102" s="333">
        <f>100*(C102/C90-1)</f>
        <v>8.3935126463529528</v>
      </c>
      <c r="F102" s="329">
        <f t="shared" si="9"/>
        <v>8.3935126463529528</v>
      </c>
      <c r="G102" s="330">
        <f>+$C$394/C102</f>
        <v>5.2917720559119958</v>
      </c>
    </row>
    <row r="103" spans="1:7" ht="18" hidden="1" customHeight="1" x14ac:dyDescent="0.25">
      <c r="A103" s="324">
        <v>2001</v>
      </c>
      <c r="B103" s="334" t="s">
        <v>13</v>
      </c>
      <c r="C103" s="326">
        <f>+C102*(1+D103/100)</f>
        <v>80110.259030937639</v>
      </c>
      <c r="D103" s="331">
        <v>0.63759999999999994</v>
      </c>
      <c r="E103" s="333">
        <f>100*(C103/C102-1)</f>
        <v>0.63759999999999373</v>
      </c>
      <c r="F103" s="329">
        <f t="shared" si="9"/>
        <v>8.3091362673121552</v>
      </c>
      <c r="G103" s="330">
        <f>+$C$394/C103</f>
        <v>5.2582454827142104</v>
      </c>
    </row>
    <row r="104" spans="1:7" ht="18" hidden="1" customHeight="1" x14ac:dyDescent="0.25">
      <c r="A104" s="324">
        <v>2001</v>
      </c>
      <c r="B104" s="334" t="s">
        <v>14</v>
      </c>
      <c r="C104" s="326">
        <f t="shared" ref="C104:C122" si="11">+C103*(1+D104/100)</f>
        <v>80540.451121933787</v>
      </c>
      <c r="D104" s="331">
        <v>0.53700000000000003</v>
      </c>
      <c r="E104" s="333">
        <f t="shared" ref="E104:E109" si="12">100*(C104/$C$102-1)</f>
        <v>1.1780239120000147</v>
      </c>
      <c r="F104" s="329">
        <f t="shared" si="9"/>
        <v>8.0973219856926626</v>
      </c>
      <c r="G104" s="330">
        <f>+$C$394/C104</f>
        <v>5.2301595260592713</v>
      </c>
    </row>
    <row r="105" spans="1:7" ht="18" hidden="1" customHeight="1" x14ac:dyDescent="0.25">
      <c r="A105" s="324">
        <v>2001</v>
      </c>
      <c r="B105" s="334" t="s">
        <v>15</v>
      </c>
      <c r="C105" s="326">
        <f t="shared" si="11"/>
        <v>81082.729979337775</v>
      </c>
      <c r="D105" s="331">
        <v>0.67330000000000001</v>
      </c>
      <c r="E105" s="333">
        <f>100*(C105/$C$102-1)</f>
        <v>1.8592555469995276</v>
      </c>
      <c r="F105" s="329">
        <f t="shared" si="9"/>
        <v>8.0415161380729128</v>
      </c>
      <c r="G105" s="330">
        <f>+$C$394/C105</f>
        <v>5.1951803765837328</v>
      </c>
    </row>
    <row r="106" spans="1:7" ht="18" hidden="1" customHeight="1" x14ac:dyDescent="0.25">
      <c r="A106" s="324">
        <v>2001</v>
      </c>
      <c r="B106" s="334" t="s">
        <v>16</v>
      </c>
      <c r="C106" s="326">
        <f t="shared" si="11"/>
        <v>81614.146191622349</v>
      </c>
      <c r="D106" s="331">
        <v>0.65539999999999998</v>
      </c>
      <c r="E106" s="333">
        <f t="shared" si="12"/>
        <v>2.5268411078545494</v>
      </c>
      <c r="F106" s="329">
        <f t="shared" si="9"/>
        <v>8.0679277466161778</v>
      </c>
      <c r="G106" s="330">
        <f>+$C$394/C106</f>
        <v>5.161352869874575</v>
      </c>
    </row>
    <row r="107" spans="1:7" ht="18" hidden="1" customHeight="1" x14ac:dyDescent="0.25">
      <c r="A107" s="324">
        <v>2001</v>
      </c>
      <c r="B107" s="334" t="s">
        <v>17</v>
      </c>
      <c r="C107" s="326">
        <f t="shared" si="11"/>
        <v>82172.060494988284</v>
      </c>
      <c r="D107" s="331">
        <v>0.68359999999999999</v>
      </c>
      <c r="E107" s="333">
        <f t="shared" si="12"/>
        <v>3.2277145936678409</v>
      </c>
      <c r="F107" s="329">
        <f t="shared" si="9"/>
        <v>7.9962760452485071</v>
      </c>
      <c r="G107" s="330">
        <f>+$C$394/C107</f>
        <v>5.1263094186884208</v>
      </c>
    </row>
    <row r="108" spans="1:7" ht="18" hidden="1" customHeight="1" x14ac:dyDescent="0.25">
      <c r="A108" s="324">
        <v>2001</v>
      </c>
      <c r="B108" s="334" t="s">
        <v>18</v>
      </c>
      <c r="C108" s="326">
        <f t="shared" si="11"/>
        <v>82703.302866088372</v>
      </c>
      <c r="D108" s="331">
        <v>0.64649999999999996</v>
      </c>
      <c r="E108" s="333">
        <f t="shared" si="12"/>
        <v>3.8950817685158956</v>
      </c>
      <c r="F108" s="329">
        <f t="shared" si="9"/>
        <v>7.9227166233077462</v>
      </c>
      <c r="G108" s="330">
        <f>+$C$394/C108</f>
        <v>5.0933807123828663</v>
      </c>
    </row>
    <row r="109" spans="1:7" ht="18" hidden="1" customHeight="1" x14ac:dyDescent="0.25">
      <c r="A109" s="324">
        <v>2001</v>
      </c>
      <c r="B109" s="334" t="s">
        <v>19</v>
      </c>
      <c r="C109" s="326">
        <f t="shared" si="11"/>
        <v>83319.690582349329</v>
      </c>
      <c r="D109" s="331">
        <v>0.74529999999999996</v>
      </c>
      <c r="E109" s="333">
        <f t="shared" si="12"/>
        <v>4.6694118129366524</v>
      </c>
      <c r="F109" s="329">
        <f t="shared" si="9"/>
        <v>8.0190000847457412</v>
      </c>
      <c r="G109" s="330">
        <f>+$C$394/C109</f>
        <v>5.055700575990012</v>
      </c>
    </row>
    <row r="110" spans="1:7" ht="18" hidden="1" customHeight="1" x14ac:dyDescent="0.25">
      <c r="A110" s="324">
        <v>2001</v>
      </c>
      <c r="B110" s="334" t="s">
        <v>20</v>
      </c>
      <c r="C110" s="326">
        <f t="shared" si="11"/>
        <v>84023.991926841933</v>
      </c>
      <c r="D110" s="331">
        <v>0.84530000000000005</v>
      </c>
      <c r="E110" s="333">
        <f>100*(C110/$C$102-1)</f>
        <v>5.5541823509914101</v>
      </c>
      <c r="F110" s="329">
        <f t="shared" si="9"/>
        <v>8.1711009969485779</v>
      </c>
      <c r="G110" s="330">
        <f>+$C$394/C110</f>
        <v>5.0133229570342017</v>
      </c>
    </row>
    <row r="111" spans="1:7" ht="18" hidden="1" customHeight="1" x14ac:dyDescent="0.25">
      <c r="A111" s="324">
        <v>2001</v>
      </c>
      <c r="B111" s="334" t="s">
        <v>21</v>
      </c>
      <c r="C111" s="326">
        <f t="shared" si="11"/>
        <v>84581.491113276526</v>
      </c>
      <c r="D111" s="331">
        <v>0.66349999999999998</v>
      </c>
      <c r="E111" s="333">
        <f>100*(C111/$C$102-1)</f>
        <v>6.2545343508902285</v>
      </c>
      <c r="F111" s="329">
        <f t="shared" si="9"/>
        <v>8.2347536358419404</v>
      </c>
      <c r="G111" s="330">
        <f>+$C$394/C111</f>
        <v>4.9802788071487702</v>
      </c>
    </row>
    <row r="112" spans="1:7" ht="18" hidden="1" customHeight="1" x14ac:dyDescent="0.25">
      <c r="A112" s="324">
        <v>2001</v>
      </c>
      <c r="B112" s="334" t="s">
        <v>22</v>
      </c>
      <c r="C112" s="326">
        <f t="shared" si="11"/>
        <v>85252.053174822577</v>
      </c>
      <c r="D112" s="331">
        <v>0.79279999999999995</v>
      </c>
      <c r="E112" s="333">
        <f>100*(C112/$C$102-1)</f>
        <v>7.0969202992240854</v>
      </c>
      <c r="F112" s="329">
        <f t="shared" si="9"/>
        <v>8.4073789058452206</v>
      </c>
      <c r="G112" s="330">
        <f>+$C$394/C112</f>
        <v>4.9411057209927396</v>
      </c>
    </row>
    <row r="113" spans="1:7" ht="18" hidden="1" customHeight="1" x14ac:dyDescent="0.25">
      <c r="A113" s="324">
        <v>2001</v>
      </c>
      <c r="B113" s="334" t="s">
        <v>23</v>
      </c>
      <c r="C113" s="326">
        <f t="shared" si="11"/>
        <v>85843.531919749483</v>
      </c>
      <c r="D113" s="331">
        <v>0.69379999999999997</v>
      </c>
      <c r="E113" s="333">
        <f>100*(C113/$C$102-1)</f>
        <v>7.8399587322600883</v>
      </c>
      <c r="F113" s="329">
        <f t="shared" si="9"/>
        <v>8.4865671248187002</v>
      </c>
      <c r="G113" s="330">
        <f>+$C$394/C113</f>
        <v>4.9070605350009044</v>
      </c>
    </row>
    <row r="114" spans="1:7" ht="18" hidden="1" customHeight="1" x14ac:dyDescent="0.25">
      <c r="A114" s="324">
        <v>2001</v>
      </c>
      <c r="B114" s="334" t="s">
        <v>12</v>
      </c>
      <c r="C114" s="326">
        <f t="shared" si="11"/>
        <v>86443.835738464288</v>
      </c>
      <c r="D114" s="331">
        <v>0.69930000000000003</v>
      </c>
      <c r="E114" s="333">
        <f>100*(C114/$C$102-1)</f>
        <v>8.5940835636747703</v>
      </c>
      <c r="F114" s="329">
        <f t="shared" si="9"/>
        <v>8.5940835636747703</v>
      </c>
      <c r="G114" s="330">
        <f>+$C$394/C114</f>
        <v>4.8729837595702303</v>
      </c>
    </row>
    <row r="115" spans="1:7" ht="18" hidden="1" customHeight="1" x14ac:dyDescent="0.25">
      <c r="A115" s="324">
        <v>2002</v>
      </c>
      <c r="B115" s="334" t="s">
        <v>13</v>
      </c>
      <c r="C115" s="326">
        <f>+C114*(1+D115/100)</f>
        <v>87101.15466541957</v>
      </c>
      <c r="D115" s="331">
        <v>0.76039999999999996</v>
      </c>
      <c r="E115" s="333">
        <f>100*(C115/$C$114-1)</f>
        <v>0.76039999999999441</v>
      </c>
      <c r="F115" s="329">
        <f t="shared" si="9"/>
        <v>8.7265922230786117</v>
      </c>
      <c r="G115" s="330">
        <f>+$C$394/C115</f>
        <v>4.8362092246261721</v>
      </c>
    </row>
    <row r="116" spans="1:7" ht="18" hidden="1" customHeight="1" x14ac:dyDescent="0.25">
      <c r="A116" s="324">
        <v>2002</v>
      </c>
      <c r="B116" s="334" t="s">
        <v>14</v>
      </c>
      <c r="C116" s="326">
        <f t="shared" si="11"/>
        <v>87639.178497787871</v>
      </c>
      <c r="D116" s="331">
        <v>0.61770000000000003</v>
      </c>
      <c r="E116" s="333">
        <f>100*(C116/$C$114-1)</f>
        <v>1.3827969907999949</v>
      </c>
      <c r="F116" s="329">
        <f t="shared" si="9"/>
        <v>8.8138659232327896</v>
      </c>
      <c r="G116" s="330">
        <f>+$C$394/C116</f>
        <v>4.8065193545729752</v>
      </c>
    </row>
    <row r="117" spans="1:7" ht="18" hidden="1" customHeight="1" x14ac:dyDescent="0.25">
      <c r="A117" s="324">
        <v>2002</v>
      </c>
      <c r="B117" s="334" t="s">
        <v>15</v>
      </c>
      <c r="C117" s="326">
        <f t="shared" si="11"/>
        <v>88232.232818682402</v>
      </c>
      <c r="D117" s="331">
        <v>0.67669999999999997</v>
      </c>
      <c r="E117" s="333">
        <f t="shared" ref="E117:E125" si="13">100*(C117/$C$114-1)</f>
        <v>2.0688543780367441</v>
      </c>
      <c r="F117" s="329">
        <f t="shared" si="9"/>
        <v>8.8175408513829332</v>
      </c>
      <c r="G117" s="330">
        <f>+$C$394/C117</f>
        <v>4.774212260208146</v>
      </c>
    </row>
    <row r="118" spans="1:7" ht="18" hidden="1" customHeight="1" x14ac:dyDescent="0.25">
      <c r="A118" s="324">
        <v>2002</v>
      </c>
      <c r="B118" s="334" t="s">
        <v>16</v>
      </c>
      <c r="C118" s="326">
        <f t="shared" si="11"/>
        <v>88882.416142323273</v>
      </c>
      <c r="D118" s="331">
        <v>0.7369</v>
      </c>
      <c r="E118" s="333">
        <f t="shared" si="13"/>
        <v>2.8209997659484953</v>
      </c>
      <c r="F118" s="329">
        <f t="shared" si="9"/>
        <v>8.9056496819015951</v>
      </c>
      <c r="G118" s="330">
        <f>+$C$394/C118</f>
        <v>4.7392884436667657</v>
      </c>
    </row>
    <row r="119" spans="1:7" ht="18" hidden="1" customHeight="1" x14ac:dyDescent="0.25">
      <c r="A119" s="324">
        <v>2002</v>
      </c>
      <c r="B119" s="334" t="s">
        <v>17</v>
      </c>
      <c r="C119" s="326">
        <f t="shared" si="11"/>
        <v>89514.636768343611</v>
      </c>
      <c r="D119" s="331">
        <v>0.71130000000000004</v>
      </c>
      <c r="E119" s="333">
        <f t="shared" si="13"/>
        <v>3.552365537283686</v>
      </c>
      <c r="F119" s="329">
        <f t="shared" si="9"/>
        <v>8.9356117263277746</v>
      </c>
      <c r="G119" s="330">
        <f>+$C$394/C119</f>
        <v>4.7058159746391581</v>
      </c>
    </row>
    <row r="120" spans="1:7" ht="18" hidden="1" customHeight="1" x14ac:dyDescent="0.25">
      <c r="A120" s="324">
        <v>2002</v>
      </c>
      <c r="B120" s="334" t="s">
        <v>18</v>
      </c>
      <c r="C120" s="326">
        <f t="shared" si="11"/>
        <v>90104.538224647011</v>
      </c>
      <c r="D120" s="331">
        <v>0.65900000000000003</v>
      </c>
      <c r="E120" s="333">
        <f t="shared" si="13"/>
        <v>4.234775626174403</v>
      </c>
      <c r="F120" s="329">
        <f t="shared" si="9"/>
        <v>8.9491412096837095</v>
      </c>
      <c r="G120" s="330">
        <f>+$C$394/C120</f>
        <v>4.6750076740670554</v>
      </c>
    </row>
    <row r="121" spans="1:7" ht="18" hidden="1" customHeight="1" x14ac:dyDescent="0.25">
      <c r="A121" s="324">
        <v>2002</v>
      </c>
      <c r="B121" s="334" t="s">
        <v>19</v>
      </c>
      <c r="C121" s="326">
        <f t="shared" si="11"/>
        <v>90795.549928291817</v>
      </c>
      <c r="D121" s="335">
        <v>0.76690000000000003</v>
      </c>
      <c r="E121" s="333">
        <f t="shared" si="13"/>
        <v>5.0341521204515294</v>
      </c>
      <c r="F121" s="329">
        <f t="shared" si="9"/>
        <v>8.9725001301507401</v>
      </c>
      <c r="G121" s="330">
        <f>+$C$394/C121</f>
        <v>4.6394279014905253</v>
      </c>
    </row>
    <row r="122" spans="1:7" ht="18" hidden="1" customHeight="1" x14ac:dyDescent="0.25">
      <c r="A122" s="324">
        <v>2002</v>
      </c>
      <c r="B122" s="334" t="s">
        <v>20</v>
      </c>
      <c r="C122" s="326">
        <f t="shared" si="11"/>
        <v>91475.880983904499</v>
      </c>
      <c r="D122" s="335">
        <v>0.74929999999999997</v>
      </c>
      <c r="E122" s="333">
        <f t="shared" si="13"/>
        <v>5.8211730222900604</v>
      </c>
      <c r="F122" s="329">
        <f t="shared" si="9"/>
        <v>8.8687634164665408</v>
      </c>
      <c r="G122" s="330">
        <f>+$C$394/C122</f>
        <v>4.6049232118640289</v>
      </c>
    </row>
    <row r="123" spans="1:7" ht="18" hidden="1" customHeight="1" x14ac:dyDescent="0.25">
      <c r="A123" s="324">
        <v>2002</v>
      </c>
      <c r="B123" s="334" t="s">
        <v>21</v>
      </c>
      <c r="C123" s="326">
        <f>+C122*(1+D123/100)</f>
        <v>92113.010494957402</v>
      </c>
      <c r="D123" s="335">
        <v>0.69650000000000001</v>
      </c>
      <c r="E123" s="333">
        <f t="shared" si="13"/>
        <v>6.5582174923903169</v>
      </c>
      <c r="F123" s="329">
        <f t="shared" si="9"/>
        <v>8.9044533059770892</v>
      </c>
      <c r="G123" s="330">
        <f>+$C$394/C123</f>
        <v>4.5730717670068257</v>
      </c>
    </row>
    <row r="124" spans="1:7" ht="18" hidden="1" customHeight="1" x14ac:dyDescent="0.25">
      <c r="A124" s="324">
        <v>2002</v>
      </c>
      <c r="B124" s="334" t="s">
        <v>22</v>
      </c>
      <c r="C124" s="326">
        <f>+C123*(1+D124/100)</f>
        <v>92829.83394262915</v>
      </c>
      <c r="D124" s="335">
        <v>0.7782</v>
      </c>
      <c r="E124" s="333">
        <f t="shared" si="13"/>
        <v>7.387453540916078</v>
      </c>
      <c r="F124" s="329">
        <f t="shared" si="9"/>
        <v>8.888678319884157</v>
      </c>
      <c r="G124" s="330">
        <f>+$C$394/C124</f>
        <v>4.5377589270366272</v>
      </c>
    </row>
    <row r="125" spans="1:7" ht="18" hidden="1" customHeight="1" x14ac:dyDescent="0.25">
      <c r="A125" s="324">
        <v>2002</v>
      </c>
      <c r="B125" s="334" t="s">
        <v>23</v>
      </c>
      <c r="C125" s="326">
        <f>+C124*(1+D125/100)</f>
        <v>93540.631981127866</v>
      </c>
      <c r="D125" s="335">
        <v>0.76570000000000005</v>
      </c>
      <c r="E125" s="333">
        <f t="shared" si="13"/>
        <v>8.2097192726788837</v>
      </c>
      <c r="F125" s="329">
        <f t="shared" si="9"/>
        <v>8.9664298395527133</v>
      </c>
      <c r="G125" s="330">
        <f>+$C$394/C125</f>
        <v>4.5032773325016615</v>
      </c>
    </row>
    <row r="126" spans="1:7" ht="18" hidden="1" customHeight="1" x14ac:dyDescent="0.25">
      <c r="A126" s="324">
        <v>2002</v>
      </c>
      <c r="B126" s="334" t="s">
        <v>12</v>
      </c>
      <c r="C126" s="326">
        <f>+C125*(1+D126/100)</f>
        <v>94347.607013229048</v>
      </c>
      <c r="D126" s="335">
        <v>0.86270000000000002</v>
      </c>
      <c r="E126" s="333">
        <f>100*(C126/$C$114-1)</f>
        <v>9.1432445208442736</v>
      </c>
      <c r="F126" s="329">
        <f t="shared" si="9"/>
        <v>9.1432445208442736</v>
      </c>
      <c r="G126" s="330">
        <f>+$C$394/C126</f>
        <v>4.4647598492819069</v>
      </c>
    </row>
    <row r="127" spans="1:7" ht="18" hidden="1" customHeight="1" x14ac:dyDescent="0.25">
      <c r="A127" s="324">
        <v>2003</v>
      </c>
      <c r="B127" s="334" t="s">
        <v>13</v>
      </c>
      <c r="C127" s="326">
        <f>+C126*(1+D127/100)</f>
        <v>95281.837017874044</v>
      </c>
      <c r="D127" s="335">
        <v>0.99019999999999997</v>
      </c>
      <c r="E127" s="333">
        <f t="shared" ref="E127:E138" si="14">100*(C127/$C$126-1)</f>
        <v>0.99020000000000774</v>
      </c>
      <c r="F127" s="329">
        <f t="shared" si="9"/>
        <v>9.39216292123659</v>
      </c>
      <c r="G127" s="330">
        <f>+$C$394/C127</f>
        <v>4.4209832729135172</v>
      </c>
    </row>
    <row r="128" spans="1:7" ht="18" hidden="1" customHeight="1" x14ac:dyDescent="0.25">
      <c r="A128" s="324">
        <v>2003</v>
      </c>
      <c r="B128" s="334" t="s">
        <v>14</v>
      </c>
      <c r="C128" s="326">
        <f t="shared" ref="C128:C138" si="15">+C127*(1+D128/100)</f>
        <v>96152.427162706357</v>
      </c>
      <c r="D128" s="335">
        <v>0.91369999999999996</v>
      </c>
      <c r="E128" s="333">
        <f t="shared" si="14"/>
        <v>1.9129474574000049</v>
      </c>
      <c r="F128" s="329">
        <f t="shared" si="9"/>
        <v>9.7139758848074678</v>
      </c>
      <c r="G128" s="330">
        <f>+$C$394/C128</f>
        <v>4.3809544917226475</v>
      </c>
    </row>
    <row r="129" spans="1:7" ht="18" hidden="1" customHeight="1" x14ac:dyDescent="0.25">
      <c r="A129" s="324">
        <v>2003</v>
      </c>
      <c r="B129" s="334" t="s">
        <v>15</v>
      </c>
      <c r="C129" s="326">
        <f t="shared" si="15"/>
        <v>96998.664674165339</v>
      </c>
      <c r="D129" s="335">
        <v>0.88009999999999999</v>
      </c>
      <c r="E129" s="333">
        <f t="shared" si="14"/>
        <v>2.8098833079725827</v>
      </c>
      <c r="F129" s="329">
        <f t="shared" si="9"/>
        <v>9.9356341502747636</v>
      </c>
      <c r="G129" s="330">
        <f>+$C$394/C129</f>
        <v>4.3427340890053117</v>
      </c>
    </row>
    <row r="130" spans="1:7" ht="18" hidden="1" customHeight="1" x14ac:dyDescent="0.25">
      <c r="A130" s="324">
        <v>2003</v>
      </c>
      <c r="B130" s="334" t="s">
        <v>16</v>
      </c>
      <c r="C130" s="326">
        <f t="shared" si="15"/>
        <v>97891.53738249102</v>
      </c>
      <c r="D130" s="335">
        <v>0.92049999999999998</v>
      </c>
      <c r="E130" s="333">
        <f t="shared" si="14"/>
        <v>3.7562482838224609</v>
      </c>
      <c r="F130" s="329">
        <f t="shared" si="9"/>
        <v>10.135999482441903</v>
      </c>
      <c r="G130" s="330">
        <f>+$C$394/C130</f>
        <v>4.3031238341123084</v>
      </c>
    </row>
    <row r="131" spans="1:7" ht="18" hidden="1" customHeight="1" x14ac:dyDescent="0.25">
      <c r="A131" s="324">
        <v>2003</v>
      </c>
      <c r="B131" s="334" t="s">
        <v>17</v>
      </c>
      <c r="C131" s="326">
        <f t="shared" si="15"/>
        <v>98838.442223591861</v>
      </c>
      <c r="D131" s="335">
        <v>0.96730000000000005</v>
      </c>
      <c r="E131" s="333">
        <f t="shared" si="14"/>
        <v>4.759882473471877</v>
      </c>
      <c r="F131" s="329">
        <f t="shared" si="9"/>
        <v>10.415956308215236</v>
      </c>
      <c r="G131" s="330">
        <f>+$C$394/C131</f>
        <v>4.2618984900183605</v>
      </c>
    </row>
    <row r="132" spans="1:7" ht="18" hidden="1" customHeight="1" x14ac:dyDescent="0.25">
      <c r="A132" s="324">
        <v>2003</v>
      </c>
      <c r="B132" s="334" t="s">
        <v>18</v>
      </c>
      <c r="C132" s="326">
        <f t="shared" si="15"/>
        <v>99746.470992300005</v>
      </c>
      <c r="D132" s="335">
        <v>0.91869999999999996</v>
      </c>
      <c r="E132" s="333">
        <f t="shared" si="14"/>
        <v>5.7223115137556624</v>
      </c>
      <c r="F132" s="329">
        <f t="shared" si="9"/>
        <v>10.700829234165642</v>
      </c>
      <c r="G132" s="330">
        <f>+$C$394/C132</f>
        <v>4.2231008623955324</v>
      </c>
    </row>
    <row r="133" spans="1:7" ht="18" hidden="1" customHeight="1" x14ac:dyDescent="0.25">
      <c r="A133" s="324">
        <v>2003</v>
      </c>
      <c r="B133" s="334" t="s">
        <v>19</v>
      </c>
      <c r="C133" s="326">
        <f t="shared" si="15"/>
        <v>100793.01096595121</v>
      </c>
      <c r="D133" s="335">
        <v>1.0491999999999999</v>
      </c>
      <c r="E133" s="333">
        <f t="shared" si="14"/>
        <v>6.8315500061579826</v>
      </c>
      <c r="F133" s="329">
        <f t="shared" si="9"/>
        <v>11.010959287713051</v>
      </c>
      <c r="G133" s="330">
        <f>+$C$394/C133</f>
        <v>4.1792521488498009</v>
      </c>
    </row>
    <row r="134" spans="1:7" ht="18" hidden="1" customHeight="1" x14ac:dyDescent="0.25">
      <c r="A134" s="324">
        <v>2003</v>
      </c>
      <c r="B134" s="334" t="s">
        <v>20</v>
      </c>
      <c r="C134" s="326">
        <f t="shared" si="15"/>
        <v>101705.9940592808</v>
      </c>
      <c r="D134" s="335">
        <v>0.90580000000000005</v>
      </c>
      <c r="E134" s="333">
        <f t="shared" si="14"/>
        <v>7.7992301861137703</v>
      </c>
      <c r="F134" s="329">
        <f t="shared" si="9"/>
        <v>11.183399345644251</v>
      </c>
      <c r="G134" s="330">
        <f>+$C$394/C134</f>
        <v>4.1417363014314343</v>
      </c>
    </row>
    <row r="135" spans="1:7" ht="18" hidden="1" customHeight="1" x14ac:dyDescent="0.25">
      <c r="A135" s="324">
        <v>2003</v>
      </c>
      <c r="B135" s="334" t="s">
        <v>21</v>
      </c>
      <c r="C135" s="326">
        <f t="shared" si="15"/>
        <v>102558.39199549163</v>
      </c>
      <c r="D135" s="335">
        <v>0.83809999999999996</v>
      </c>
      <c r="E135" s="333">
        <f t="shared" si="14"/>
        <v>8.702695534303583</v>
      </c>
      <c r="F135" s="329">
        <f t="shared" si="9"/>
        <v>11.339746084084457</v>
      </c>
      <c r="G135" s="330">
        <f>+$C$394/C135</f>
        <v>4.1073129119166607</v>
      </c>
    </row>
    <row r="136" spans="1:7" ht="18" hidden="1" customHeight="1" x14ac:dyDescent="0.25">
      <c r="A136" s="324">
        <v>2003</v>
      </c>
      <c r="B136" s="334" t="s">
        <v>22</v>
      </c>
      <c r="C136" s="326">
        <f t="shared" si="15"/>
        <v>103402.34500322254</v>
      </c>
      <c r="D136" s="335">
        <v>0.82289999999999996</v>
      </c>
      <c r="E136" s="333">
        <f t="shared" si="14"/>
        <v>9.597210015855385</v>
      </c>
      <c r="F136" s="329">
        <f t="shared" si="9"/>
        <v>11.389130639970158</v>
      </c>
      <c r="G136" s="330">
        <f>+$C$394/C136</f>
        <v>4.0737896965041287</v>
      </c>
    </row>
    <row r="137" spans="1:7" ht="18" hidden="1" customHeight="1" x14ac:dyDescent="0.25">
      <c r="A137" s="324">
        <v>2003</v>
      </c>
      <c r="B137" s="334" t="s">
        <v>23</v>
      </c>
      <c r="C137" s="326">
        <f t="shared" si="15"/>
        <v>104103.92991406941</v>
      </c>
      <c r="D137" s="335">
        <v>0.67849999999999999</v>
      </c>
      <c r="E137" s="333">
        <f t="shared" si="14"/>
        <v>10.340827085812965</v>
      </c>
      <c r="F137" s="329">
        <f t="shared" si="9"/>
        <v>11.292737401082253</v>
      </c>
      <c r="G137" s="330">
        <f>+$C$394/C137</f>
        <v>4.0463353114161693</v>
      </c>
    </row>
    <row r="138" spans="1:7" ht="18" hidden="1" customHeight="1" x14ac:dyDescent="0.25">
      <c r="A138" s="324">
        <v>2003</v>
      </c>
      <c r="B138" s="334" t="s">
        <v>12</v>
      </c>
      <c r="C138" s="326">
        <f t="shared" si="15"/>
        <v>104823.07986191579</v>
      </c>
      <c r="D138" s="335">
        <v>0.69079999999999997</v>
      </c>
      <c r="E138" s="333">
        <f t="shared" si="14"/>
        <v>11.103061519321745</v>
      </c>
      <c r="F138" s="329">
        <f t="shared" si="9"/>
        <v>11.103061519321745</v>
      </c>
      <c r="G138" s="330">
        <f>+$C$394/C138</f>
        <v>4.0185749953483034</v>
      </c>
    </row>
    <row r="139" spans="1:7" ht="18" hidden="1" customHeight="1" x14ac:dyDescent="0.25">
      <c r="A139" s="324">
        <v>2004</v>
      </c>
      <c r="B139" s="334" t="s">
        <v>13</v>
      </c>
      <c r="C139" s="326">
        <f>+C138*(1+D139/100)</f>
        <v>105481.99774192779</v>
      </c>
      <c r="D139" s="335">
        <v>0.62860000000000005</v>
      </c>
      <c r="E139" s="333">
        <f t="shared" ref="E139:E150" si="16">100*(C139/$C$138-1)</f>
        <v>0.62860000000000138</v>
      </c>
      <c r="F139" s="329">
        <f t="shared" si="9"/>
        <v>10.705251959132855</v>
      </c>
      <c r="G139" s="330">
        <f>+$C$394/C139</f>
        <v>3.993472030166676</v>
      </c>
    </row>
    <row r="140" spans="1:7" ht="18" hidden="1" customHeight="1" x14ac:dyDescent="0.25">
      <c r="A140" s="324">
        <v>2004</v>
      </c>
      <c r="B140" s="334" t="s">
        <v>14</v>
      </c>
      <c r="C140" s="326">
        <f t="shared" ref="C140:C203" si="17">+C139*(1+D140/100)</f>
        <v>106057.92944959871</v>
      </c>
      <c r="D140" s="327">
        <v>0.54600000000000004</v>
      </c>
      <c r="E140" s="333">
        <f t="shared" si="16"/>
        <v>1.1780321560000084</v>
      </c>
      <c r="F140" s="329">
        <f t="shared" si="9"/>
        <v>10.301874408360545</v>
      </c>
      <c r="G140" s="330">
        <f>+$C$394/C140</f>
        <v>3.9717860781798144</v>
      </c>
    </row>
    <row r="141" spans="1:7" ht="18" hidden="1" customHeight="1" x14ac:dyDescent="0.25">
      <c r="A141" s="324">
        <v>2004</v>
      </c>
      <c r="B141" s="334" t="s">
        <v>15</v>
      </c>
      <c r="C141" s="326">
        <f t="shared" si="17"/>
        <v>106777.74461677315</v>
      </c>
      <c r="D141" s="327">
        <v>0.67869999999999997</v>
      </c>
      <c r="E141" s="333">
        <f t="shared" si="16"/>
        <v>1.8647274602427766</v>
      </c>
      <c r="F141" s="329">
        <f t="shared" si="9"/>
        <v>10.08166450069945</v>
      </c>
      <c r="G141" s="330">
        <f>+$C$394/C141</f>
        <v>3.94501128657781</v>
      </c>
    </row>
    <row r="142" spans="1:7" ht="18" hidden="1" customHeight="1" x14ac:dyDescent="0.25">
      <c r="A142" s="324">
        <v>2004</v>
      </c>
      <c r="B142" s="334" t="s">
        <v>16</v>
      </c>
      <c r="C142" s="326">
        <f t="shared" si="17"/>
        <v>107405.38419963056</v>
      </c>
      <c r="D142" s="327">
        <v>0.58779999999999999</v>
      </c>
      <c r="E142" s="333">
        <f t="shared" si="16"/>
        <v>2.4634883282540931</v>
      </c>
      <c r="F142" s="329">
        <f t="shared" si="9"/>
        <v>9.7187633083809288</v>
      </c>
      <c r="G142" s="330">
        <f>+$C$394/C142</f>
        <v>3.921958017351816</v>
      </c>
    </row>
    <row r="143" spans="1:7" ht="18" hidden="1" customHeight="1" x14ac:dyDescent="0.25">
      <c r="A143" s="324">
        <v>2004</v>
      </c>
      <c r="B143" s="334" t="s">
        <v>17</v>
      </c>
      <c r="C143" s="326">
        <f t="shared" si="17"/>
        <v>108109.31908767493</v>
      </c>
      <c r="D143" s="327">
        <v>0.65539999999999998</v>
      </c>
      <c r="E143" s="333">
        <f t="shared" si="16"/>
        <v>3.1350340307574776</v>
      </c>
      <c r="F143" s="329">
        <f t="shared" si="9"/>
        <v>9.3798289972139912</v>
      </c>
      <c r="G143" s="330">
        <f>+$C$394/C143</f>
        <v>3.8964208749374758</v>
      </c>
    </row>
    <row r="144" spans="1:7" ht="18" hidden="1" customHeight="1" x14ac:dyDescent="0.25">
      <c r="A144" s="324">
        <v>2004</v>
      </c>
      <c r="B144" s="334" t="s">
        <v>18</v>
      </c>
      <c r="C144" s="326">
        <f t="shared" si="17"/>
        <v>108841.21917789849</v>
      </c>
      <c r="D144" s="327">
        <v>0.67700000000000005</v>
      </c>
      <c r="E144" s="333">
        <f t="shared" si="16"/>
        <v>3.833258211145707</v>
      </c>
      <c r="F144" s="329">
        <f t="shared" si="9"/>
        <v>9.11786461728612</v>
      </c>
      <c r="G144" s="330">
        <f>+$C$394/C144</f>
        <v>3.8702194889969666</v>
      </c>
    </row>
    <row r="145" spans="1:7" ht="18" hidden="1" customHeight="1" x14ac:dyDescent="0.25">
      <c r="A145" s="324">
        <v>2004</v>
      </c>
      <c r="B145" s="334" t="s">
        <v>19</v>
      </c>
      <c r="C145" s="326">
        <f t="shared" si="17"/>
        <v>109598.97174581501</v>
      </c>
      <c r="D145" s="327">
        <v>0.69620000000000004</v>
      </c>
      <c r="E145" s="333">
        <f t="shared" si="16"/>
        <v>4.5561453548116804</v>
      </c>
      <c r="F145" s="329">
        <f t="shared" si="9"/>
        <v>8.736677965537254</v>
      </c>
      <c r="G145" s="330">
        <f>+$C$394/C145</f>
        <v>3.8434613113473661</v>
      </c>
    </row>
    <row r="146" spans="1:7" ht="18" hidden="1" customHeight="1" x14ac:dyDescent="0.25">
      <c r="A146" s="324">
        <v>2004</v>
      </c>
      <c r="B146" s="334" t="s">
        <v>20</v>
      </c>
      <c r="C146" s="326">
        <f t="shared" si="17"/>
        <v>110367.8085326119</v>
      </c>
      <c r="D146" s="327">
        <v>0.70150000000000001</v>
      </c>
      <c r="E146" s="333">
        <f t="shared" si="16"/>
        <v>5.289606714475692</v>
      </c>
      <c r="F146" s="329">
        <f t="shared" si="9"/>
        <v>8.5165230952685569</v>
      </c>
      <c r="G146" s="330">
        <f>+$C$394/C146</f>
        <v>3.8166872502866056</v>
      </c>
    </row>
    <row r="147" spans="1:7" ht="18" hidden="1" customHeight="1" x14ac:dyDescent="0.25">
      <c r="A147" s="324">
        <v>2004</v>
      </c>
      <c r="B147" s="334" t="s">
        <v>21</v>
      </c>
      <c r="C147" s="326">
        <f t="shared" si="17"/>
        <v>111111.35645869611</v>
      </c>
      <c r="D147" s="327">
        <v>0.67369999999999997</v>
      </c>
      <c r="E147" s="333">
        <f t="shared" si="16"/>
        <v>5.9989427949111107</v>
      </c>
      <c r="F147" s="329">
        <f t="shared" ref="F147:F210" si="18">100*(C147/C135-1)</f>
        <v>8.3396046845005678</v>
      </c>
      <c r="G147" s="330">
        <f>+$C$394/C147</f>
        <v>3.7911462976791412</v>
      </c>
    </row>
    <row r="148" spans="1:7" ht="18" hidden="1" customHeight="1" x14ac:dyDescent="0.25">
      <c r="A148" s="324">
        <v>2004</v>
      </c>
      <c r="B148" s="334" t="s">
        <v>22</v>
      </c>
      <c r="C148" s="326">
        <f t="shared" si="17"/>
        <v>111790.69129208458</v>
      </c>
      <c r="D148" s="327">
        <v>0.61140000000000005</v>
      </c>
      <c r="E148" s="333">
        <f t="shared" si="16"/>
        <v>6.6470203311592035</v>
      </c>
      <c r="F148" s="329">
        <f t="shared" si="18"/>
        <v>8.1123366095813498</v>
      </c>
      <c r="G148" s="330">
        <f>+$C$394/C148</f>
        <v>3.7681080848483783</v>
      </c>
    </row>
    <row r="149" spans="1:7" ht="18" hidden="1" customHeight="1" x14ac:dyDescent="0.25">
      <c r="A149" s="324">
        <v>2004</v>
      </c>
      <c r="B149" s="334" t="s">
        <v>23</v>
      </c>
      <c r="C149" s="326">
        <f t="shared" si="17"/>
        <v>112478.42762491347</v>
      </c>
      <c r="D149" s="327">
        <v>0.61519999999999997</v>
      </c>
      <c r="E149" s="333">
        <f t="shared" si="16"/>
        <v>7.3031128002364776</v>
      </c>
      <c r="F149" s="329">
        <f t="shared" si="18"/>
        <v>8.0443627034605178</v>
      </c>
      <c r="G149" s="330">
        <f>+$C$394/C149</f>
        <v>3.745068423904518</v>
      </c>
    </row>
    <row r="150" spans="1:7" ht="18" hidden="1" customHeight="1" x14ac:dyDescent="0.25">
      <c r="A150" s="324">
        <v>2004</v>
      </c>
      <c r="B150" s="334" t="s">
        <v>12</v>
      </c>
      <c r="C150" s="326">
        <f t="shared" si="17"/>
        <v>113312.11773046933</v>
      </c>
      <c r="D150" s="327">
        <v>0.74119999999999997</v>
      </c>
      <c r="E150" s="333">
        <f t="shared" si="16"/>
        <v>8.0984434723118337</v>
      </c>
      <c r="F150" s="329">
        <f t="shared" si="18"/>
        <v>8.0984434723118337</v>
      </c>
      <c r="G150" s="330">
        <f>+$C$394/C150</f>
        <v>3.7175142085904458</v>
      </c>
    </row>
    <row r="151" spans="1:7" ht="18" hidden="1" customHeight="1" x14ac:dyDescent="0.25">
      <c r="A151" s="324">
        <v>2005</v>
      </c>
      <c r="B151" s="334" t="s">
        <v>13</v>
      </c>
      <c r="C151" s="326">
        <f t="shared" si="17"/>
        <v>114092.72490951452</v>
      </c>
      <c r="D151" s="327">
        <v>0.68889999999999996</v>
      </c>
      <c r="E151" s="333">
        <f>100*(C151/$C$150-1)</f>
        <v>0.6888999999999923</v>
      </c>
      <c r="F151" s="329">
        <f t="shared" si="18"/>
        <v>8.1632196506684842</v>
      </c>
      <c r="G151" s="330">
        <f>+$C$394/C151</f>
        <v>3.6920794731002582</v>
      </c>
    </row>
    <row r="152" spans="1:7" ht="18" hidden="1" customHeight="1" x14ac:dyDescent="0.25">
      <c r="A152" s="324">
        <v>2005</v>
      </c>
      <c r="B152" s="334" t="s">
        <v>14</v>
      </c>
      <c r="C152" s="326">
        <f t="shared" si="17"/>
        <v>114773.5161990496</v>
      </c>
      <c r="D152" s="327">
        <v>0.59670000000000001</v>
      </c>
      <c r="E152" s="333">
        <f>100*(C152/$C$150-1)</f>
        <v>1.2897106662999924</v>
      </c>
      <c r="F152" s="329">
        <f t="shared" si="18"/>
        <v>8.2177606093967182</v>
      </c>
      <c r="G152" s="330">
        <f>+$C$394/C152</f>
        <v>3.6701795119524383</v>
      </c>
    </row>
    <row r="153" spans="1:7" ht="18" hidden="1" customHeight="1" x14ac:dyDescent="0.25">
      <c r="A153" s="324">
        <v>2005</v>
      </c>
      <c r="B153" s="334" t="s">
        <v>15</v>
      </c>
      <c r="C153" s="326">
        <f t="shared" si="17"/>
        <v>115651.30405093994</v>
      </c>
      <c r="D153" s="327">
        <v>0.76480000000000004</v>
      </c>
      <c r="E153" s="333">
        <f>100*(C153/$C$150-1)</f>
        <v>2.0643743734758635</v>
      </c>
      <c r="F153" s="329">
        <f t="shared" si="18"/>
        <v>8.3103079822617776</v>
      </c>
      <c r="G153" s="330">
        <f>+$C$394/C153</f>
        <v>3.6423230254537673</v>
      </c>
    </row>
    <row r="154" spans="1:7" ht="18" hidden="1" customHeight="1" x14ac:dyDescent="0.25">
      <c r="A154" s="324">
        <v>2005</v>
      </c>
      <c r="B154" s="334" t="s">
        <v>16</v>
      </c>
      <c r="C154" s="326">
        <f t="shared" si="17"/>
        <v>116462.36664624918</v>
      </c>
      <c r="D154" s="327">
        <v>0.70130000000000003</v>
      </c>
      <c r="E154" s="333">
        <f t="shared" ref="E154:E161" si="19">100*(C154/$C$150-1)</f>
        <v>2.7801518309570561</v>
      </c>
      <c r="F154" s="329">
        <f t="shared" si="18"/>
        <v>8.4325218089483567</v>
      </c>
      <c r="G154" s="330">
        <f>+$C$394/C154</f>
        <v>3.6169573038816454</v>
      </c>
    </row>
    <row r="155" spans="1:7" ht="18" hidden="1" customHeight="1" x14ac:dyDescent="0.25">
      <c r="A155" s="324">
        <v>2005</v>
      </c>
      <c r="B155" s="334" t="s">
        <v>17</v>
      </c>
      <c r="C155" s="326">
        <f t="shared" si="17"/>
        <v>117340.49289076192</v>
      </c>
      <c r="D155" s="327">
        <v>0.754</v>
      </c>
      <c r="E155" s="333">
        <f t="shared" si="19"/>
        <v>3.555114175762486</v>
      </c>
      <c r="F155" s="329">
        <f t="shared" si="18"/>
        <v>8.5387401206372004</v>
      </c>
      <c r="G155" s="330">
        <f>+$C$394/C155</f>
        <v>3.5898895367743662</v>
      </c>
    </row>
    <row r="156" spans="1:7" ht="18" hidden="1" customHeight="1" x14ac:dyDescent="0.25">
      <c r="A156" s="324">
        <v>2005</v>
      </c>
      <c r="B156" s="334" t="s">
        <v>18</v>
      </c>
      <c r="C156" s="326">
        <f t="shared" si="17"/>
        <v>118280.15555783114</v>
      </c>
      <c r="D156" s="327">
        <v>0.80079999999999996</v>
      </c>
      <c r="E156" s="333">
        <f t="shared" si="19"/>
        <v>4.3843835300819922</v>
      </c>
      <c r="F156" s="329">
        <f t="shared" si="18"/>
        <v>8.672207506702879</v>
      </c>
      <c r="G156" s="330">
        <f>+$C$394/C156</f>
        <v>3.5613700851326242</v>
      </c>
    </row>
    <row r="157" spans="1:7" ht="18" hidden="1" customHeight="1" x14ac:dyDescent="0.25">
      <c r="A157" s="324">
        <v>2005</v>
      </c>
      <c r="B157" s="334" t="s">
        <v>19</v>
      </c>
      <c r="C157" s="326">
        <f t="shared" si="17"/>
        <v>119177.66537820395</v>
      </c>
      <c r="D157" s="327">
        <v>0.75880000000000003</v>
      </c>
      <c r="E157" s="333">
        <f t="shared" si="19"/>
        <v>5.1764522323082485</v>
      </c>
      <c r="F157" s="329">
        <f t="shared" si="18"/>
        <v>8.7397659666042404</v>
      </c>
      <c r="G157" s="330">
        <f>+$C$394/C157</f>
        <v>3.5345499203371067</v>
      </c>
    </row>
    <row r="158" spans="1:7" ht="18" hidden="1" customHeight="1" x14ac:dyDescent="0.25">
      <c r="A158" s="324">
        <v>2005</v>
      </c>
      <c r="B158" s="334" t="s">
        <v>34</v>
      </c>
      <c r="C158" s="326">
        <f t="shared" si="17"/>
        <v>120184.47829531902</v>
      </c>
      <c r="D158" s="327">
        <v>0.8448</v>
      </c>
      <c r="E158" s="333">
        <f t="shared" si="19"/>
        <v>6.0649829007667799</v>
      </c>
      <c r="F158" s="329">
        <f t="shared" si="18"/>
        <v>8.8945045600016925</v>
      </c>
      <c r="G158" s="330">
        <f>+$C$394/C158</f>
        <v>3.5049401856487461</v>
      </c>
    </row>
    <row r="159" spans="1:7" ht="18" hidden="1" customHeight="1" x14ac:dyDescent="0.25">
      <c r="A159" s="324">
        <v>2005</v>
      </c>
      <c r="B159" s="334" t="s">
        <v>36</v>
      </c>
      <c r="C159" s="326">
        <f t="shared" si="17"/>
        <v>121103.8895542782</v>
      </c>
      <c r="D159" s="327">
        <v>0.76500000000000001</v>
      </c>
      <c r="E159" s="333">
        <f t="shared" si="19"/>
        <v>6.8763800199576508</v>
      </c>
      <c r="F159" s="329">
        <f t="shared" si="18"/>
        <v>8.9932599277524403</v>
      </c>
      <c r="G159" s="330">
        <f>+$C$394/C159</f>
        <v>3.4783309538517799</v>
      </c>
    </row>
    <row r="160" spans="1:7" ht="18" hidden="1" customHeight="1" x14ac:dyDescent="0.25">
      <c r="A160" s="324">
        <v>2005</v>
      </c>
      <c r="B160" s="334" t="s">
        <v>35</v>
      </c>
      <c r="C160" s="326">
        <f t="shared" si="17"/>
        <v>121964.93820900911</v>
      </c>
      <c r="D160" s="327">
        <v>0.71099999999999997</v>
      </c>
      <c r="E160" s="333">
        <f t="shared" si="19"/>
        <v>7.6362710818995261</v>
      </c>
      <c r="F160" s="329">
        <f t="shared" si="18"/>
        <v>9.1011575287082369</v>
      </c>
      <c r="G160" s="330">
        <f>+$C$394/C160</f>
        <v>3.4537746163296763</v>
      </c>
    </row>
    <row r="161" spans="1:7" ht="18" hidden="1" customHeight="1" x14ac:dyDescent="0.25">
      <c r="A161" s="324">
        <v>2005</v>
      </c>
      <c r="B161" s="334" t="s">
        <v>25</v>
      </c>
      <c r="C161" s="326">
        <f t="shared" si="17"/>
        <v>122811.25291524142</v>
      </c>
      <c r="D161" s="327">
        <v>0.69389999999999996</v>
      </c>
      <c r="E161" s="333">
        <f t="shared" si="19"/>
        <v>8.3831591669368386</v>
      </c>
      <c r="F161" s="329">
        <f t="shared" si="18"/>
        <v>9.1864951426821726</v>
      </c>
      <c r="G161" s="330">
        <f>+$C$394/C161</f>
        <v>3.4299740265593806</v>
      </c>
    </row>
    <row r="162" spans="1:7" ht="18" hidden="1" customHeight="1" x14ac:dyDescent="0.25">
      <c r="A162" s="324">
        <v>2005</v>
      </c>
      <c r="B162" s="334" t="s">
        <v>26</v>
      </c>
      <c r="C162" s="326">
        <f t="shared" si="17"/>
        <v>123705.31883646437</v>
      </c>
      <c r="D162" s="327">
        <v>0.72799999999999998</v>
      </c>
      <c r="E162" s="333">
        <f>100*(C162/$C$150-1)</f>
        <v>9.1721885656721227</v>
      </c>
      <c r="F162" s="329">
        <f t="shared" si="18"/>
        <v>9.1721885656721227</v>
      </c>
      <c r="G162" s="330">
        <f>+$C$394/C162</f>
        <v>3.4051842849648368</v>
      </c>
    </row>
    <row r="163" spans="1:7" ht="18" hidden="1" customHeight="1" x14ac:dyDescent="0.25">
      <c r="A163" s="324">
        <v>2006</v>
      </c>
      <c r="B163" s="334" t="s">
        <v>27</v>
      </c>
      <c r="C163" s="326">
        <f t="shared" si="17"/>
        <v>124613.06846608636</v>
      </c>
      <c r="D163" s="327">
        <v>0.73380000000000001</v>
      </c>
      <c r="E163" s="333">
        <f t="shared" ref="E163:E172" si="20">100*(C163/$C$162-1)</f>
        <v>0.73380000000000667</v>
      </c>
      <c r="F163" s="329">
        <f t="shared" si="18"/>
        <v>9.2208715015925868</v>
      </c>
      <c r="G163" s="330">
        <f>+$C$394/C163</f>
        <v>3.380379063397625</v>
      </c>
    </row>
    <row r="164" spans="1:7" ht="18" hidden="1" customHeight="1" x14ac:dyDescent="0.25">
      <c r="A164" s="324">
        <v>2006</v>
      </c>
      <c r="B164" s="334" t="s">
        <v>28</v>
      </c>
      <c r="C164" s="326">
        <f t="shared" si="17"/>
        <v>125326.97673532859</v>
      </c>
      <c r="D164" s="327">
        <v>0.57289999999999996</v>
      </c>
      <c r="E164" s="333">
        <f t="shared" si="20"/>
        <v>1.3109039402000144</v>
      </c>
      <c r="F164" s="329">
        <f t="shared" si="18"/>
        <v>9.1950311237100291</v>
      </c>
      <c r="G164" s="330">
        <f>+$C$394/C164</f>
        <v>3.3611231886498492</v>
      </c>
    </row>
    <row r="165" spans="1:7" ht="18" hidden="1" customHeight="1" x14ac:dyDescent="0.25">
      <c r="A165" s="324">
        <v>2006</v>
      </c>
      <c r="B165" s="334" t="s">
        <v>29</v>
      </c>
      <c r="C165" s="326">
        <f t="shared" si="17"/>
        <v>126214.66771154491</v>
      </c>
      <c r="D165" s="327">
        <v>0.70830000000000004</v>
      </c>
      <c r="E165" s="333">
        <f t="shared" si="20"/>
        <v>2.0284890728084592</v>
      </c>
      <c r="F165" s="329">
        <f t="shared" si="18"/>
        <v>9.1338041946783513</v>
      </c>
      <c r="G165" s="330">
        <f>+$C$394/C165</f>
        <v>3.3374837909584905</v>
      </c>
    </row>
    <row r="166" spans="1:7" ht="18" hidden="1" customHeight="1" x14ac:dyDescent="0.25">
      <c r="A166" s="324">
        <v>2006</v>
      </c>
      <c r="B166" s="334" t="s">
        <v>30</v>
      </c>
      <c r="C166" s="326">
        <f t="shared" si="17"/>
        <v>126954.15944966685</v>
      </c>
      <c r="D166" s="327">
        <v>0.58589999999999998</v>
      </c>
      <c r="E166" s="333">
        <f t="shared" si="20"/>
        <v>2.6262739902860321</v>
      </c>
      <c r="F166" s="329">
        <f t="shared" si="18"/>
        <v>9.0087408538469518</v>
      </c>
      <c r="G166" s="330">
        <f>+$C$394/C166</f>
        <v>3.3180433748253884</v>
      </c>
    </row>
    <row r="167" spans="1:7" ht="18" hidden="1" customHeight="1" x14ac:dyDescent="0.25">
      <c r="A167" s="324">
        <v>2006</v>
      </c>
      <c r="B167" s="334" t="s">
        <v>31</v>
      </c>
      <c r="C167" s="326">
        <f t="shared" si="17"/>
        <v>127829.7622873912</v>
      </c>
      <c r="D167" s="327">
        <v>0.68969999999999998</v>
      </c>
      <c r="E167" s="333">
        <f t="shared" si="20"/>
        <v>3.3340874019970324</v>
      </c>
      <c r="F167" s="329">
        <f t="shared" si="18"/>
        <v>8.939172776779003</v>
      </c>
      <c r="G167" s="330">
        <f>+$C$394/C167</f>
        <v>3.2953155832477292</v>
      </c>
    </row>
    <row r="168" spans="1:7" ht="18" hidden="1" customHeight="1" x14ac:dyDescent="0.25">
      <c r="A168" s="324">
        <v>2006</v>
      </c>
      <c r="B168" s="334" t="s">
        <v>32</v>
      </c>
      <c r="C168" s="326">
        <f t="shared" si="17"/>
        <v>128717.79564600172</v>
      </c>
      <c r="D168" s="327">
        <v>0.69469999999999998</v>
      </c>
      <c r="E168" s="333">
        <f t="shared" si="20"/>
        <v>4.0519493071787149</v>
      </c>
      <c r="F168" s="329">
        <f t="shared" si="18"/>
        <v>8.8245065615146778</v>
      </c>
      <c r="G168" s="330">
        <f>+$C$394/C168</f>
        <v>3.2725809632957135</v>
      </c>
    </row>
    <row r="169" spans="1:7" ht="18" hidden="1" customHeight="1" x14ac:dyDescent="0.25">
      <c r="A169" s="324">
        <v>2006</v>
      </c>
      <c r="B169" s="334" t="s">
        <v>33</v>
      </c>
      <c r="C169" s="326">
        <f t="shared" si="17"/>
        <v>129587.9279445687</v>
      </c>
      <c r="D169" s="327">
        <v>0.67600000000000005</v>
      </c>
      <c r="E169" s="333">
        <f t="shared" si="20"/>
        <v>4.7553404844952629</v>
      </c>
      <c r="F169" s="329">
        <f t="shared" si="18"/>
        <v>8.7350784505874746</v>
      </c>
      <c r="G169" s="330">
        <f>+$C$394/C169</f>
        <v>3.2506068609159215</v>
      </c>
    </row>
    <row r="170" spans="1:7" ht="18" hidden="1" customHeight="1" x14ac:dyDescent="0.25">
      <c r="A170" s="324">
        <v>2006</v>
      </c>
      <c r="B170" s="334" t="s">
        <v>34</v>
      </c>
      <c r="C170" s="326">
        <f t="shared" si="17"/>
        <v>130553.09883189983</v>
      </c>
      <c r="D170" s="327">
        <v>0.74480000000000002</v>
      </c>
      <c r="E170" s="333">
        <f t="shared" si="20"/>
        <v>5.5355582604237563</v>
      </c>
      <c r="F170" s="329">
        <f t="shared" si="18"/>
        <v>8.6272542708076614</v>
      </c>
      <c r="G170" s="330">
        <f>+$C$394/C170</f>
        <v>3.2265753278739173</v>
      </c>
    </row>
    <row r="171" spans="1:7" ht="18" hidden="1" customHeight="1" x14ac:dyDescent="0.25">
      <c r="A171" s="324">
        <v>2006</v>
      </c>
      <c r="B171" s="334" t="s">
        <v>36</v>
      </c>
      <c r="C171" s="326">
        <f t="shared" si="17"/>
        <v>131405.48001417331</v>
      </c>
      <c r="D171" s="327">
        <v>0.65290000000000004</v>
      </c>
      <c r="E171" s="333">
        <f t="shared" si="20"/>
        <v>6.2245999203060842</v>
      </c>
      <c r="F171" s="329">
        <f t="shared" si="18"/>
        <v>8.5064075958336538</v>
      </c>
      <c r="G171" s="330">
        <f>+$C$394/C171</f>
        <v>3.2056456673120368</v>
      </c>
    </row>
    <row r="172" spans="1:7" ht="18" hidden="1" customHeight="1" x14ac:dyDescent="0.25">
      <c r="A172" s="324">
        <v>2006</v>
      </c>
      <c r="B172" s="334" t="s">
        <v>35</v>
      </c>
      <c r="C172" s="326">
        <f t="shared" si="17"/>
        <v>132310.07533859086</v>
      </c>
      <c r="D172" s="327">
        <v>0.68840000000000001</v>
      </c>
      <c r="E172" s="333">
        <f t="shared" si="20"/>
        <v>6.9558500661574429</v>
      </c>
      <c r="F172" s="329">
        <f t="shared" si="18"/>
        <v>8.4820582714136172</v>
      </c>
      <c r="G172" s="330">
        <f>+$C$394/C172</f>
        <v>3.1837288777178276</v>
      </c>
    </row>
    <row r="173" spans="1:7" ht="18" hidden="1" customHeight="1" x14ac:dyDescent="0.25">
      <c r="A173" s="324">
        <v>2006</v>
      </c>
      <c r="B173" s="334" t="s">
        <v>23</v>
      </c>
      <c r="C173" s="326">
        <f t="shared" si="17"/>
        <v>133142.04109231994</v>
      </c>
      <c r="D173" s="327">
        <v>0.62880000000000003</v>
      </c>
      <c r="E173" s="333">
        <f>100*(C173/$C$162-1)</f>
        <v>7.6283884513734579</v>
      </c>
      <c r="F173" s="329">
        <f t="shared" si="18"/>
        <v>8.411923119299459</v>
      </c>
      <c r="G173" s="330">
        <f>+$C$394/C173</f>
        <v>3.1638346852171817</v>
      </c>
    </row>
    <row r="174" spans="1:7" ht="18" hidden="1" customHeight="1" x14ac:dyDescent="0.25">
      <c r="A174" s="324">
        <v>2006</v>
      </c>
      <c r="B174" s="334" t="s">
        <v>12</v>
      </c>
      <c r="C174" s="326">
        <f t="shared" si="17"/>
        <v>134011.45862065279</v>
      </c>
      <c r="D174" s="327">
        <v>0.65300000000000002</v>
      </c>
      <c r="E174" s="333">
        <f>100*(C174/$C$162-1)</f>
        <v>8.3312018279609212</v>
      </c>
      <c r="F174" s="329">
        <f t="shared" si="18"/>
        <v>8.3312018279609212</v>
      </c>
      <c r="G174" s="330">
        <f>+$C$394/C174</f>
        <v>3.1433088782422596</v>
      </c>
    </row>
    <row r="175" spans="1:7" ht="18" hidden="1" customHeight="1" x14ac:dyDescent="0.25">
      <c r="A175" s="324">
        <v>2007</v>
      </c>
      <c r="B175" s="334" t="s">
        <v>113</v>
      </c>
      <c r="C175" s="326">
        <f t="shared" si="17"/>
        <v>134976.3411227215</v>
      </c>
      <c r="D175" s="327">
        <v>0.72</v>
      </c>
      <c r="E175" s="333">
        <f t="shared" ref="E175:E186" si="21">100*(C175/$C$174-1)</f>
        <v>0.72000000000000952</v>
      </c>
      <c r="F175" s="329">
        <f t="shared" si="18"/>
        <v>8.3163610239286534</v>
      </c>
      <c r="G175" s="330">
        <f>+$C$394/C175</f>
        <v>3.1208388386043082</v>
      </c>
    </row>
    <row r="176" spans="1:7" ht="18" hidden="1" customHeight="1" x14ac:dyDescent="0.25">
      <c r="A176" s="324">
        <v>2007</v>
      </c>
      <c r="B176" s="334" t="s">
        <v>28</v>
      </c>
      <c r="C176" s="326">
        <f t="shared" si="17"/>
        <v>135749.08067564908</v>
      </c>
      <c r="D176" s="327">
        <v>0.57250000000000001</v>
      </c>
      <c r="E176" s="333">
        <f t="shared" si="21"/>
        <v>1.2966220000000028</v>
      </c>
      <c r="F176" s="329">
        <f t="shared" si="18"/>
        <v>8.3159302265228838</v>
      </c>
      <c r="G176" s="330">
        <f>+$C$394/C176</f>
        <v>3.1030737414345952</v>
      </c>
    </row>
    <row r="177" spans="1:7" ht="18" hidden="1" customHeight="1" x14ac:dyDescent="0.25">
      <c r="A177" s="324">
        <v>2007</v>
      </c>
      <c r="B177" s="334" t="s">
        <v>29</v>
      </c>
      <c r="C177" s="326">
        <f t="shared" si="17"/>
        <v>136683.71309610092</v>
      </c>
      <c r="D177" s="327">
        <v>0.6885</v>
      </c>
      <c r="E177" s="333">
        <f t="shared" si="21"/>
        <v>1.9940492424699974</v>
      </c>
      <c r="F177" s="329">
        <f t="shared" si="18"/>
        <v>8.2946345098988914</v>
      </c>
      <c r="G177" s="330">
        <f>+$C$394/C177</f>
        <v>3.0818551685987927</v>
      </c>
    </row>
    <row r="178" spans="1:7" ht="18" hidden="1" customHeight="1" x14ac:dyDescent="0.25">
      <c r="A178" s="324">
        <v>2007</v>
      </c>
      <c r="B178" s="334" t="s">
        <v>16</v>
      </c>
      <c r="C178" s="326">
        <f t="shared" si="17"/>
        <v>137541.81344691824</v>
      </c>
      <c r="D178" s="327">
        <v>0.62780000000000002</v>
      </c>
      <c r="E178" s="333">
        <f t="shared" si="21"/>
        <v>2.6343678836142415</v>
      </c>
      <c r="F178" s="329">
        <f t="shared" si="18"/>
        <v>8.3397456555561291</v>
      </c>
      <c r="G178" s="330">
        <f>+$C$394/C178</f>
        <v>3.0626279900770887</v>
      </c>
    </row>
    <row r="179" spans="1:7" ht="18" hidden="1" customHeight="1" x14ac:dyDescent="0.25">
      <c r="A179" s="324">
        <v>2007</v>
      </c>
      <c r="B179" s="334" t="s">
        <v>17</v>
      </c>
      <c r="C179" s="326">
        <f t="shared" si="17"/>
        <v>138462.93097157223</v>
      </c>
      <c r="D179" s="327">
        <v>0.66969999999999996</v>
      </c>
      <c r="E179" s="333">
        <f t="shared" si="21"/>
        <v>3.321710245330789</v>
      </c>
      <c r="F179" s="329">
        <f t="shared" si="18"/>
        <v>8.3182261266161017</v>
      </c>
      <c r="G179" s="330">
        <f>+$C$394/C179</f>
        <v>3.0422540149390422</v>
      </c>
    </row>
    <row r="180" spans="1:7" ht="18" hidden="1" customHeight="1" x14ac:dyDescent="0.25">
      <c r="A180" s="324">
        <v>2007</v>
      </c>
      <c r="B180" s="334" t="s">
        <v>18</v>
      </c>
      <c r="C180" s="326">
        <f t="shared" si="17"/>
        <v>139288.03157723183</v>
      </c>
      <c r="D180" s="327">
        <v>0.59589999999999999</v>
      </c>
      <c r="E180" s="333">
        <f t="shared" si="21"/>
        <v>3.9374043166827022</v>
      </c>
      <c r="F180" s="329">
        <f t="shared" si="18"/>
        <v>8.2119460469166619</v>
      </c>
      <c r="G180" s="330">
        <f>+$C$394/C180</f>
        <v>3.0242326127993708</v>
      </c>
    </row>
    <row r="181" spans="1:7" ht="18" hidden="1" customHeight="1" x14ac:dyDescent="0.25">
      <c r="A181" s="324">
        <v>2007</v>
      </c>
      <c r="B181" s="334" t="s">
        <v>19</v>
      </c>
      <c r="C181" s="326">
        <f t="shared" si="17"/>
        <v>140190.06086972597</v>
      </c>
      <c r="D181" s="327">
        <v>0.64759999999999995</v>
      </c>
      <c r="E181" s="333">
        <f t="shared" si="21"/>
        <v>4.6105029470375314</v>
      </c>
      <c r="F181" s="329">
        <f t="shared" si="18"/>
        <v>8.1814202089042887</v>
      </c>
      <c r="G181" s="330">
        <f>+$C$394/C181</f>
        <v>3.0047736983289925</v>
      </c>
    </row>
    <row r="182" spans="1:7" ht="18" hidden="1" customHeight="1" x14ac:dyDescent="0.25">
      <c r="A182" s="324">
        <v>2007</v>
      </c>
      <c r="B182" s="334" t="s">
        <v>20</v>
      </c>
      <c r="C182" s="326">
        <f t="shared" si="17"/>
        <v>141097.51113373571</v>
      </c>
      <c r="D182" s="327">
        <v>0.64729999999999999</v>
      </c>
      <c r="E182" s="333">
        <f t="shared" si="21"/>
        <v>5.2876467326137044</v>
      </c>
      <c r="F182" s="329">
        <f t="shared" si="18"/>
        <v>8.0767231082066182</v>
      </c>
      <c r="G182" s="330">
        <f>+$C$394/C182</f>
        <v>2.9854488876790461</v>
      </c>
    </row>
    <row r="183" spans="1:7" ht="18" hidden="1" customHeight="1" x14ac:dyDescent="0.25">
      <c r="A183" s="324">
        <v>2007</v>
      </c>
      <c r="B183" s="334" t="s">
        <v>21</v>
      </c>
      <c r="C183" s="326">
        <f t="shared" si="17"/>
        <v>141852.94720834575</v>
      </c>
      <c r="D183" s="327">
        <v>0.53539999999999999</v>
      </c>
      <c r="E183" s="333">
        <f t="shared" si="21"/>
        <v>5.8513567932201305</v>
      </c>
      <c r="F183" s="329">
        <f t="shared" si="18"/>
        <v>7.9505566990399235</v>
      </c>
      <c r="G183" s="330">
        <f>+$C$394/C183</f>
        <v>2.9695499174211726</v>
      </c>
    </row>
    <row r="184" spans="1:7" ht="18" hidden="1" customHeight="1" x14ac:dyDescent="0.25">
      <c r="A184" s="324">
        <v>2007</v>
      </c>
      <c r="B184" s="334" t="s">
        <v>22</v>
      </c>
      <c r="C184" s="326">
        <f t="shared" si="17"/>
        <v>142725.05912778268</v>
      </c>
      <c r="D184" s="327">
        <v>0.61480000000000001</v>
      </c>
      <c r="E184" s="333">
        <f t="shared" si="21"/>
        <v>6.5021309347848666</v>
      </c>
      <c r="F184" s="329">
        <f t="shared" si="18"/>
        <v>7.8716482947644995</v>
      </c>
      <c r="G184" s="330">
        <f>+$C$394/C184</f>
        <v>2.9514046814396813</v>
      </c>
    </row>
    <row r="185" spans="1:7" ht="18" hidden="1" customHeight="1" x14ac:dyDescent="0.25">
      <c r="A185" s="324">
        <v>2007</v>
      </c>
      <c r="B185" s="334" t="s">
        <v>23</v>
      </c>
      <c r="C185" s="326">
        <f t="shared" si="17"/>
        <v>143523.32038348436</v>
      </c>
      <c r="D185" s="327">
        <v>0.55930000000000002</v>
      </c>
      <c r="E185" s="333">
        <f t="shared" si="21"/>
        <v>7.0977973531031191</v>
      </c>
      <c r="F185" s="329">
        <f t="shared" si="18"/>
        <v>7.7971459698188861</v>
      </c>
      <c r="G185" s="330">
        <f>+$C$394/C185</f>
        <v>2.934989286361064</v>
      </c>
    </row>
    <row r="186" spans="1:7" ht="18" hidden="1" customHeight="1" x14ac:dyDescent="0.25">
      <c r="A186" s="324">
        <v>2007</v>
      </c>
      <c r="B186" s="334" t="s">
        <v>12</v>
      </c>
      <c r="C186" s="326">
        <f t="shared" si="17"/>
        <v>144333.22248040838</v>
      </c>
      <c r="D186" s="327">
        <v>0.56430000000000002</v>
      </c>
      <c r="E186" s="333">
        <f t="shared" si="21"/>
        <v>7.7021502235666839</v>
      </c>
      <c r="F186" s="329">
        <f t="shared" si="18"/>
        <v>7.7021502235666839</v>
      </c>
      <c r="G186" s="330">
        <f>+$C$394/C186</f>
        <v>2.9185200775633735</v>
      </c>
    </row>
    <row r="187" spans="1:7" ht="18" hidden="1" customHeight="1" x14ac:dyDescent="0.25">
      <c r="A187" s="324">
        <v>2008</v>
      </c>
      <c r="B187" s="334" t="s">
        <v>13</v>
      </c>
      <c r="C187" s="326">
        <f t="shared" si="17"/>
        <v>145201.38681362805</v>
      </c>
      <c r="D187" s="327">
        <v>0.60150000000000003</v>
      </c>
      <c r="E187" s="333">
        <f t="shared" ref="E187:E198" si="22">100*(C187/$C$186-1)</f>
        <v>0.60150000000001036</v>
      </c>
      <c r="F187" s="329">
        <f t="shared" si="18"/>
        <v>7.5754355214073144</v>
      </c>
      <c r="G187" s="330">
        <f>+$C$394/C187</f>
        <v>2.9010701406672594</v>
      </c>
    </row>
    <row r="188" spans="1:7" ht="18" hidden="1" customHeight="1" x14ac:dyDescent="0.25">
      <c r="A188" s="324">
        <v>2008</v>
      </c>
      <c r="B188" s="334" t="s">
        <v>14</v>
      </c>
      <c r="C188" s="326">
        <f t="shared" si="17"/>
        <v>145962.82288607871</v>
      </c>
      <c r="D188" s="327">
        <v>0.52439999999999998</v>
      </c>
      <c r="E188" s="333">
        <f t="shared" si="22"/>
        <v>1.1290542660000069</v>
      </c>
      <c r="F188" s="329">
        <f t="shared" si="18"/>
        <v>7.5239862838067717</v>
      </c>
      <c r="G188" s="330">
        <f>+$C$394/C188</f>
        <v>2.8859362907585222</v>
      </c>
    </row>
    <row r="189" spans="1:7" ht="18" hidden="1" customHeight="1" x14ac:dyDescent="0.25">
      <c r="A189" s="324">
        <v>2008</v>
      </c>
      <c r="B189" s="334" t="s">
        <v>15</v>
      </c>
      <c r="C189" s="326">
        <f t="shared" si="17"/>
        <v>146752.62772071527</v>
      </c>
      <c r="D189" s="327">
        <v>0.54110000000000003</v>
      </c>
      <c r="E189" s="333">
        <f t="shared" si="22"/>
        <v>1.6762635786333302</v>
      </c>
      <c r="F189" s="329">
        <f t="shared" si="18"/>
        <v>7.3665796725429944</v>
      </c>
      <c r="G189" s="330">
        <f>+$C$394/C189</f>
        <v>2.8704045318367535</v>
      </c>
    </row>
    <row r="190" spans="1:7" ht="18" hidden="1" customHeight="1" x14ac:dyDescent="0.25">
      <c r="A190" s="324">
        <v>2008</v>
      </c>
      <c r="B190" s="334" t="s">
        <v>16</v>
      </c>
      <c r="C190" s="326">
        <f t="shared" si="17"/>
        <v>147627.27338193072</v>
      </c>
      <c r="D190" s="327">
        <v>0.59599999999999997</v>
      </c>
      <c r="E190" s="333">
        <f t="shared" si="22"/>
        <v>2.2822541095619764</v>
      </c>
      <c r="F190" s="329">
        <f t="shared" si="18"/>
        <v>7.3326501100007491</v>
      </c>
      <c r="G190" s="330">
        <f>+$C$394/C190</f>
        <v>2.8533982780992821</v>
      </c>
    </row>
    <row r="191" spans="1:7" ht="18" hidden="1" customHeight="1" x14ac:dyDescent="0.25">
      <c r="A191" s="324">
        <v>2008</v>
      </c>
      <c r="B191" s="334" t="s">
        <v>17</v>
      </c>
      <c r="C191" s="326">
        <f t="shared" si="17"/>
        <v>148474.65393114302</v>
      </c>
      <c r="D191" s="327">
        <v>0.57399999999999995</v>
      </c>
      <c r="E191" s="333">
        <f t="shared" si="22"/>
        <v>2.8693542481508683</v>
      </c>
      <c r="F191" s="329">
        <f t="shared" si="18"/>
        <v>7.2306160857062096</v>
      </c>
      <c r="G191" s="330">
        <f>+$C$394/C191</f>
        <v>2.8371132480554433</v>
      </c>
    </row>
    <row r="192" spans="1:7" ht="18" hidden="1" customHeight="1" x14ac:dyDescent="0.25">
      <c r="A192" s="324">
        <v>2008</v>
      </c>
      <c r="B192" s="334" t="s">
        <v>18</v>
      </c>
      <c r="C192" s="326">
        <f t="shared" si="17"/>
        <v>149388.07000212741</v>
      </c>
      <c r="D192" s="327">
        <v>0.61519999999999997</v>
      </c>
      <c r="E192" s="333">
        <f t="shared" si="22"/>
        <v>3.5022065154854953</v>
      </c>
      <c r="F192" s="329">
        <f t="shared" si="18"/>
        <v>7.2511890006108359</v>
      </c>
      <c r="G192" s="330">
        <f>+$C$394/C192</f>
        <v>2.8197660473322554</v>
      </c>
    </row>
    <row r="193" spans="1:7" ht="18" hidden="1" customHeight="1" x14ac:dyDescent="0.25">
      <c r="A193" s="324">
        <v>2008</v>
      </c>
      <c r="B193" s="334" t="s">
        <v>19</v>
      </c>
      <c r="C193" s="326">
        <f t="shared" si="17"/>
        <v>150422.43299882213</v>
      </c>
      <c r="D193" s="327">
        <v>0.69240000000000002</v>
      </c>
      <c r="E193" s="333">
        <f t="shared" si="22"/>
        <v>4.2188557933987125</v>
      </c>
      <c r="F193" s="329">
        <f t="shared" si="18"/>
        <v>7.2989283731068166</v>
      </c>
      <c r="G193" s="330">
        <f>+$C$394/C193</f>
        <v>2.8003762422310481</v>
      </c>
    </row>
    <row r="194" spans="1:7" ht="18" hidden="1" customHeight="1" x14ac:dyDescent="0.25">
      <c r="A194" s="324">
        <v>2008</v>
      </c>
      <c r="B194" s="334" t="s">
        <v>20</v>
      </c>
      <c r="C194" s="326">
        <f t="shared" si="17"/>
        <v>151412.51345282039</v>
      </c>
      <c r="D194" s="327">
        <v>0.65820000000000001</v>
      </c>
      <c r="E194" s="333">
        <f t="shared" si="22"/>
        <v>4.9048243022308702</v>
      </c>
      <c r="F194" s="329">
        <f t="shared" si="18"/>
        <v>7.310548737679623</v>
      </c>
      <c r="G194" s="330">
        <f>+$C$394/C194</f>
        <v>2.7820646924255032</v>
      </c>
    </row>
    <row r="195" spans="1:7" ht="18" hidden="1" customHeight="1" x14ac:dyDescent="0.25">
      <c r="A195" s="324">
        <v>2008</v>
      </c>
      <c r="B195" s="334" t="s">
        <v>21</v>
      </c>
      <c r="C195" s="326">
        <f t="shared" si="17"/>
        <v>152469.37279672109</v>
      </c>
      <c r="D195" s="327">
        <v>0.69799999999999995</v>
      </c>
      <c r="E195" s="333">
        <f t="shared" si="22"/>
        <v>5.6370599758604367</v>
      </c>
      <c r="F195" s="329">
        <f t="shared" si="18"/>
        <v>7.4841064618717645</v>
      </c>
      <c r="G195" s="330">
        <f>+$C$394/C195</f>
        <v>2.7627804846426969</v>
      </c>
    </row>
    <row r="196" spans="1:7" ht="18" hidden="1" customHeight="1" x14ac:dyDescent="0.25">
      <c r="A196" s="324">
        <v>2008</v>
      </c>
      <c r="B196" s="334" t="s">
        <v>22</v>
      </c>
      <c r="C196" s="326">
        <f t="shared" si="17"/>
        <v>153615.79001077963</v>
      </c>
      <c r="D196" s="327">
        <v>0.75190000000000001</v>
      </c>
      <c r="E196" s="333">
        <f t="shared" si="22"/>
        <v>6.4313450298189245</v>
      </c>
      <c r="F196" s="329">
        <f t="shared" si="18"/>
        <v>7.6305667340774486</v>
      </c>
      <c r="G196" s="330">
        <f>+$C$394/C196</f>
        <v>2.7421621673067178</v>
      </c>
    </row>
    <row r="197" spans="1:7" ht="18" hidden="1" customHeight="1" x14ac:dyDescent="0.25">
      <c r="A197" s="324">
        <v>2008</v>
      </c>
      <c r="B197" s="334" t="s">
        <v>23</v>
      </c>
      <c r="C197" s="326">
        <f t="shared" si="17"/>
        <v>154633.64823539107</v>
      </c>
      <c r="D197" s="327">
        <v>0.66259999999999997</v>
      </c>
      <c r="E197" s="333">
        <f t="shared" si="22"/>
        <v>7.1365591219865188</v>
      </c>
      <c r="F197" s="329">
        <f t="shared" si="18"/>
        <v>7.741130725111911</v>
      </c>
      <c r="G197" s="330">
        <f>+$C$394/C197</f>
        <v>2.7241121998703766</v>
      </c>
    </row>
    <row r="198" spans="1:7" ht="18" hidden="1" customHeight="1" x14ac:dyDescent="0.25">
      <c r="A198" s="324">
        <v>2008</v>
      </c>
      <c r="B198" s="334" t="s">
        <v>12</v>
      </c>
      <c r="C198" s="326">
        <f t="shared" si="17"/>
        <v>155740.82515675647</v>
      </c>
      <c r="D198" s="327">
        <v>0.71599999999999997</v>
      </c>
      <c r="E198" s="333">
        <f t="shared" si="22"/>
        <v>7.9036568852999478</v>
      </c>
      <c r="F198" s="329">
        <f t="shared" si="18"/>
        <v>7.9036568852999478</v>
      </c>
      <c r="G198" s="330">
        <f>+$C$394/C198</f>
        <v>2.7047462169569645</v>
      </c>
    </row>
    <row r="199" spans="1:7" ht="18" hidden="1" customHeight="1" x14ac:dyDescent="0.25">
      <c r="A199" s="324">
        <v>2009</v>
      </c>
      <c r="B199" s="334" t="s">
        <v>13</v>
      </c>
      <c r="C199" s="326">
        <f t="shared" si="17"/>
        <v>156807.49406825512</v>
      </c>
      <c r="D199" s="327">
        <v>0.68489999999999995</v>
      </c>
      <c r="E199" s="333">
        <f t="shared" ref="E199:E206" si="23">100*(C199/$C$198-1)</f>
        <v>0.6849000000000105</v>
      </c>
      <c r="F199" s="329">
        <f t="shared" si="18"/>
        <v>7.9931104718193868</v>
      </c>
      <c r="G199" s="330">
        <f>+$C$394/C199</f>
        <v>2.6863474234537295</v>
      </c>
    </row>
    <row r="200" spans="1:7" ht="18" hidden="1" customHeight="1" x14ac:dyDescent="0.25">
      <c r="A200" s="324">
        <v>2009</v>
      </c>
      <c r="B200" s="334" t="s">
        <v>14</v>
      </c>
      <c r="C200" s="326">
        <f t="shared" si="17"/>
        <v>157662.56533340932</v>
      </c>
      <c r="D200" s="327">
        <v>0.54530000000000001</v>
      </c>
      <c r="E200" s="333">
        <f t="shared" si="23"/>
        <v>1.2339347597000172</v>
      </c>
      <c r="F200" s="329">
        <f t="shared" si="18"/>
        <v>8.015563289332972</v>
      </c>
      <c r="G200" s="330">
        <f>+$C$394/C200</f>
        <v>2.6717782168373154</v>
      </c>
    </row>
    <row r="201" spans="1:7" ht="18" hidden="1" customHeight="1" x14ac:dyDescent="0.25">
      <c r="A201" s="324">
        <v>2009</v>
      </c>
      <c r="B201" s="334" t="s">
        <v>15</v>
      </c>
      <c r="C201" s="326">
        <f t="shared" si="17"/>
        <v>158678.70056698314</v>
      </c>
      <c r="D201" s="327">
        <v>0.64449999999999996</v>
      </c>
      <c r="E201" s="333">
        <f t="shared" si="23"/>
        <v>1.8863874692262916</v>
      </c>
      <c r="F201" s="329">
        <f t="shared" si="18"/>
        <v>8.1266502900134476</v>
      </c>
      <c r="G201" s="330">
        <f>+$C$394/C201</f>
        <v>2.6546688759319341</v>
      </c>
    </row>
    <row r="202" spans="1:7" ht="18" hidden="1" customHeight="1" x14ac:dyDescent="0.25">
      <c r="A202" s="324">
        <v>2009</v>
      </c>
      <c r="B202" s="334" t="s">
        <v>16</v>
      </c>
      <c r="C202" s="326">
        <f t="shared" si="17"/>
        <v>159544.4515572766</v>
      </c>
      <c r="D202" s="327">
        <v>0.54559999999999997</v>
      </c>
      <c r="E202" s="333">
        <f t="shared" si="23"/>
        <v>2.442279599258379</v>
      </c>
      <c r="F202" s="329">
        <f t="shared" si="18"/>
        <v>8.0724773291142462</v>
      </c>
      <c r="G202" s="330">
        <f>+$C$394/C202</f>
        <v>2.6402635977426505</v>
      </c>
    </row>
    <row r="203" spans="1:7" ht="18" hidden="1" customHeight="1" x14ac:dyDescent="0.25">
      <c r="A203" s="324">
        <v>2009</v>
      </c>
      <c r="B203" s="334" t="s">
        <v>17</v>
      </c>
      <c r="C203" s="326">
        <f t="shared" si="17"/>
        <v>160414.12836271533</v>
      </c>
      <c r="D203" s="327">
        <v>0.54510000000000003</v>
      </c>
      <c r="E203" s="333">
        <f t="shared" si="23"/>
        <v>3.0006924653539491</v>
      </c>
      <c r="F203" s="329">
        <f t="shared" si="18"/>
        <v>8.0414226370983055</v>
      </c>
      <c r="G203" s="330">
        <f>+$C$394/C203</f>
        <v>2.6259495467632434</v>
      </c>
    </row>
    <row r="204" spans="1:7" ht="18" hidden="1" customHeight="1" x14ac:dyDescent="0.25">
      <c r="A204" s="324">
        <v>2009</v>
      </c>
      <c r="B204" s="334" t="s">
        <v>18</v>
      </c>
      <c r="C204" s="326">
        <f t="shared" ref="C204:C267" si="24">+C203*(1+D204/100)</f>
        <v>161321.91191511994</v>
      </c>
      <c r="D204" s="327">
        <v>0.56589999999999996</v>
      </c>
      <c r="E204" s="333">
        <f t="shared" si="23"/>
        <v>3.5835733840153816</v>
      </c>
      <c r="F204" s="329">
        <f t="shared" si="18"/>
        <v>7.9884838948803605</v>
      </c>
      <c r="G204" s="330">
        <f>+$C$394/C204</f>
        <v>2.611172919213415</v>
      </c>
    </row>
    <row r="205" spans="1:7" ht="18" hidden="1" customHeight="1" x14ac:dyDescent="0.25">
      <c r="A205" s="324">
        <v>2009</v>
      </c>
      <c r="B205" s="334" t="s">
        <v>19</v>
      </c>
      <c r="C205" s="326">
        <f t="shared" si="24"/>
        <v>162298.87741367792</v>
      </c>
      <c r="D205" s="327">
        <v>0.60560000000000003</v>
      </c>
      <c r="E205" s="333">
        <f t="shared" si="23"/>
        <v>4.2108755044290014</v>
      </c>
      <c r="F205" s="329">
        <f t="shared" si="18"/>
        <v>7.895394442229775</v>
      </c>
      <c r="G205" s="330">
        <f>+$C$394/C205</f>
        <v>2.5954548446740686</v>
      </c>
    </row>
    <row r="206" spans="1:7" ht="18" hidden="1" customHeight="1" x14ac:dyDescent="0.25">
      <c r="A206" s="324">
        <v>2009</v>
      </c>
      <c r="B206" s="334" t="s">
        <v>34</v>
      </c>
      <c r="C206" s="326">
        <f t="shared" si="24"/>
        <v>163142.50697847424</v>
      </c>
      <c r="D206" s="327">
        <v>0.51980000000000004</v>
      </c>
      <c r="E206" s="333">
        <f t="shared" si="23"/>
        <v>4.7525636353010325</v>
      </c>
      <c r="F206" s="329">
        <f t="shared" si="18"/>
        <v>7.7470436611627003</v>
      </c>
      <c r="G206" s="330">
        <f>+$C$394/C206</f>
        <v>2.5820334348795644</v>
      </c>
    </row>
    <row r="207" spans="1:7" ht="18" hidden="1" customHeight="1" x14ac:dyDescent="0.25">
      <c r="A207" s="324">
        <v>2009</v>
      </c>
      <c r="B207" s="334" t="s">
        <v>36</v>
      </c>
      <c r="C207" s="326">
        <f t="shared" si="24"/>
        <v>163958.21951336658</v>
      </c>
      <c r="D207" s="327">
        <v>0.5</v>
      </c>
      <c r="E207" s="333">
        <f>100*(C207/$C$198-1)</f>
        <v>5.2763264534775089</v>
      </c>
      <c r="F207" s="329">
        <f t="shared" si="18"/>
        <v>7.5351833000342427</v>
      </c>
      <c r="G207" s="330">
        <f>+$C$394/C207</f>
        <v>2.5691874973926017</v>
      </c>
    </row>
    <row r="208" spans="1:7" ht="18" hidden="1" customHeight="1" x14ac:dyDescent="0.25">
      <c r="A208" s="324">
        <v>2009</v>
      </c>
      <c r="B208" s="334" t="s">
        <v>22</v>
      </c>
      <c r="C208" s="326">
        <f t="shared" si="24"/>
        <v>164778.01061093339</v>
      </c>
      <c r="D208" s="327">
        <v>0.5</v>
      </c>
      <c r="E208" s="333">
        <f>100*(C208/$C$198-1)</f>
        <v>5.8027080857448787</v>
      </c>
      <c r="F208" s="329">
        <f t="shared" si="18"/>
        <v>7.2663237284204207</v>
      </c>
      <c r="G208" s="330">
        <f>+$C$394/C208</f>
        <v>2.5564054700423902</v>
      </c>
    </row>
    <row r="209" spans="1:7" ht="18" hidden="1" customHeight="1" x14ac:dyDescent="0.25">
      <c r="A209" s="324">
        <v>2009</v>
      </c>
      <c r="B209" s="334" t="s">
        <v>23</v>
      </c>
      <c r="C209" s="326">
        <f t="shared" si="24"/>
        <v>165601.90066398802</v>
      </c>
      <c r="D209" s="327">
        <v>0.5</v>
      </c>
      <c r="E209" s="333">
        <f>100*(C209/$C$198-1)</f>
        <v>6.331721626173592</v>
      </c>
      <c r="F209" s="329">
        <f t="shared" si="18"/>
        <v>7.0930567530169908</v>
      </c>
      <c r="G209" s="330">
        <f>+$C$394/C209</f>
        <v>2.5436870348680505</v>
      </c>
    </row>
    <row r="210" spans="1:7" ht="18" hidden="1" customHeight="1" x14ac:dyDescent="0.25">
      <c r="A210" s="324">
        <v>2009</v>
      </c>
      <c r="B210" s="334" t="s">
        <v>12</v>
      </c>
      <c r="C210" s="326">
        <f t="shared" si="24"/>
        <v>166518.67278606386</v>
      </c>
      <c r="D210" s="327">
        <v>0.55359999999999998</v>
      </c>
      <c r="E210" s="333">
        <f>100*(C210/$C$198-1)</f>
        <v>6.9203740370960887</v>
      </c>
      <c r="F210" s="329">
        <f t="shared" si="18"/>
        <v>6.9203740370960887</v>
      </c>
      <c r="G210" s="330">
        <f>+$C$394/C210</f>
        <v>2.5296827113778626</v>
      </c>
    </row>
    <row r="211" spans="1:7" ht="18" hidden="1" customHeight="1" x14ac:dyDescent="0.25">
      <c r="A211" s="324">
        <v>2010</v>
      </c>
      <c r="B211" s="334" t="s">
        <v>27</v>
      </c>
      <c r="C211" s="326">
        <f t="shared" si="24"/>
        <v>167351.26614999416</v>
      </c>
      <c r="D211" s="327">
        <v>0.5</v>
      </c>
      <c r="E211" s="333">
        <f t="shared" ref="E211:E222" si="25">100*(C211/$C$210-1)</f>
        <v>0.49999999999998934</v>
      </c>
      <c r="F211" s="329">
        <f t="shared" ref="F211:F274" si="26">100*(C211/C199-1)</f>
        <v>6.7240230732528383</v>
      </c>
      <c r="G211" s="330">
        <f>+$C$394/C211</f>
        <v>2.5170972252516046</v>
      </c>
    </row>
    <row r="212" spans="1:7" ht="18" hidden="1" customHeight="1" x14ac:dyDescent="0.25">
      <c r="A212" s="324">
        <v>2010</v>
      </c>
      <c r="B212" s="334" t="s">
        <v>14</v>
      </c>
      <c r="C212" s="326">
        <f t="shared" si="24"/>
        <v>168188.02248074411</v>
      </c>
      <c r="D212" s="327">
        <v>0.5</v>
      </c>
      <c r="E212" s="333">
        <f t="shared" si="25"/>
        <v>1.0024999999999729</v>
      </c>
      <c r="F212" s="329">
        <f t="shared" si="26"/>
        <v>6.6759392916616589</v>
      </c>
      <c r="G212" s="330">
        <f>+$C$394/C212</f>
        <v>2.504574353484184</v>
      </c>
    </row>
    <row r="213" spans="1:7" ht="18" hidden="1" customHeight="1" x14ac:dyDescent="0.25">
      <c r="A213" s="324">
        <v>2010</v>
      </c>
      <c r="B213" s="334" t="s">
        <v>29</v>
      </c>
      <c r="C213" s="326">
        <f t="shared" si="24"/>
        <v>169162.84025904248</v>
      </c>
      <c r="D213" s="327">
        <v>0.5796</v>
      </c>
      <c r="E213" s="333">
        <f t="shared" si="25"/>
        <v>1.5879104899999552</v>
      </c>
      <c r="F213" s="329">
        <f t="shared" si="26"/>
        <v>6.6071499543403744</v>
      </c>
      <c r="G213" s="330">
        <f>+$C$394/C213</f>
        <v>2.4901414933885047</v>
      </c>
    </row>
    <row r="214" spans="1:7" ht="18" hidden="1" customHeight="1" x14ac:dyDescent="0.25">
      <c r="A214" s="324">
        <v>2010</v>
      </c>
      <c r="B214" s="334" t="s">
        <v>30</v>
      </c>
      <c r="C214" s="326">
        <f t="shared" si="24"/>
        <v>170008.65446033768</v>
      </c>
      <c r="D214" s="327">
        <v>0.5</v>
      </c>
      <c r="E214" s="333">
        <f t="shared" si="25"/>
        <v>2.0958500424499427</v>
      </c>
      <c r="F214" s="329">
        <f t="shared" si="26"/>
        <v>6.5588008864754688</v>
      </c>
      <c r="G214" s="330">
        <f>+$C$394/C214</f>
        <v>2.4777527297398056</v>
      </c>
    </row>
    <row r="215" spans="1:7" ht="18" hidden="1" customHeight="1" x14ac:dyDescent="0.25">
      <c r="A215" s="324">
        <v>2010</v>
      </c>
      <c r="B215" s="334" t="s">
        <v>31</v>
      </c>
      <c r="C215" s="326">
        <f t="shared" si="24"/>
        <v>170945.91217237755</v>
      </c>
      <c r="D215" s="327">
        <v>0.55130000000000001</v>
      </c>
      <c r="E215" s="333">
        <f t="shared" si="25"/>
        <v>2.6587044637339963</v>
      </c>
      <c r="F215" s="329">
        <f t="shared" si="26"/>
        <v>6.5653717145466084</v>
      </c>
      <c r="G215" s="330">
        <f>+$C$394/C215</f>
        <v>2.4641677728083131</v>
      </c>
    </row>
    <row r="216" spans="1:7" ht="18" hidden="1" customHeight="1" x14ac:dyDescent="0.25">
      <c r="A216" s="324">
        <v>2010</v>
      </c>
      <c r="B216" s="334" t="s">
        <v>32</v>
      </c>
      <c r="C216" s="326">
        <f t="shared" si="24"/>
        <v>171901.84171324549</v>
      </c>
      <c r="D216" s="327">
        <v>0.55920000000000003</v>
      </c>
      <c r="E216" s="333">
        <f t="shared" si="25"/>
        <v>3.2327719390951914</v>
      </c>
      <c r="F216" s="329">
        <f t="shared" si="26"/>
        <v>6.5582720118592563</v>
      </c>
      <c r="G216" s="330">
        <f>+$C$394/C216</f>
        <v>2.4504647737932612</v>
      </c>
    </row>
    <row r="217" spans="1:7" ht="18" hidden="1" customHeight="1" x14ac:dyDescent="0.25">
      <c r="A217" s="324">
        <v>2010</v>
      </c>
      <c r="B217" s="334" t="s">
        <v>33</v>
      </c>
      <c r="C217" s="326">
        <f t="shared" si="24"/>
        <v>172960.24135267394</v>
      </c>
      <c r="D217" s="327">
        <v>0.61570000000000003</v>
      </c>
      <c r="E217" s="333">
        <f t="shared" si="25"/>
        <v>3.8683761159242103</v>
      </c>
      <c r="F217" s="329">
        <f t="shared" si="26"/>
        <v>6.568969612661979</v>
      </c>
      <c r="G217" s="330">
        <f>+$C$394/C217</f>
        <v>2.4354695875427606</v>
      </c>
    </row>
    <row r="218" spans="1:7" ht="18" hidden="1" customHeight="1" x14ac:dyDescent="0.25">
      <c r="A218" s="324">
        <v>2010</v>
      </c>
      <c r="B218" s="334" t="s">
        <v>34</v>
      </c>
      <c r="C218" s="326">
        <f t="shared" si="24"/>
        <v>173983.12822003366</v>
      </c>
      <c r="D218" s="327">
        <v>0.59140000000000004</v>
      </c>
      <c r="E218" s="333">
        <f t="shared" si="25"/>
        <v>4.4826536922737859</v>
      </c>
      <c r="F218" s="329">
        <f t="shared" si="26"/>
        <v>6.6448784209193201</v>
      </c>
      <c r="G218" s="330">
        <f>+$C$394/C218</f>
        <v>2.4211509011135748</v>
      </c>
    </row>
    <row r="219" spans="1:7" ht="18" hidden="1" customHeight="1" x14ac:dyDescent="0.25">
      <c r="A219" s="324">
        <v>2010</v>
      </c>
      <c r="B219" s="334" t="s">
        <v>36</v>
      </c>
      <c r="C219" s="326">
        <f t="shared" si="24"/>
        <v>175004.06121642882</v>
      </c>
      <c r="D219" s="327">
        <v>0.58679999999999999</v>
      </c>
      <c r="E219" s="333">
        <f t="shared" si="25"/>
        <v>5.0957579041400525</v>
      </c>
      <c r="F219" s="329">
        <f t="shared" si="26"/>
        <v>6.7369856392968108</v>
      </c>
      <c r="G219" s="330">
        <f>+$C$394/C219</f>
        <v>2.4070264697888537</v>
      </c>
    </row>
    <row r="220" spans="1:7" ht="18" hidden="1" customHeight="1" x14ac:dyDescent="0.25">
      <c r="A220" s="324">
        <v>2010</v>
      </c>
      <c r="B220" s="334" t="s">
        <v>35</v>
      </c>
      <c r="C220" s="326">
        <f t="shared" si="24"/>
        <v>175962.03344752756</v>
      </c>
      <c r="D220" s="327">
        <v>0.5474</v>
      </c>
      <c r="E220" s="333">
        <f t="shared" si="25"/>
        <v>5.6710520829073241</v>
      </c>
      <c r="F220" s="329">
        <f t="shared" si="26"/>
        <v>6.7873272623744763</v>
      </c>
      <c r="G220" s="330">
        <f>+$C$394/C220</f>
        <v>2.3939221399945234</v>
      </c>
    </row>
    <row r="221" spans="1:7" ht="18" hidden="1" customHeight="1" x14ac:dyDescent="0.25">
      <c r="A221" s="324">
        <v>2010</v>
      </c>
      <c r="B221" s="334" t="s">
        <v>25</v>
      </c>
      <c r="C221" s="326">
        <f t="shared" si="24"/>
        <v>176901.31878207048</v>
      </c>
      <c r="D221" s="327">
        <v>0.53380000000000005</v>
      </c>
      <c r="E221" s="333">
        <f t="shared" si="25"/>
        <v>6.2351241589258866</v>
      </c>
      <c r="F221" s="329">
        <f t="shared" si="26"/>
        <v>6.8232418062696976</v>
      </c>
      <c r="G221" s="330">
        <f>+$C$394/C221</f>
        <v>2.3812112344251619</v>
      </c>
    </row>
    <row r="222" spans="1:7" ht="18" hidden="1" customHeight="1" x14ac:dyDescent="0.25">
      <c r="A222" s="324">
        <v>2010</v>
      </c>
      <c r="B222" s="334" t="s">
        <v>26</v>
      </c>
      <c r="C222" s="326">
        <f t="shared" si="24"/>
        <v>178035.78693941989</v>
      </c>
      <c r="D222" s="327">
        <v>0.64129999999999998</v>
      </c>
      <c r="E222" s="333">
        <f t="shared" si="25"/>
        <v>6.9164100101570813</v>
      </c>
      <c r="F222" s="329">
        <f t="shared" si="26"/>
        <v>6.9164100101570813</v>
      </c>
      <c r="G222" s="330">
        <f>+$C$394/C222</f>
        <v>2.3660378337970216</v>
      </c>
    </row>
    <row r="223" spans="1:7" ht="18" customHeight="1" x14ac:dyDescent="0.25">
      <c r="A223" s="336">
        <v>2011</v>
      </c>
      <c r="B223" s="337" t="s">
        <v>27</v>
      </c>
      <c r="C223" s="338">
        <f t="shared" si="24"/>
        <v>179053.97360492643</v>
      </c>
      <c r="D223" s="339">
        <v>0.57189999999999996</v>
      </c>
      <c r="E223" s="340">
        <f>100*(C223/$C$222-1)</f>
        <v>0.57190000000000296</v>
      </c>
      <c r="F223" s="341">
        <f t="shared" si="26"/>
        <v>6.9929004567215625</v>
      </c>
      <c r="G223" s="342">
        <f>+$C$394/C223</f>
        <v>2.3525834092793532</v>
      </c>
    </row>
    <row r="224" spans="1:7" ht="18" customHeight="1" x14ac:dyDescent="0.25">
      <c r="A224" s="343">
        <v>2011</v>
      </c>
      <c r="B224" s="344" t="s">
        <v>28</v>
      </c>
      <c r="C224" s="345">
        <f t="shared" si="24"/>
        <v>180043.60491704088</v>
      </c>
      <c r="D224" s="346">
        <v>0.55269999999999997</v>
      </c>
      <c r="E224" s="347">
        <f t="shared" ref="E224:E234" si="27">100*(C224/$C$222-1)</f>
        <v>1.1277608913000003</v>
      </c>
      <c r="F224" s="348">
        <f t="shared" si="26"/>
        <v>7.0490051915879537</v>
      </c>
      <c r="G224" s="349">
        <f>+$C$394/C224</f>
        <v>2.3396521518361544</v>
      </c>
    </row>
    <row r="225" spans="1:7" ht="18" customHeight="1" x14ac:dyDescent="0.25">
      <c r="A225" s="343">
        <v>2011</v>
      </c>
      <c r="B225" s="344" t="s">
        <v>29</v>
      </c>
      <c r="C225" s="345">
        <f t="shared" si="24"/>
        <v>181163.11605241505</v>
      </c>
      <c r="D225" s="346">
        <v>0.62180000000000002</v>
      </c>
      <c r="E225" s="347">
        <f t="shared" si="27"/>
        <v>1.7565733085221247</v>
      </c>
      <c r="F225" s="348">
        <f t="shared" si="26"/>
        <v>7.0939195481680928</v>
      </c>
      <c r="G225" s="349">
        <f t="shared" ref="G225:G288" si="28">+$C$394/C225</f>
        <v>2.3251940949537317</v>
      </c>
    </row>
    <row r="226" spans="1:7" ht="18" customHeight="1" x14ac:dyDescent="0.25">
      <c r="A226" s="343">
        <v>2011</v>
      </c>
      <c r="B226" s="344" t="s">
        <v>30</v>
      </c>
      <c r="C226" s="345">
        <f t="shared" si="24"/>
        <v>182136.14314873258</v>
      </c>
      <c r="D226" s="346">
        <v>0.53710000000000002</v>
      </c>
      <c r="E226" s="347">
        <f t="shared" si="27"/>
        <v>2.3031078637621993</v>
      </c>
      <c r="F226" s="348">
        <f t="shared" si="26"/>
        <v>7.1334537214540417</v>
      </c>
      <c r="G226" s="349">
        <f t="shared" si="28"/>
        <v>2.3127721954917457</v>
      </c>
    </row>
    <row r="227" spans="1:7" ht="18" customHeight="1" x14ac:dyDescent="0.25">
      <c r="A227" s="343">
        <v>2011</v>
      </c>
      <c r="B227" s="344" t="s">
        <v>31</v>
      </c>
      <c r="C227" s="345">
        <f t="shared" si="24"/>
        <v>183323.30652977602</v>
      </c>
      <c r="D227" s="346">
        <v>0.65180000000000005</v>
      </c>
      <c r="E227" s="347">
        <f t="shared" si="27"/>
        <v>2.9699195208181983</v>
      </c>
      <c r="F227" s="348">
        <f t="shared" si="26"/>
        <v>7.240532517043996</v>
      </c>
      <c r="G227" s="349">
        <f t="shared" si="28"/>
        <v>2.2977951665958738</v>
      </c>
    </row>
    <row r="228" spans="1:7" ht="18" customHeight="1" x14ac:dyDescent="0.25">
      <c r="A228" s="343">
        <v>2011</v>
      </c>
      <c r="B228" s="344" t="s">
        <v>32</v>
      </c>
      <c r="C228" s="345">
        <f t="shared" si="24"/>
        <v>184445.24516573822</v>
      </c>
      <c r="D228" s="346">
        <v>0.61199999999999999</v>
      </c>
      <c r="E228" s="347">
        <f t="shared" si="27"/>
        <v>3.6000954282855879</v>
      </c>
      <c r="F228" s="348">
        <f t="shared" si="26"/>
        <v>7.2968406431716648</v>
      </c>
      <c r="G228" s="349">
        <f t="shared" si="28"/>
        <v>2.2838181992166682</v>
      </c>
    </row>
    <row r="229" spans="1:7" ht="18" customHeight="1" x14ac:dyDescent="0.25">
      <c r="A229" s="343">
        <v>2011</v>
      </c>
      <c r="B229" s="344" t="s">
        <v>33</v>
      </c>
      <c r="C229" s="345">
        <f t="shared" si="24"/>
        <v>185595.26126934661</v>
      </c>
      <c r="D229" s="346">
        <v>0.62350000000000005</v>
      </c>
      <c r="E229" s="347">
        <f t="shared" si="27"/>
        <v>4.2460420232809604</v>
      </c>
      <c r="F229" s="348">
        <f t="shared" si="26"/>
        <v>7.3051585831851895</v>
      </c>
      <c r="G229" s="349">
        <f t="shared" si="28"/>
        <v>2.2696668265531095</v>
      </c>
    </row>
    <row r="230" spans="1:7" ht="18" customHeight="1" x14ac:dyDescent="0.25">
      <c r="A230" s="343">
        <v>2011</v>
      </c>
      <c r="B230" s="344" t="s">
        <v>34</v>
      </c>
      <c r="C230" s="345">
        <f t="shared" si="24"/>
        <v>186910.38929070119</v>
      </c>
      <c r="D230" s="346">
        <v>0.70860000000000001</v>
      </c>
      <c r="E230" s="347">
        <f t="shared" si="27"/>
        <v>4.9847294770579254</v>
      </c>
      <c r="F230" s="348">
        <f t="shared" si="26"/>
        <v>7.430180847374257</v>
      </c>
      <c r="G230" s="349">
        <f t="shared" si="28"/>
        <v>2.2536971286991472</v>
      </c>
    </row>
    <row r="231" spans="1:7" ht="18" customHeight="1" x14ac:dyDescent="0.25">
      <c r="A231" s="343">
        <v>2011</v>
      </c>
      <c r="B231" s="344" t="s">
        <v>36</v>
      </c>
      <c r="C231" s="345">
        <f t="shared" si="24"/>
        <v>188033.34690955974</v>
      </c>
      <c r="D231" s="346">
        <v>0.6008</v>
      </c>
      <c r="E231" s="347">
        <f t="shared" si="27"/>
        <v>5.6154777317561022</v>
      </c>
      <c r="F231" s="348">
        <f t="shared" si="26"/>
        <v>7.4451333315159518</v>
      </c>
      <c r="G231" s="349">
        <f t="shared" si="28"/>
        <v>2.240237780116209</v>
      </c>
    </row>
    <row r="232" spans="1:7" ht="18" customHeight="1" x14ac:dyDescent="0.25">
      <c r="A232" s="343">
        <v>2011</v>
      </c>
      <c r="B232" s="344" t="s">
        <v>35</v>
      </c>
      <c r="C232" s="345">
        <f t="shared" si="24"/>
        <v>189090.65841923218</v>
      </c>
      <c r="D232" s="346">
        <v>0.56230000000000002</v>
      </c>
      <c r="E232" s="347">
        <f t="shared" si="27"/>
        <v>6.2093535630417529</v>
      </c>
      <c r="F232" s="348">
        <f t="shared" si="26"/>
        <v>7.461055498440583</v>
      </c>
      <c r="G232" s="349">
        <f t="shared" si="28"/>
        <v>2.2277113591437439</v>
      </c>
    </row>
    <row r="233" spans="1:7" ht="18" customHeight="1" x14ac:dyDescent="0.25">
      <c r="A233" s="343">
        <v>2011</v>
      </c>
      <c r="B233" s="344" t="s">
        <v>25</v>
      </c>
      <c r="C233" s="345">
        <f t="shared" si="24"/>
        <v>190158.64245798401</v>
      </c>
      <c r="D233" s="346">
        <v>0.56479999999999997</v>
      </c>
      <c r="E233" s="347">
        <f t="shared" si="27"/>
        <v>6.8092239919658182</v>
      </c>
      <c r="F233" s="348">
        <f t="shared" si="26"/>
        <v>7.4941915454262986</v>
      </c>
      <c r="G233" s="349">
        <f t="shared" si="28"/>
        <v>2.2151999100517714</v>
      </c>
    </row>
    <row r="234" spans="1:7" ht="18" customHeight="1" x14ac:dyDescent="0.25">
      <c r="A234" s="343">
        <v>2011</v>
      </c>
      <c r="B234" s="344" t="s">
        <v>26</v>
      </c>
      <c r="C234" s="345">
        <f t="shared" si="24"/>
        <v>191288.56511146933</v>
      </c>
      <c r="D234" s="346">
        <v>0.59419999999999995</v>
      </c>
      <c r="E234" s="347">
        <f t="shared" si="27"/>
        <v>7.4438844009260707</v>
      </c>
      <c r="F234" s="348">
        <f t="shared" si="26"/>
        <v>7.4438844009260707</v>
      </c>
      <c r="G234" s="349">
        <f t="shared" si="28"/>
        <v>2.2021149430601081</v>
      </c>
    </row>
    <row r="235" spans="1:7" ht="18" customHeight="1" x14ac:dyDescent="0.25">
      <c r="A235" s="343">
        <v>2012</v>
      </c>
      <c r="B235" s="344" t="s">
        <v>27</v>
      </c>
      <c r="C235" s="345">
        <f t="shared" si="24"/>
        <v>192411.04641154344</v>
      </c>
      <c r="D235" s="346">
        <v>0.58679999999999999</v>
      </c>
      <c r="E235" s="347">
        <f>100*(C235/$C$234-1)</f>
        <v>0.58679999999999843</v>
      </c>
      <c r="F235" s="348">
        <f t="shared" si="26"/>
        <v>7.4598025040699234</v>
      </c>
      <c r="G235" s="349">
        <f t="shared" si="28"/>
        <v>2.1892683165784259</v>
      </c>
    </row>
    <row r="236" spans="1:7" ht="18" customHeight="1" x14ac:dyDescent="0.25">
      <c r="A236" s="343">
        <f>2012</f>
        <v>2012</v>
      </c>
      <c r="B236" s="344" t="s">
        <v>28</v>
      </c>
      <c r="C236" s="345">
        <f t="shared" si="24"/>
        <v>193373.10164360114</v>
      </c>
      <c r="D236" s="346">
        <v>0.5</v>
      </c>
      <c r="E236" s="347">
        <f t="shared" ref="E236:E246" si="29">100*(C236/$C$234-1)</f>
        <v>1.0897339999999867</v>
      </c>
      <c r="F236" s="348">
        <f t="shared" si="26"/>
        <v>7.4034824689841905</v>
      </c>
      <c r="G236" s="349">
        <f t="shared" si="28"/>
        <v>2.1783764344063941</v>
      </c>
    </row>
    <row r="237" spans="1:7" ht="18" customHeight="1" x14ac:dyDescent="0.25">
      <c r="A237" s="343">
        <f>2012</f>
        <v>2012</v>
      </c>
      <c r="B237" s="344" t="s">
        <v>29</v>
      </c>
      <c r="C237" s="345">
        <f t="shared" si="24"/>
        <v>194547.45648988272</v>
      </c>
      <c r="D237" s="346">
        <v>0.60729999999999995</v>
      </c>
      <c r="E237" s="347">
        <f t="shared" si="29"/>
        <v>1.7036519545819973</v>
      </c>
      <c r="F237" s="348">
        <f t="shared" si="26"/>
        <v>7.3880052016743081</v>
      </c>
      <c r="G237" s="349">
        <f t="shared" si="28"/>
        <v>2.1652270107699882</v>
      </c>
    </row>
    <row r="238" spans="1:7" ht="18" customHeight="1" x14ac:dyDescent="0.25">
      <c r="A238" s="343">
        <f>2012</f>
        <v>2012</v>
      </c>
      <c r="B238" s="344" t="s">
        <v>30</v>
      </c>
      <c r="C238" s="345">
        <f t="shared" si="24"/>
        <v>195564.55059241183</v>
      </c>
      <c r="D238" s="346">
        <v>0.52280000000000004</v>
      </c>
      <c r="E238" s="347">
        <f t="shared" si="29"/>
        <v>2.2353586470005515</v>
      </c>
      <c r="F238" s="348">
        <f t="shared" si="26"/>
        <v>7.3727307559782851</v>
      </c>
      <c r="G238" s="349">
        <f t="shared" si="28"/>
        <v>2.153966076124012</v>
      </c>
    </row>
    <row r="239" spans="1:7" ht="18" customHeight="1" x14ac:dyDescent="0.25">
      <c r="A239" s="343">
        <f>2012</f>
        <v>2012</v>
      </c>
      <c r="B239" s="344" t="s">
        <v>31</v>
      </c>
      <c r="C239" s="345">
        <f t="shared" si="24"/>
        <v>196634.28868415233</v>
      </c>
      <c r="D239" s="346">
        <v>0.54700000000000004</v>
      </c>
      <c r="E239" s="347">
        <f t="shared" si="29"/>
        <v>2.7945860587996307</v>
      </c>
      <c r="F239" s="348">
        <f t="shared" si="26"/>
        <v>7.2609328330079492</v>
      </c>
      <c r="G239" s="349">
        <f t="shared" si="28"/>
        <v>2.1422479796751883</v>
      </c>
    </row>
    <row r="240" spans="1:7" ht="18" customHeight="1" x14ac:dyDescent="0.25">
      <c r="A240" s="343">
        <f>2012</f>
        <v>2012</v>
      </c>
      <c r="B240" s="344" t="s">
        <v>32</v>
      </c>
      <c r="C240" s="345">
        <f t="shared" si="24"/>
        <v>197583.63902991943</v>
      </c>
      <c r="D240" s="346">
        <v>0.48280000000000001</v>
      </c>
      <c r="E240" s="347">
        <f t="shared" si="29"/>
        <v>3.2908783202915348</v>
      </c>
      <c r="F240" s="348">
        <f t="shared" si="26"/>
        <v>7.1231946653736555</v>
      </c>
      <c r="G240" s="349">
        <f t="shared" si="28"/>
        <v>2.1319549014111754</v>
      </c>
    </row>
    <row r="241" spans="1:7" ht="18" customHeight="1" x14ac:dyDescent="0.25">
      <c r="A241" s="343">
        <f>2012</f>
        <v>2012</v>
      </c>
      <c r="B241" s="344" t="s">
        <v>33</v>
      </c>
      <c r="C241" s="345">
        <f t="shared" si="24"/>
        <v>198566.2224668152</v>
      </c>
      <c r="D241" s="346">
        <v>0.49730000000000002</v>
      </c>
      <c r="E241" s="347">
        <f t="shared" si="29"/>
        <v>3.8045438581783442</v>
      </c>
      <c r="F241" s="348">
        <f t="shared" si="26"/>
        <v>6.988842877105772</v>
      </c>
      <c r="G241" s="349">
        <f t="shared" si="28"/>
        <v>2.1214051535824101</v>
      </c>
    </row>
    <row r="242" spans="1:7" ht="18" customHeight="1" x14ac:dyDescent="0.25">
      <c r="A242" s="343">
        <f>2012</f>
        <v>2012</v>
      </c>
      <c r="B242" s="344" t="s">
        <v>34</v>
      </c>
      <c r="C242" s="345">
        <f t="shared" si="24"/>
        <v>199494.51955684758</v>
      </c>
      <c r="D242" s="346">
        <v>0.46750000000000003</v>
      </c>
      <c r="E242" s="347">
        <f t="shared" si="29"/>
        <v>4.2898301007153306</v>
      </c>
      <c r="F242" s="348">
        <f t="shared" si="26"/>
        <v>6.7327077504366617</v>
      </c>
      <c r="G242" s="349">
        <f t="shared" si="28"/>
        <v>2.1115337333788635</v>
      </c>
    </row>
    <row r="243" spans="1:7" ht="18" customHeight="1" x14ac:dyDescent="0.25">
      <c r="A243" s="343">
        <f>2012</f>
        <v>2012</v>
      </c>
      <c r="B243" s="344" t="s">
        <v>36</v>
      </c>
      <c r="C243" s="345">
        <f t="shared" si="24"/>
        <v>200346.95963891398</v>
      </c>
      <c r="D243" s="346">
        <v>0.42730000000000001</v>
      </c>
      <c r="E243" s="347">
        <f t="shared" si="29"/>
        <v>4.7354605447356812</v>
      </c>
      <c r="F243" s="348">
        <f t="shared" si="26"/>
        <v>6.5486324270326524</v>
      </c>
      <c r="G243" s="349">
        <f t="shared" si="28"/>
        <v>2.1025495391978715</v>
      </c>
    </row>
    <row r="244" spans="1:7" ht="18" customHeight="1" x14ac:dyDescent="0.25">
      <c r="A244" s="343">
        <f>2012</f>
        <v>2012</v>
      </c>
      <c r="B244" s="344" t="s">
        <v>35</v>
      </c>
      <c r="C244" s="345">
        <f t="shared" si="24"/>
        <v>201203.04219745105</v>
      </c>
      <c r="D244" s="346">
        <v>0.42730000000000001</v>
      </c>
      <c r="E244" s="347">
        <f t="shared" si="29"/>
        <v>5.1829951676433339</v>
      </c>
      <c r="F244" s="348">
        <f t="shared" si="26"/>
        <v>6.4055960667102729</v>
      </c>
      <c r="G244" s="349">
        <f t="shared" si="28"/>
        <v>2.0936035711383969</v>
      </c>
    </row>
    <row r="245" spans="1:7" ht="18" customHeight="1" x14ac:dyDescent="0.25">
      <c r="A245" s="343">
        <f>2012</f>
        <v>2012</v>
      </c>
      <c r="B245" s="344" t="s">
        <v>25</v>
      </c>
      <c r="C245" s="345">
        <f t="shared" si="24"/>
        <v>202034.81557389532</v>
      </c>
      <c r="D245" s="346">
        <v>0.41339999999999999</v>
      </c>
      <c r="E245" s="347">
        <f t="shared" si="29"/>
        <v>5.6178216696663785</v>
      </c>
      <c r="F245" s="348">
        <f t="shared" si="26"/>
        <v>6.2454027660275191</v>
      </c>
      <c r="G245" s="349">
        <f t="shared" si="28"/>
        <v>2.08498424626434</v>
      </c>
    </row>
    <row r="246" spans="1:7" ht="18" customHeight="1" x14ac:dyDescent="0.25">
      <c r="A246" s="343">
        <f>2012</f>
        <v>2012</v>
      </c>
      <c r="B246" s="344" t="s">
        <v>26</v>
      </c>
      <c r="C246" s="345">
        <f t="shared" si="24"/>
        <v>202870.02750147783</v>
      </c>
      <c r="D246" s="346">
        <v>0.41339999999999999</v>
      </c>
      <c r="E246" s="347">
        <f t="shared" si="29"/>
        <v>6.0544457444487776</v>
      </c>
      <c r="F246" s="348">
        <f t="shared" si="26"/>
        <v>6.0544457444487776</v>
      </c>
      <c r="G246" s="349">
        <f t="shared" si="28"/>
        <v>2.0764004069818767</v>
      </c>
    </row>
    <row r="247" spans="1:7" ht="18" customHeight="1" x14ac:dyDescent="0.25">
      <c r="A247" s="343">
        <f>2013</f>
        <v>2013</v>
      </c>
      <c r="B247" s="344" t="s">
        <v>27</v>
      </c>
      <c r="C247" s="345">
        <f t="shared" si="24"/>
        <v>203708.69219516896</v>
      </c>
      <c r="D247" s="346">
        <v>0.41339999999999999</v>
      </c>
      <c r="E247" s="347">
        <f t="shared" ref="E247:E258" si="30">100*(C247/$C$246-1)</f>
        <v>0.41340000000000821</v>
      </c>
      <c r="F247" s="348">
        <f t="shared" si="26"/>
        <v>5.8716201560804704</v>
      </c>
      <c r="G247" s="349">
        <f t="shared" si="28"/>
        <v>2.0678519071975221</v>
      </c>
    </row>
    <row r="248" spans="1:7" ht="18" customHeight="1" x14ac:dyDescent="0.25">
      <c r="A248" s="343">
        <f>2013</f>
        <v>2013</v>
      </c>
      <c r="B248" s="344" t="s">
        <v>28</v>
      </c>
      <c r="C248" s="345">
        <f t="shared" si="24"/>
        <v>204550.82392870382</v>
      </c>
      <c r="D248" s="346">
        <v>0.41339999999999999</v>
      </c>
      <c r="E248" s="347">
        <f t="shared" si="30"/>
        <v>0.82850899560003022</v>
      </c>
      <c r="F248" s="348">
        <f t="shared" si="26"/>
        <v>5.7803914764235964</v>
      </c>
      <c r="G248" s="349">
        <f t="shared" si="28"/>
        <v>2.0593386014192547</v>
      </c>
    </row>
    <row r="249" spans="1:7" ht="18" customHeight="1" x14ac:dyDescent="0.25">
      <c r="A249" s="343">
        <f>2013</f>
        <v>2013</v>
      </c>
      <c r="B249" s="344" t="s">
        <v>29</v>
      </c>
      <c r="C249" s="345">
        <f t="shared" si="24"/>
        <v>205396.4370348251</v>
      </c>
      <c r="D249" s="346">
        <v>0.41339999999999999</v>
      </c>
      <c r="E249" s="347">
        <f t="shared" si="30"/>
        <v>1.2453340517878386</v>
      </c>
      <c r="F249" s="348">
        <f t="shared" si="26"/>
        <v>5.5765214003229868</v>
      </c>
      <c r="G249" s="349">
        <f t="shared" si="28"/>
        <v>2.050860344754041</v>
      </c>
    </row>
    <row r="250" spans="1:7" ht="18" customHeight="1" x14ac:dyDescent="0.25">
      <c r="A250" s="343">
        <f>2013</f>
        <v>2013</v>
      </c>
      <c r="B250" s="344" t="s">
        <v>30</v>
      </c>
      <c r="C250" s="345">
        <f t="shared" si="24"/>
        <v>206245.54590552708</v>
      </c>
      <c r="D250" s="346">
        <v>0.41339999999999999</v>
      </c>
      <c r="E250" s="347">
        <f t="shared" si="30"/>
        <v>1.6638822627579319</v>
      </c>
      <c r="F250" s="348">
        <f t="shared" si="26"/>
        <v>5.4616213832005656</v>
      </c>
      <c r="G250" s="349">
        <f t="shared" si="28"/>
        <v>2.0424169929053702</v>
      </c>
    </row>
    <row r="251" spans="1:7" ht="18" customHeight="1" x14ac:dyDescent="0.25">
      <c r="A251" s="343">
        <f>2013</f>
        <v>2013</v>
      </c>
      <c r="B251" s="344" t="s">
        <v>31</v>
      </c>
      <c r="C251" s="345">
        <f t="shared" si="24"/>
        <v>207126.83312318139</v>
      </c>
      <c r="D251" s="346">
        <v>0.42730000000000001</v>
      </c>
      <c r="E251" s="347">
        <f t="shared" si="30"/>
        <v>2.0982920316667153</v>
      </c>
      <c r="F251" s="348">
        <f t="shared" si="26"/>
        <v>5.3360705852695478</v>
      </c>
      <c r="G251" s="349">
        <f t="shared" si="28"/>
        <v>2.033726877955865</v>
      </c>
    </row>
    <row r="252" spans="1:7" ht="18" customHeight="1" x14ac:dyDescent="0.25">
      <c r="A252" s="343">
        <f>2013</f>
        <v>2013</v>
      </c>
      <c r="B252" s="344" t="s">
        <v>32</v>
      </c>
      <c r="C252" s="345">
        <f t="shared" si="24"/>
        <v>208069.46734072498</v>
      </c>
      <c r="D252" s="346">
        <v>0.4551</v>
      </c>
      <c r="E252" s="347">
        <f t="shared" si="30"/>
        <v>2.5629413587028083</v>
      </c>
      <c r="F252" s="348">
        <f t="shared" si="26"/>
        <v>5.307032688682134</v>
      </c>
      <c r="G252" s="349">
        <f t="shared" si="28"/>
        <v>2.0245133178463464</v>
      </c>
    </row>
    <row r="253" spans="1:7" ht="18" customHeight="1" x14ac:dyDescent="0.25">
      <c r="A253" s="343">
        <f>2013</f>
        <v>2013</v>
      </c>
      <c r="B253" s="344" t="s">
        <v>33</v>
      </c>
      <c r="C253" s="345">
        <f t="shared" si="24"/>
        <v>209060.08607473416</v>
      </c>
      <c r="D253" s="346">
        <v>0.47610000000000002</v>
      </c>
      <c r="E253" s="347">
        <f t="shared" si="30"/>
        <v>3.0512435225116041</v>
      </c>
      <c r="F253" s="348">
        <f t="shared" si="26"/>
        <v>5.2848180710456605</v>
      </c>
      <c r="G253" s="349">
        <f t="shared" si="28"/>
        <v>2.0149202823819259</v>
      </c>
    </row>
    <row r="254" spans="1:7" ht="18" customHeight="1" x14ac:dyDescent="0.25">
      <c r="A254" s="343">
        <f>2013</f>
        <v>2013</v>
      </c>
      <c r="B254" s="344" t="s">
        <v>34</v>
      </c>
      <c r="C254" s="345">
        <f t="shared" si="24"/>
        <v>210069.428170303</v>
      </c>
      <c r="D254" s="346">
        <v>0.48280000000000001</v>
      </c>
      <c r="E254" s="347">
        <f t="shared" si="30"/>
        <v>3.5487749262382851</v>
      </c>
      <c r="F254" s="348">
        <f t="shared" si="26"/>
        <v>5.3008516910370673</v>
      </c>
      <c r="G254" s="349">
        <f t="shared" si="28"/>
        <v>2.0052389885452295</v>
      </c>
    </row>
    <row r="255" spans="1:7" ht="18" customHeight="1" x14ac:dyDescent="0.25">
      <c r="A255" s="343">
        <f>2013</f>
        <v>2013</v>
      </c>
      <c r="B255" s="344" t="s">
        <v>36</v>
      </c>
      <c r="C255" s="345">
        <f t="shared" si="24"/>
        <v>211136.37079597998</v>
      </c>
      <c r="D255" s="346">
        <v>0.50790000000000002</v>
      </c>
      <c r="E255" s="347">
        <f t="shared" si="30"/>
        <v>4.0746991540886679</v>
      </c>
      <c r="F255" s="348">
        <f t="shared" si="26"/>
        <v>5.3853630604186797</v>
      </c>
      <c r="G255" s="349">
        <f t="shared" si="28"/>
        <v>1.9951058459536308</v>
      </c>
    </row>
    <row r="256" spans="1:7" ht="18" customHeight="1" x14ac:dyDescent="0.25">
      <c r="A256" s="343">
        <f>2013</f>
        <v>2013</v>
      </c>
      <c r="B256" s="344" t="s">
        <v>35</v>
      </c>
      <c r="C256" s="345">
        <f t="shared" si="24"/>
        <v>212387.35379294615</v>
      </c>
      <c r="D256" s="346">
        <v>0.59250000000000003</v>
      </c>
      <c r="E256" s="347">
        <f t="shared" si="30"/>
        <v>4.6913417465766383</v>
      </c>
      <c r="F256" s="348">
        <f t="shared" si="26"/>
        <v>5.5587189305613682</v>
      </c>
      <c r="G256" s="349">
        <f t="shared" si="28"/>
        <v>1.9833544707146467</v>
      </c>
    </row>
    <row r="257" spans="1:7" ht="18" customHeight="1" x14ac:dyDescent="0.25">
      <c r="A257" s="343">
        <f>2013</f>
        <v>2013</v>
      </c>
      <c r="B257" s="344" t="s">
        <v>25</v>
      </c>
      <c r="C257" s="345">
        <f t="shared" si="24"/>
        <v>213493.46713149984</v>
      </c>
      <c r="D257" s="346">
        <v>0.52080000000000004</v>
      </c>
      <c r="E257" s="347">
        <f t="shared" si="30"/>
        <v>5.2365742543928118</v>
      </c>
      <c r="F257" s="348">
        <f t="shared" si="26"/>
        <v>5.6716222523604864</v>
      </c>
      <c r="G257" s="349">
        <f t="shared" si="28"/>
        <v>1.9730786769650126</v>
      </c>
    </row>
    <row r="258" spans="1:7" ht="18" customHeight="1" x14ac:dyDescent="0.25">
      <c r="A258" s="343">
        <f>2013</f>
        <v>2013</v>
      </c>
      <c r="B258" s="344" t="s">
        <v>26</v>
      </c>
      <c r="C258" s="345">
        <f t="shared" si="24"/>
        <v>214666.82722685454</v>
      </c>
      <c r="D258" s="346">
        <v>0.54959999999999998</v>
      </c>
      <c r="E258" s="347">
        <f t="shared" si="30"/>
        <v>5.8149544664949371</v>
      </c>
      <c r="F258" s="348">
        <f t="shared" si="26"/>
        <v>5.8149544664949371</v>
      </c>
      <c r="G258" s="349">
        <f t="shared" si="28"/>
        <v>1.9622939096376444</v>
      </c>
    </row>
    <row r="259" spans="1:7" ht="18" customHeight="1" x14ac:dyDescent="0.25">
      <c r="A259" s="343">
        <f>2014</f>
        <v>2014</v>
      </c>
      <c r="B259" s="344" t="s">
        <v>27</v>
      </c>
      <c r="C259" s="345">
        <f t="shared" si="24"/>
        <v>215983.16421140963</v>
      </c>
      <c r="D259" s="346">
        <v>0.61319999999999997</v>
      </c>
      <c r="E259" s="347">
        <f t="shared" ref="E259:E270" si="31">100*(C259/$C$258-1)</f>
        <v>0.61320000000000263</v>
      </c>
      <c r="F259" s="348">
        <f t="shared" si="26"/>
        <v>6.0255023406074137</v>
      </c>
      <c r="G259" s="349">
        <f t="shared" si="28"/>
        <v>1.9503344587366709</v>
      </c>
    </row>
    <row r="260" spans="1:7" ht="18" customHeight="1" x14ac:dyDescent="0.25">
      <c r="A260" s="343">
        <f>2014</f>
        <v>2014</v>
      </c>
      <c r="B260" s="344" t="s">
        <v>28</v>
      </c>
      <c r="C260" s="345">
        <f t="shared" si="24"/>
        <v>217179.71094114086</v>
      </c>
      <c r="D260" s="346">
        <v>0.55400000000000005</v>
      </c>
      <c r="E260" s="347">
        <f t="shared" si="31"/>
        <v>1.1705971280000282</v>
      </c>
      <c r="F260" s="348">
        <f t="shared" si="26"/>
        <v>6.1739604709873275</v>
      </c>
      <c r="G260" s="349">
        <f t="shared" si="28"/>
        <v>1.9395891349291632</v>
      </c>
    </row>
    <row r="261" spans="1:7" ht="18" customHeight="1" x14ac:dyDescent="0.25">
      <c r="A261" s="343">
        <f>2014</f>
        <v>2014</v>
      </c>
      <c r="B261" s="344" t="s">
        <v>29</v>
      </c>
      <c r="C261" s="345">
        <f t="shared" si="24"/>
        <v>218323.59647866784</v>
      </c>
      <c r="D261" s="346">
        <v>0.52669999999999995</v>
      </c>
      <c r="E261" s="347">
        <f t="shared" si="31"/>
        <v>1.7034626630731964</v>
      </c>
      <c r="F261" s="348">
        <f t="shared" si="26"/>
        <v>6.2937603156431265</v>
      </c>
      <c r="G261" s="349">
        <f t="shared" si="28"/>
        <v>1.9294268437431679</v>
      </c>
    </row>
    <row r="262" spans="1:7" ht="18" customHeight="1" x14ac:dyDescent="0.25">
      <c r="A262" s="343">
        <f>2014</f>
        <v>2014</v>
      </c>
      <c r="B262" s="344" t="s">
        <v>30</v>
      </c>
      <c r="C262" s="345">
        <f t="shared" si="24"/>
        <v>219515.86163903782</v>
      </c>
      <c r="D262" s="346">
        <v>0.54610000000000003</v>
      </c>
      <c r="E262" s="347">
        <f t="shared" si="31"/>
        <v>2.2588652726762248</v>
      </c>
      <c r="F262" s="348">
        <f t="shared" si="26"/>
        <v>6.4342314280034563</v>
      </c>
      <c r="G262" s="349">
        <f t="shared" si="28"/>
        <v>1.9189474716007564</v>
      </c>
    </row>
    <row r="263" spans="1:7" ht="18" customHeight="1" x14ac:dyDescent="0.25">
      <c r="A263" s="343">
        <f>2014</f>
        <v>2014</v>
      </c>
      <c r="B263" s="344" t="s">
        <v>31</v>
      </c>
      <c r="C263" s="345">
        <f t="shared" si="24"/>
        <v>220746.68707524787</v>
      </c>
      <c r="D263" s="346">
        <v>0.56069999999999998</v>
      </c>
      <c r="E263" s="347">
        <f t="shared" si="31"/>
        <v>2.8322307302601102</v>
      </c>
      <c r="F263" s="348">
        <f t="shared" si="26"/>
        <v>6.5756105796135778</v>
      </c>
      <c r="G263" s="349">
        <f t="shared" si="28"/>
        <v>1.9082479254825759</v>
      </c>
    </row>
    <row r="264" spans="1:7" ht="18" customHeight="1" x14ac:dyDescent="0.25">
      <c r="A264" s="343">
        <f>2014</f>
        <v>2014</v>
      </c>
      <c r="B264" s="344" t="s">
        <v>32</v>
      </c>
      <c r="C264" s="345">
        <f t="shared" si="24"/>
        <v>221953.50921348823</v>
      </c>
      <c r="D264" s="346">
        <v>0.54669999999999996</v>
      </c>
      <c r="E264" s="347">
        <f t="shared" si="31"/>
        <v>3.3944145356624267</v>
      </c>
      <c r="F264" s="348">
        <f t="shared" si="26"/>
        <v>6.6727915682253336</v>
      </c>
      <c r="G264" s="349">
        <f t="shared" si="28"/>
        <v>1.897872257848916</v>
      </c>
    </row>
    <row r="265" spans="1:7" ht="18" customHeight="1" x14ac:dyDescent="0.25">
      <c r="A265" s="343">
        <f>2014</f>
        <v>2014</v>
      </c>
      <c r="B265" s="344" t="s">
        <v>33</v>
      </c>
      <c r="C265" s="345">
        <f t="shared" si="24"/>
        <v>223298.32552581278</v>
      </c>
      <c r="D265" s="346">
        <v>0.60589999999999999</v>
      </c>
      <c r="E265" s="347">
        <f t="shared" si="31"/>
        <v>4.0208812933339999</v>
      </c>
      <c r="F265" s="348">
        <f t="shared" si="26"/>
        <v>6.8105967611573393</v>
      </c>
      <c r="G265" s="349">
        <f t="shared" si="28"/>
        <v>1.8864423039294076</v>
      </c>
    </row>
    <row r="266" spans="1:7" ht="18" customHeight="1" x14ac:dyDescent="0.25">
      <c r="A266" s="343">
        <f>2014</f>
        <v>2014</v>
      </c>
      <c r="B266" s="344" t="s">
        <v>34</v>
      </c>
      <c r="C266" s="345">
        <f t="shared" si="24"/>
        <v>224549.91264038498</v>
      </c>
      <c r="D266" s="346">
        <v>0.5605</v>
      </c>
      <c r="E266" s="347">
        <f t="shared" si="31"/>
        <v>4.6039183329831701</v>
      </c>
      <c r="F266" s="348">
        <f t="shared" si="26"/>
        <v>6.8931898354779531</v>
      </c>
      <c r="G266" s="349">
        <f t="shared" si="28"/>
        <v>1.8759277290083158</v>
      </c>
    </row>
    <row r="267" spans="1:7" ht="18" customHeight="1" x14ac:dyDescent="0.25">
      <c r="A267" s="343">
        <f>2014</f>
        <v>2014</v>
      </c>
      <c r="B267" s="344" t="s">
        <v>36</v>
      </c>
      <c r="C267" s="345">
        <f t="shared" si="24"/>
        <v>225869.5924769725</v>
      </c>
      <c r="D267" s="346">
        <v>0.5877</v>
      </c>
      <c r="E267" s="347">
        <f t="shared" si="31"/>
        <v>5.2186755610260871</v>
      </c>
      <c r="F267" s="348">
        <f t="shared" si="26"/>
        <v>6.9780595476982787</v>
      </c>
      <c r="G267" s="349">
        <f t="shared" si="28"/>
        <v>1.8649673160916453</v>
      </c>
    </row>
    <row r="268" spans="1:7" ht="18" customHeight="1" x14ac:dyDescent="0.25">
      <c r="A268" s="343">
        <f>2014</f>
        <v>2014</v>
      </c>
      <c r="B268" s="344" t="s">
        <v>35</v>
      </c>
      <c r="C268" s="345">
        <f t="shared" ref="C268:C331" si="32">+C267*(1+D268/100)</f>
        <v>227234.52242431085</v>
      </c>
      <c r="D268" s="346">
        <v>0.60429999999999995</v>
      </c>
      <c r="E268" s="347">
        <f t="shared" si="31"/>
        <v>5.8545120174413823</v>
      </c>
      <c r="F268" s="348">
        <f t="shared" si="26"/>
        <v>6.9906086055571137</v>
      </c>
      <c r="G268" s="349">
        <f t="shared" si="28"/>
        <v>1.8537650141113704</v>
      </c>
    </row>
    <row r="269" spans="1:7" ht="18" customHeight="1" x14ac:dyDescent="0.25">
      <c r="A269" s="343">
        <f>2014</f>
        <v>2014</v>
      </c>
      <c r="B269" s="344" t="s">
        <v>25</v>
      </c>
      <c r="C269" s="345">
        <f t="shared" si="32"/>
        <v>228480.9037798082</v>
      </c>
      <c r="D269" s="346">
        <v>0.54849999999999999</v>
      </c>
      <c r="E269" s="347">
        <f t="shared" si="31"/>
        <v>6.4351240158570411</v>
      </c>
      <c r="F269" s="348">
        <f t="shared" si="26"/>
        <v>7.0200914574481743</v>
      </c>
      <c r="G269" s="349">
        <f t="shared" si="28"/>
        <v>1.8436525797116519</v>
      </c>
    </row>
    <row r="270" spans="1:7" ht="18" customHeight="1" x14ac:dyDescent="0.25">
      <c r="A270" s="343">
        <f>2014</f>
        <v>2014</v>
      </c>
      <c r="B270" s="344" t="s">
        <v>26</v>
      </c>
      <c r="C270" s="345">
        <f t="shared" si="32"/>
        <v>229865.04109490625</v>
      </c>
      <c r="D270" s="346">
        <v>0.60580000000000001</v>
      </c>
      <c r="E270" s="347">
        <f t="shared" si="31"/>
        <v>7.0799079971450851</v>
      </c>
      <c r="F270" s="348">
        <f t="shared" si="26"/>
        <v>7.0799079971450851</v>
      </c>
      <c r="G270" s="349">
        <f t="shared" si="28"/>
        <v>1.8325509858394369</v>
      </c>
    </row>
    <row r="271" spans="1:7" ht="18" customHeight="1" x14ac:dyDescent="0.25">
      <c r="A271" s="343">
        <f>2015</f>
        <v>2015</v>
      </c>
      <c r="B271" s="344" t="s">
        <v>27</v>
      </c>
      <c r="C271" s="345">
        <f t="shared" si="32"/>
        <v>231217.10726662647</v>
      </c>
      <c r="D271" s="346">
        <v>0.58819999999999995</v>
      </c>
      <c r="E271" s="347">
        <f t="shared" ref="E271:E282" si="33">100*(C271/$C$270-1)</f>
        <v>0.58819999999999428</v>
      </c>
      <c r="F271" s="348">
        <f t="shared" si="26"/>
        <v>7.0533011731902739</v>
      </c>
      <c r="G271" s="349">
        <f t="shared" si="28"/>
        <v>1.8218349526479616</v>
      </c>
    </row>
    <row r="272" spans="1:7" ht="18" customHeight="1" x14ac:dyDescent="0.2">
      <c r="A272" s="343">
        <f>2015</f>
        <v>2015</v>
      </c>
      <c r="B272" s="344" t="s">
        <v>28</v>
      </c>
      <c r="C272" s="345">
        <f t="shared" si="32"/>
        <v>232412.26849408765</v>
      </c>
      <c r="D272" s="350">
        <v>0.51690000000000003</v>
      </c>
      <c r="E272" s="347">
        <f t="shared" si="33"/>
        <v>1.1081404057999844</v>
      </c>
      <c r="F272" s="348">
        <f t="shared" si="26"/>
        <v>7.0138032171315645</v>
      </c>
      <c r="G272" s="349">
        <f t="shared" si="28"/>
        <v>1.8124663142695028</v>
      </c>
    </row>
    <row r="273" spans="1:7" ht="18" customHeight="1" x14ac:dyDescent="0.25">
      <c r="A273" s="343">
        <f>2015</f>
        <v>2015</v>
      </c>
      <c r="B273" s="344" t="s">
        <v>29</v>
      </c>
      <c r="C273" s="345">
        <f t="shared" si="32"/>
        <v>233876.93061013741</v>
      </c>
      <c r="D273" s="346">
        <v>0.63019999999999998</v>
      </c>
      <c r="E273" s="347">
        <f t="shared" si="33"/>
        <v>1.7453239066373527</v>
      </c>
      <c r="F273" s="348">
        <f t="shared" si="26"/>
        <v>7.1239821908069656</v>
      </c>
      <c r="G273" s="349">
        <f t="shared" si="28"/>
        <v>1.8011156832337634</v>
      </c>
    </row>
    <row r="274" spans="1:7" ht="18" customHeight="1" x14ac:dyDescent="0.25">
      <c r="A274" s="343">
        <f>2015</f>
        <v>2015</v>
      </c>
      <c r="B274" s="344" t="s">
        <v>30</v>
      </c>
      <c r="C274" s="345">
        <f t="shared" si="32"/>
        <v>235298.66847131643</v>
      </c>
      <c r="D274" s="346">
        <v>0.6079</v>
      </c>
      <c r="E274" s="347">
        <f t="shared" si="33"/>
        <v>2.3638337306657986</v>
      </c>
      <c r="F274" s="348">
        <f t="shared" si="26"/>
        <v>7.1898252428934661</v>
      </c>
      <c r="G274" s="349">
        <f t="shared" si="28"/>
        <v>1.7902328576918547</v>
      </c>
    </row>
    <row r="275" spans="1:7" ht="18" customHeight="1" x14ac:dyDescent="0.25">
      <c r="A275" s="343">
        <f>2015</f>
        <v>2015</v>
      </c>
      <c r="B275" s="344" t="s">
        <v>31</v>
      </c>
      <c r="C275" s="345">
        <f t="shared" si="32"/>
        <v>236747.87297043129</v>
      </c>
      <c r="D275" s="346">
        <v>0.6159</v>
      </c>
      <c r="E275" s="347">
        <f t="shared" si="33"/>
        <v>2.9942925826129674</v>
      </c>
      <c r="F275" s="348">
        <f t="shared" ref="F275:F338" si="34">100*(C275/C263-1)</f>
        <v>7.2486641168612254</v>
      </c>
      <c r="G275" s="349">
        <f t="shared" si="28"/>
        <v>1.7792743072336028</v>
      </c>
    </row>
    <row r="276" spans="1:7" ht="18" customHeight="1" x14ac:dyDescent="0.25">
      <c r="A276" s="343">
        <f>2015</f>
        <v>2015</v>
      </c>
      <c r="B276" s="344" t="s">
        <v>32</v>
      </c>
      <c r="C276" s="345">
        <f t="shared" si="32"/>
        <v>238362.96695983558</v>
      </c>
      <c r="D276" s="346">
        <v>0.68220000000000003</v>
      </c>
      <c r="E276" s="347">
        <f t="shared" si="33"/>
        <v>3.6969196466115628</v>
      </c>
      <c r="F276" s="348">
        <f t="shared" si="34"/>
        <v>7.3931959014731152</v>
      </c>
      <c r="G276" s="349">
        <f t="shared" si="28"/>
        <v>1.7672183436929294</v>
      </c>
    </row>
    <row r="277" spans="1:7" ht="18" customHeight="1" x14ac:dyDescent="0.25">
      <c r="A277" s="343">
        <f>2015</f>
        <v>2015</v>
      </c>
      <c r="B277" s="344" t="s">
        <v>33</v>
      </c>
      <c r="C277" s="345">
        <f t="shared" si="32"/>
        <v>240107.06878908072</v>
      </c>
      <c r="D277" s="346">
        <v>0.73170000000000002</v>
      </c>
      <c r="E277" s="347">
        <f t="shared" si="33"/>
        <v>4.455670007665824</v>
      </c>
      <c r="F277" s="348">
        <f t="shared" si="34"/>
        <v>7.5274828970111951</v>
      </c>
      <c r="G277" s="349">
        <f t="shared" si="28"/>
        <v>1.7543815340085884</v>
      </c>
    </row>
    <row r="278" spans="1:7" ht="18" customHeight="1" x14ac:dyDescent="0.25">
      <c r="A278" s="343">
        <f>2015</f>
        <v>2015</v>
      </c>
      <c r="B278" s="344" t="s">
        <v>34</v>
      </c>
      <c r="C278" s="345">
        <f t="shared" si="32"/>
        <v>241758.04499407447</v>
      </c>
      <c r="D278" s="346">
        <v>0.68759999999999999</v>
      </c>
      <c r="E278" s="347">
        <f t="shared" si="33"/>
        <v>5.1739071946385495</v>
      </c>
      <c r="F278" s="348">
        <f t="shared" si="34"/>
        <v>7.6633885764401111</v>
      </c>
      <c r="G278" s="349">
        <f t="shared" si="28"/>
        <v>1.7424007862026587</v>
      </c>
    </row>
    <row r="279" spans="1:7" ht="18" customHeight="1" x14ac:dyDescent="0.25">
      <c r="A279" s="343">
        <f>2015</f>
        <v>2015</v>
      </c>
      <c r="B279" s="344" t="s">
        <v>36</v>
      </c>
      <c r="C279" s="345">
        <f t="shared" si="32"/>
        <v>243433.42824588344</v>
      </c>
      <c r="D279" s="346">
        <v>0.69299999999999995</v>
      </c>
      <c r="E279" s="347">
        <f t="shared" si="33"/>
        <v>5.9027623714974053</v>
      </c>
      <c r="F279" s="348">
        <f t="shared" si="34"/>
        <v>7.7760957445839329</v>
      </c>
      <c r="G279" s="349">
        <f t="shared" si="28"/>
        <v>1.7304090514759303</v>
      </c>
    </row>
    <row r="280" spans="1:7" ht="18" customHeight="1" x14ac:dyDescent="0.25">
      <c r="A280" s="343">
        <f>2015</f>
        <v>2015</v>
      </c>
      <c r="B280" s="344" t="s">
        <v>35</v>
      </c>
      <c r="C280" s="345">
        <f t="shared" si="32"/>
        <v>245088.53212452721</v>
      </c>
      <c r="D280" s="346">
        <v>0.67989999999999995</v>
      </c>
      <c r="E280" s="347">
        <f t="shared" si="33"/>
        <v>6.6227952528612244</v>
      </c>
      <c r="F280" s="348">
        <f t="shared" si="34"/>
        <v>7.8570850545666149</v>
      </c>
      <c r="G280" s="349">
        <f t="shared" si="28"/>
        <v>1.7187234507343871</v>
      </c>
    </row>
    <row r="281" spans="1:7" ht="18" customHeight="1" x14ac:dyDescent="0.25">
      <c r="A281" s="343">
        <f>2015</f>
        <v>2015</v>
      </c>
      <c r="B281" s="344" t="s">
        <v>25</v>
      </c>
      <c r="C281" s="345">
        <f t="shared" si="32"/>
        <v>246633.32514250808</v>
      </c>
      <c r="D281" s="346">
        <v>0.63029999999999997</v>
      </c>
      <c r="E281" s="347">
        <f t="shared" si="33"/>
        <v>7.2948387313400032</v>
      </c>
      <c r="F281" s="348">
        <f t="shared" si="34"/>
        <v>7.9448308643744525</v>
      </c>
      <c r="G281" s="349">
        <f t="shared" si="28"/>
        <v>1.7079581902611711</v>
      </c>
    </row>
    <row r="282" spans="1:7" ht="18" customHeight="1" x14ac:dyDescent="0.25">
      <c r="A282" s="343">
        <f>2015</f>
        <v>2015</v>
      </c>
      <c r="B282" s="344" t="s">
        <v>26</v>
      </c>
      <c r="C282" s="345">
        <f t="shared" si="32"/>
        <v>248424.12971636781</v>
      </c>
      <c r="D282" s="346">
        <v>0.72609999999999997</v>
      </c>
      <c r="E282" s="347">
        <f t="shared" si="33"/>
        <v>8.0739065553682607</v>
      </c>
      <c r="F282" s="348">
        <f t="shared" si="34"/>
        <v>8.0739065553682607</v>
      </c>
      <c r="G282" s="349">
        <f t="shared" si="28"/>
        <v>1.695646103900748</v>
      </c>
    </row>
    <row r="283" spans="1:7" ht="18" customHeight="1" x14ac:dyDescent="0.25">
      <c r="A283" s="343">
        <f>2016</f>
        <v>2016</v>
      </c>
      <c r="B283" s="344" t="s">
        <v>27</v>
      </c>
      <c r="C283" s="345">
        <f t="shared" si="32"/>
        <v>249995.90918508326</v>
      </c>
      <c r="D283" s="346">
        <v>0.63270000000000004</v>
      </c>
      <c r="E283" s="347">
        <f t="shared" ref="E283:E294" si="35">100*(C283/$C$282-1)</f>
        <v>0.63269999999999715</v>
      </c>
      <c r="F283" s="348">
        <f t="shared" si="34"/>
        <v>8.1217182155999055</v>
      </c>
      <c r="G283" s="349">
        <f t="shared" si="28"/>
        <v>1.6849852025243763</v>
      </c>
    </row>
    <row r="284" spans="1:7" ht="18" customHeight="1" x14ac:dyDescent="0.25">
      <c r="A284" s="343">
        <f>2016</f>
        <v>2016</v>
      </c>
      <c r="B284" s="344" t="s">
        <v>28</v>
      </c>
      <c r="C284" s="345">
        <f t="shared" si="32"/>
        <v>251486.38479564473</v>
      </c>
      <c r="D284" s="346">
        <v>0.59619999999999995</v>
      </c>
      <c r="E284" s="347">
        <f t="shared" si="35"/>
        <v>1.2326721573999944</v>
      </c>
      <c r="F284" s="348">
        <f t="shared" si="34"/>
        <v>8.2070178244666678</v>
      </c>
      <c r="G284" s="349">
        <f t="shared" si="28"/>
        <v>1.6749988593250802</v>
      </c>
    </row>
    <row r="285" spans="1:7" ht="18" customHeight="1" x14ac:dyDescent="0.25">
      <c r="A285" s="343">
        <f>2016</f>
        <v>2016</v>
      </c>
      <c r="B285" s="344" t="s">
        <v>29</v>
      </c>
      <c r="C285" s="345">
        <f t="shared" si="32"/>
        <v>253291.80555209267</v>
      </c>
      <c r="D285" s="346">
        <v>0.71789999999999998</v>
      </c>
      <c r="E285" s="347">
        <f t="shared" si="35"/>
        <v>1.9594215108179824</v>
      </c>
      <c r="F285" s="348">
        <f t="shared" si="34"/>
        <v>8.3013210799824488</v>
      </c>
      <c r="G285" s="349">
        <f t="shared" si="28"/>
        <v>1.6630597533557392</v>
      </c>
    </row>
    <row r="286" spans="1:7" ht="18" customHeight="1" x14ac:dyDescent="0.25">
      <c r="A286" s="343">
        <f>2016</f>
        <v>2016</v>
      </c>
      <c r="B286" s="344" t="s">
        <v>30</v>
      </c>
      <c r="C286" s="345">
        <f t="shared" si="32"/>
        <v>254890.33013693191</v>
      </c>
      <c r="D286" s="346">
        <v>0.63109999999999999</v>
      </c>
      <c r="E286" s="347">
        <f t="shared" si="35"/>
        <v>2.6028874199727436</v>
      </c>
      <c r="F286" s="348">
        <f t="shared" si="34"/>
        <v>8.3262951689859541</v>
      </c>
      <c r="G286" s="349">
        <f t="shared" si="28"/>
        <v>1.6526300053917122</v>
      </c>
    </row>
    <row r="287" spans="1:7" ht="18" customHeight="1" x14ac:dyDescent="0.25">
      <c r="A287" s="343">
        <f>2016</f>
        <v>2016</v>
      </c>
      <c r="B287" s="344" t="s">
        <v>31</v>
      </c>
      <c r="C287" s="345">
        <f t="shared" si="32"/>
        <v>256557.56778635757</v>
      </c>
      <c r="D287" s="346">
        <v>0.65410000000000001</v>
      </c>
      <c r="E287" s="347">
        <f t="shared" si="35"/>
        <v>3.2740129065867762</v>
      </c>
      <c r="F287" s="348">
        <f t="shared" si="34"/>
        <v>8.3674225104444453</v>
      </c>
      <c r="G287" s="349">
        <f t="shared" si="28"/>
        <v>1.6418904002834582</v>
      </c>
    </row>
    <row r="288" spans="1:7" ht="18" customHeight="1" x14ac:dyDescent="0.25">
      <c r="A288" s="343">
        <f>2016</f>
        <v>2016</v>
      </c>
      <c r="B288" s="344" t="s">
        <v>32</v>
      </c>
      <c r="C288" s="345">
        <f t="shared" si="32"/>
        <v>258367.06831195473</v>
      </c>
      <c r="D288" s="346">
        <v>0.70530000000000004</v>
      </c>
      <c r="E288" s="347">
        <f t="shared" si="35"/>
        <v>4.0024045196169311</v>
      </c>
      <c r="F288" s="348">
        <f t="shared" si="34"/>
        <v>8.3922857679019636</v>
      </c>
      <c r="G288" s="349">
        <f t="shared" si="28"/>
        <v>1.6303912507916249</v>
      </c>
    </row>
    <row r="289" spans="1:7" ht="18" customHeight="1" x14ac:dyDescent="0.25">
      <c r="A289" s="343">
        <f>2016</f>
        <v>2016</v>
      </c>
      <c r="B289" s="344" t="s">
        <v>33</v>
      </c>
      <c r="C289" s="345">
        <f t="shared" si="32"/>
        <v>260079.78360779467</v>
      </c>
      <c r="D289" s="346">
        <v>0.66290000000000004</v>
      </c>
      <c r="E289" s="347">
        <f t="shared" si="35"/>
        <v>4.6918364591774564</v>
      </c>
      <c r="F289" s="348">
        <f t="shared" si="34"/>
        <v>8.3182535688937733</v>
      </c>
      <c r="G289" s="349">
        <f t="shared" ref="G289:G352" si="36">+$C$394/C289</f>
        <v>1.6196545607086872</v>
      </c>
    </row>
    <row r="290" spans="1:7" ht="18" customHeight="1" x14ac:dyDescent="0.25">
      <c r="A290" s="343">
        <f>2016</f>
        <v>2016</v>
      </c>
      <c r="B290" s="344" t="s">
        <v>34</v>
      </c>
      <c r="C290" s="345">
        <f t="shared" si="32"/>
        <v>262045.46661230238</v>
      </c>
      <c r="D290" s="346">
        <v>0.75580000000000003</v>
      </c>
      <c r="E290" s="347">
        <f t="shared" si="35"/>
        <v>5.4830973591359244</v>
      </c>
      <c r="F290" s="348">
        <f t="shared" si="34"/>
        <v>8.3916221355633258</v>
      </c>
      <c r="G290" s="349">
        <f t="shared" si="36"/>
        <v>1.6075050376342477</v>
      </c>
    </row>
    <row r="291" spans="1:7" ht="18" customHeight="1" x14ac:dyDescent="0.25">
      <c r="A291" s="343">
        <f>2016</f>
        <v>2016</v>
      </c>
      <c r="B291" s="344" t="s">
        <v>36</v>
      </c>
      <c r="C291" s="345">
        <f t="shared" si="32"/>
        <v>263770.51191901119</v>
      </c>
      <c r="D291" s="346">
        <v>0.6583</v>
      </c>
      <c r="E291" s="347">
        <f t="shared" si="35"/>
        <v>6.1774925890511367</v>
      </c>
      <c r="F291" s="348">
        <f t="shared" si="34"/>
        <v>8.3542690992241209</v>
      </c>
      <c r="G291" s="349">
        <f t="shared" si="36"/>
        <v>1.5969920390412389</v>
      </c>
    </row>
    <row r="292" spans="1:7" ht="18" customHeight="1" x14ac:dyDescent="0.25">
      <c r="A292" s="343">
        <f>2016</f>
        <v>2016</v>
      </c>
      <c r="B292" s="344" t="s">
        <v>35</v>
      </c>
      <c r="C292" s="345">
        <f t="shared" si="32"/>
        <v>265513.77123228397</v>
      </c>
      <c r="D292" s="346">
        <v>0.66090000000000004</v>
      </c>
      <c r="E292" s="347">
        <f t="shared" si="35"/>
        <v>6.879219637572187</v>
      </c>
      <c r="F292" s="348">
        <f t="shared" si="34"/>
        <v>8.3338208159730911</v>
      </c>
      <c r="G292" s="349">
        <f t="shared" si="36"/>
        <v>1.586506815497615</v>
      </c>
    </row>
    <row r="293" spans="1:7" ht="18" customHeight="1" x14ac:dyDescent="0.25">
      <c r="A293" s="343">
        <f>2016</f>
        <v>2016</v>
      </c>
      <c r="B293" s="344" t="s">
        <v>25</v>
      </c>
      <c r="C293" s="345">
        <f t="shared" si="32"/>
        <v>267222.35235016368</v>
      </c>
      <c r="D293" s="346">
        <v>0.64349999999999996</v>
      </c>
      <c r="E293" s="347">
        <f t="shared" si="35"/>
        <v>7.5669874159399519</v>
      </c>
      <c r="F293" s="348">
        <f t="shared" si="34"/>
        <v>8.3480313115670732</v>
      </c>
      <c r="G293" s="349">
        <f t="shared" si="36"/>
        <v>1.5763629201067284</v>
      </c>
    </row>
    <row r="294" spans="1:7" ht="18" customHeight="1" x14ac:dyDescent="0.25">
      <c r="A294" s="343">
        <f>2016</f>
        <v>2016</v>
      </c>
      <c r="B294" s="344" t="s">
        <v>26</v>
      </c>
      <c r="C294" s="345">
        <f t="shared" si="32"/>
        <v>269054.96324258111</v>
      </c>
      <c r="D294" s="346">
        <v>0.68579999999999997</v>
      </c>
      <c r="E294" s="347">
        <f t="shared" si="35"/>
        <v>8.3046818156384603</v>
      </c>
      <c r="F294" s="348">
        <f t="shared" si="34"/>
        <v>8.3046818156384603</v>
      </c>
      <c r="G294" s="349">
        <f t="shared" si="36"/>
        <v>1.5656258579727513</v>
      </c>
    </row>
    <row r="295" spans="1:7" ht="18" customHeight="1" x14ac:dyDescent="0.25">
      <c r="A295" s="343">
        <f>2017</f>
        <v>2017</v>
      </c>
      <c r="B295" s="344" t="s">
        <v>27</v>
      </c>
      <c r="C295" s="345">
        <f t="shared" si="32"/>
        <v>270859.7839360123</v>
      </c>
      <c r="D295" s="346">
        <v>0.67079999999999995</v>
      </c>
      <c r="E295" s="347">
        <f t="shared" ref="E295:E306" si="37">100*(C295/$C$294-1)</f>
        <v>0.67079999999999362</v>
      </c>
      <c r="F295" s="348">
        <f t="shared" si="34"/>
        <v>8.3456864630063077</v>
      </c>
      <c r="G295" s="349">
        <f t="shared" si="36"/>
        <v>1.5551936191753235</v>
      </c>
    </row>
    <row r="296" spans="1:7" ht="18" customHeight="1" x14ac:dyDescent="0.25">
      <c r="A296" s="343">
        <f>2017</f>
        <v>2017</v>
      </c>
      <c r="B296" s="344" t="s">
        <v>28</v>
      </c>
      <c r="C296" s="345">
        <f t="shared" si="32"/>
        <v>272296.42423000891</v>
      </c>
      <c r="D296" s="346">
        <v>0.53039999999999998</v>
      </c>
      <c r="E296" s="347">
        <f t="shared" si="37"/>
        <v>1.2047579231999839</v>
      </c>
      <c r="F296" s="348">
        <f t="shared" si="34"/>
        <v>8.2748175219402818</v>
      </c>
      <c r="G296" s="349">
        <f t="shared" si="36"/>
        <v>1.5469883927402293</v>
      </c>
    </row>
    <row r="297" spans="1:7" ht="18" customHeight="1" x14ac:dyDescent="0.25">
      <c r="A297" s="343">
        <f>2017</f>
        <v>2017</v>
      </c>
      <c r="B297" s="344" t="s">
        <v>29</v>
      </c>
      <c r="C297" s="345">
        <f t="shared" si="32"/>
        <v>274073.70299095818</v>
      </c>
      <c r="D297" s="346">
        <v>0.65269999999999995</v>
      </c>
      <c r="E297" s="347">
        <f t="shared" si="37"/>
        <v>1.8653213781647082</v>
      </c>
      <c r="F297" s="348">
        <f t="shared" si="34"/>
        <v>8.204725531316658</v>
      </c>
      <c r="G297" s="349">
        <f t="shared" si="36"/>
        <v>1.5369566765126312</v>
      </c>
    </row>
    <row r="298" spans="1:7" ht="18" customHeight="1" x14ac:dyDescent="0.25">
      <c r="A298" s="343">
        <f>2017</f>
        <v>2017</v>
      </c>
      <c r="B298" s="344" t="s">
        <v>30</v>
      </c>
      <c r="C298" s="345">
        <f t="shared" si="32"/>
        <v>275444.07150591293</v>
      </c>
      <c r="D298" s="346">
        <v>0.5</v>
      </c>
      <c r="E298" s="347">
        <f t="shared" si="37"/>
        <v>2.3746479850555113</v>
      </c>
      <c r="F298" s="348">
        <f t="shared" si="34"/>
        <v>8.0637587773295216</v>
      </c>
      <c r="G298" s="349">
        <f t="shared" si="36"/>
        <v>1.5293101258832156</v>
      </c>
    </row>
    <row r="299" spans="1:7" ht="18" customHeight="1" x14ac:dyDescent="0.25">
      <c r="A299" s="343">
        <f>2017</f>
        <v>2017</v>
      </c>
      <c r="B299" s="344" t="s">
        <v>31</v>
      </c>
      <c r="C299" s="345">
        <f t="shared" si="32"/>
        <v>277032.83291035902</v>
      </c>
      <c r="D299" s="346">
        <v>0.57679999999999998</v>
      </c>
      <c r="E299" s="347">
        <f t="shared" si="37"/>
        <v>2.9651449546333142</v>
      </c>
      <c r="F299" s="348">
        <f t="shared" si="34"/>
        <v>7.9807683322955958</v>
      </c>
      <c r="G299" s="349">
        <f t="shared" si="36"/>
        <v>1.5205396531637669</v>
      </c>
    </row>
    <row r="300" spans="1:7" ht="18" customHeight="1" x14ac:dyDescent="0.25">
      <c r="A300" s="343">
        <f>2017</f>
        <v>2017</v>
      </c>
      <c r="B300" s="344" t="s">
        <v>32</v>
      </c>
      <c r="C300" s="345">
        <f t="shared" si="32"/>
        <v>278567.31777184951</v>
      </c>
      <c r="D300" s="346">
        <v>0.55389999999999995</v>
      </c>
      <c r="E300" s="347">
        <f t="shared" si="37"/>
        <v>3.5354688925370414</v>
      </c>
      <c r="F300" s="348">
        <f t="shared" si="34"/>
        <v>7.8184304183475994</v>
      </c>
      <c r="G300" s="349">
        <f t="shared" si="36"/>
        <v>1.5121637779974391</v>
      </c>
    </row>
    <row r="301" spans="1:7" ht="18" customHeight="1" x14ac:dyDescent="0.25">
      <c r="A301" s="343">
        <f>2017</f>
        <v>2017</v>
      </c>
      <c r="B301" s="344" t="s">
        <v>33</v>
      </c>
      <c r="C301" s="345">
        <f t="shared" si="32"/>
        <v>280134.53750163392</v>
      </c>
      <c r="D301" s="346">
        <v>0.56259999999999999</v>
      </c>
      <c r="E301" s="347">
        <f t="shared" si="37"/>
        <v>4.1179594405264419</v>
      </c>
      <c r="F301" s="348">
        <f t="shared" si="34"/>
        <v>7.7110006843446932</v>
      </c>
      <c r="G301" s="349">
        <f t="shared" si="36"/>
        <v>1.5037039396330636</v>
      </c>
    </row>
    <row r="302" spans="1:7" ht="18" customHeight="1" x14ac:dyDescent="0.25">
      <c r="A302" s="343">
        <f>2017</f>
        <v>2017</v>
      </c>
      <c r="B302" s="344" t="s">
        <v>34</v>
      </c>
      <c r="C302" s="345">
        <f t="shared" si="32"/>
        <v>281678.63907234289</v>
      </c>
      <c r="D302" s="346">
        <v>0.55120000000000002</v>
      </c>
      <c r="E302" s="347">
        <f t="shared" si="37"/>
        <v>4.6918576329626038</v>
      </c>
      <c r="F302" s="348">
        <f t="shared" si="34"/>
        <v>7.4922770898715463</v>
      </c>
      <c r="G302" s="349">
        <f t="shared" si="36"/>
        <v>1.4954609588280037</v>
      </c>
    </row>
    <row r="303" spans="1:7" ht="18" customHeight="1" x14ac:dyDescent="0.25">
      <c r="A303" s="343">
        <f>2017</f>
        <v>2017</v>
      </c>
      <c r="B303" s="344" t="s">
        <v>36</v>
      </c>
      <c r="C303" s="345">
        <f t="shared" si="32"/>
        <v>283087.03226770455</v>
      </c>
      <c r="D303" s="346">
        <v>0.5</v>
      </c>
      <c r="E303" s="347">
        <f t="shared" si="37"/>
        <v>5.2153169211273998</v>
      </c>
      <c r="F303" s="348">
        <f t="shared" si="34"/>
        <v>7.32322965450527</v>
      </c>
      <c r="G303" s="349">
        <f t="shared" si="36"/>
        <v>1.488020854555228</v>
      </c>
    </row>
    <row r="304" spans="1:7" ht="18" customHeight="1" x14ac:dyDescent="0.25">
      <c r="A304" s="343">
        <f>2017</f>
        <v>2017</v>
      </c>
      <c r="B304" s="344" t="s">
        <v>35</v>
      </c>
      <c r="C304" s="345">
        <f t="shared" si="32"/>
        <v>284414.71044904011</v>
      </c>
      <c r="D304" s="346">
        <v>0.46899999999999997</v>
      </c>
      <c r="E304" s="347">
        <f t="shared" si="37"/>
        <v>5.7087767574874881</v>
      </c>
      <c r="F304" s="348">
        <f t="shared" si="34"/>
        <v>7.1186285852648634</v>
      </c>
      <c r="G304" s="349">
        <f t="shared" si="36"/>
        <v>1.4810746146126943</v>
      </c>
    </row>
    <row r="305" spans="1:7" ht="18" customHeight="1" x14ac:dyDescent="0.25">
      <c r="A305" s="343">
        <f>2017</f>
        <v>2017</v>
      </c>
      <c r="B305" s="344" t="s">
        <v>25</v>
      </c>
      <c r="C305" s="345">
        <f t="shared" si="32"/>
        <v>285630.01450678887</v>
      </c>
      <c r="D305" s="346">
        <v>0.42730000000000001</v>
      </c>
      <c r="E305" s="347">
        <f t="shared" si="37"/>
        <v>6.1604703605722344</v>
      </c>
      <c r="F305" s="348">
        <f t="shared" si="34"/>
        <v>6.8885188663050601</v>
      </c>
      <c r="G305" s="349">
        <f t="shared" si="36"/>
        <v>1.4747729099683993</v>
      </c>
    </row>
    <row r="306" spans="1:7" ht="18" customHeight="1" x14ac:dyDescent="0.25">
      <c r="A306" s="343">
        <f>2017</f>
        <v>2017</v>
      </c>
      <c r="B306" s="344" t="s">
        <v>26</v>
      </c>
      <c r="C306" s="345">
        <f t="shared" si="32"/>
        <v>286850.51155877637</v>
      </c>
      <c r="D306" s="346">
        <v>0.42730000000000001</v>
      </c>
      <c r="E306" s="347">
        <f t="shared" si="37"/>
        <v>6.6140940504229695</v>
      </c>
      <c r="F306" s="348">
        <f t="shared" si="34"/>
        <v>6.6140940504229695</v>
      </c>
      <c r="G306" s="349">
        <f t="shared" si="36"/>
        <v>1.4684980179377511</v>
      </c>
    </row>
    <row r="307" spans="1:7" ht="18" customHeight="1" x14ac:dyDescent="0.25">
      <c r="A307" s="343">
        <f>2018</f>
        <v>2018</v>
      </c>
      <c r="B307" s="344" t="s">
        <v>27</v>
      </c>
      <c r="C307" s="345">
        <f t="shared" si="32"/>
        <v>287996.19250194216</v>
      </c>
      <c r="D307" s="346">
        <v>0.39939999999999998</v>
      </c>
      <c r="E307" s="347">
        <f>100*(C307/$C$306-1)</f>
        <v>0.39940000000000531</v>
      </c>
      <c r="F307" s="348">
        <f t="shared" si="34"/>
        <v>6.3266714301072335</v>
      </c>
      <c r="G307" s="349">
        <f t="shared" si="36"/>
        <v>1.4626561691979743</v>
      </c>
    </row>
    <row r="308" spans="1:7" ht="18" customHeight="1" x14ac:dyDescent="0.25">
      <c r="A308" s="343">
        <f>2018</f>
        <v>2018</v>
      </c>
      <c r="B308" s="344" t="s">
        <v>28</v>
      </c>
      <c r="C308" s="345">
        <f t="shared" si="32"/>
        <v>289146.44929479493</v>
      </c>
      <c r="D308" s="346">
        <v>0.39939999999999998</v>
      </c>
      <c r="E308" s="347">
        <f t="shared" ref="E308:E313" si="38">100*(C308/$C$307-1)</f>
        <v>0.39940000000000531</v>
      </c>
      <c r="F308" s="348">
        <f t="shared" si="34"/>
        <v>6.1881183759331382</v>
      </c>
      <c r="G308" s="349">
        <f t="shared" si="36"/>
        <v>1.4568375599834005</v>
      </c>
    </row>
    <row r="309" spans="1:7" ht="18" customHeight="1" x14ac:dyDescent="0.25">
      <c r="A309" s="343">
        <f>2018</f>
        <v>2018</v>
      </c>
      <c r="B309" s="344" t="s">
        <v>29</v>
      </c>
      <c r="C309" s="345">
        <f t="shared" si="32"/>
        <v>290261.10885682632</v>
      </c>
      <c r="D309" s="346">
        <v>0.38550000000000001</v>
      </c>
      <c r="E309" s="347">
        <f t="shared" si="38"/>
        <v>0.78643968699998457</v>
      </c>
      <c r="F309" s="348">
        <f t="shared" si="34"/>
        <v>5.9062236505054821</v>
      </c>
      <c r="G309" s="349">
        <f t="shared" si="36"/>
        <v>1.4512430181484386</v>
      </c>
    </row>
    <row r="310" spans="1:7" ht="18" customHeight="1" x14ac:dyDescent="0.25">
      <c r="A310" s="343">
        <f>2018</f>
        <v>2018</v>
      </c>
      <c r="B310" s="344" t="s">
        <v>30</v>
      </c>
      <c r="C310" s="345">
        <f t="shared" si="32"/>
        <v>291339.42887622939</v>
      </c>
      <c r="D310" s="346">
        <v>0.3715</v>
      </c>
      <c r="E310" s="347">
        <f t="shared" si="38"/>
        <v>1.1608613104371779</v>
      </c>
      <c r="F310" s="348">
        <f t="shared" si="34"/>
        <v>5.770811215290661</v>
      </c>
      <c r="G310" s="349">
        <f t="shared" si="36"/>
        <v>1.4458716051353608</v>
      </c>
    </row>
    <row r="311" spans="1:7" ht="18" customHeight="1" x14ac:dyDescent="0.25">
      <c r="A311" s="343">
        <f>2018</f>
        <v>2018</v>
      </c>
      <c r="B311" s="344" t="s">
        <v>31</v>
      </c>
      <c r="C311" s="345">
        <f t="shared" si="32"/>
        <v>292421.75485450454</v>
      </c>
      <c r="D311" s="346">
        <v>0.3715</v>
      </c>
      <c r="E311" s="347">
        <f t="shared" si="38"/>
        <v>1.5366739102054439</v>
      </c>
      <c r="F311" s="348">
        <f t="shared" si="34"/>
        <v>5.5549090634773313</v>
      </c>
      <c r="G311" s="349">
        <f t="shared" si="36"/>
        <v>1.4405200730639287</v>
      </c>
    </row>
    <row r="312" spans="1:7" ht="18" customHeight="1" x14ac:dyDescent="0.25">
      <c r="A312" s="343">
        <f>2018</f>
        <v>2018</v>
      </c>
      <c r="B312" s="344" t="s">
        <v>32</v>
      </c>
      <c r="C312" s="345">
        <f t="shared" si="32"/>
        <v>293508.10167378897</v>
      </c>
      <c r="D312" s="346">
        <v>0.3715</v>
      </c>
      <c r="E312" s="347">
        <f t="shared" si="38"/>
        <v>1.9138826537818288</v>
      </c>
      <c r="F312" s="348">
        <f t="shared" si="34"/>
        <v>5.3634374704990329</v>
      </c>
      <c r="G312" s="349">
        <f t="shared" si="36"/>
        <v>1.4351883483498094</v>
      </c>
    </row>
    <row r="313" spans="1:7" ht="18" customHeight="1" x14ac:dyDescent="0.25">
      <c r="A313" s="343">
        <f>2018</f>
        <v>2018</v>
      </c>
      <c r="B313" s="344" t="s">
        <v>33</v>
      </c>
      <c r="C313" s="345">
        <f t="shared" si="32"/>
        <v>294598.48427150707</v>
      </c>
      <c r="D313" s="346">
        <v>0.3715</v>
      </c>
      <c r="E313" s="347">
        <f t="shared" si="38"/>
        <v>2.2924927278406226</v>
      </c>
      <c r="F313" s="348">
        <f t="shared" si="34"/>
        <v>5.1632143965071764</v>
      </c>
      <c r="G313" s="349">
        <f t="shared" si="36"/>
        <v>1.4298763576810245</v>
      </c>
    </row>
    <row r="314" spans="1:7" ht="18" customHeight="1" x14ac:dyDescent="0.25">
      <c r="A314" s="343">
        <f>2018</f>
        <v>2018</v>
      </c>
      <c r="B314" s="344" t="s">
        <v>34</v>
      </c>
      <c r="C314" s="345">
        <f t="shared" si="32"/>
        <v>295692.91764057567</v>
      </c>
      <c r="D314" s="346">
        <v>0.3715</v>
      </c>
      <c r="E314" s="347">
        <f>100*(C314/$C$307-1)</f>
        <v>2.6725093383245468</v>
      </c>
      <c r="F314" s="348">
        <f t="shared" si="34"/>
        <v>4.9752720385139115</v>
      </c>
      <c r="G314" s="349">
        <f t="shared" si="36"/>
        <v>1.4245840280169417</v>
      </c>
    </row>
    <row r="315" spans="1:7" ht="18" customHeight="1" x14ac:dyDescent="0.25">
      <c r="A315" s="343">
        <f>2018</f>
        <v>2018</v>
      </c>
      <c r="B315" s="344" t="s">
        <v>36</v>
      </c>
      <c r="C315" s="345">
        <f t="shared" si="32"/>
        <v>296791.41682961036</v>
      </c>
      <c r="D315" s="346">
        <v>0.3715</v>
      </c>
      <c r="E315" s="347">
        <f>100*(C315/$C$307-1)</f>
        <v>3.0539377105163856</v>
      </c>
      <c r="F315" s="348">
        <f t="shared" si="34"/>
        <v>4.8410499245144178</v>
      </c>
      <c r="G315" s="349">
        <f t="shared" si="36"/>
        <v>1.4193112865872703</v>
      </c>
    </row>
    <row r="316" spans="1:7" ht="18" customHeight="1" x14ac:dyDescent="0.25">
      <c r="A316" s="343">
        <f>2018</f>
        <v>2018</v>
      </c>
      <c r="B316" s="344" t="s">
        <v>35</v>
      </c>
      <c r="C316" s="345">
        <f t="shared" si="32"/>
        <v>297893.99694313231</v>
      </c>
      <c r="D316" s="346">
        <v>0.3715</v>
      </c>
      <c r="E316" s="347">
        <f>100*(C316/$C$307-1)</f>
        <v>3.4367830891109508</v>
      </c>
      <c r="F316" s="348">
        <f t="shared" si="34"/>
        <v>4.739307074803123</v>
      </c>
      <c r="G316" s="349">
        <f t="shared" si="36"/>
        <v>1.4140580608910602</v>
      </c>
    </row>
    <row r="317" spans="1:7" ht="18" customHeight="1" x14ac:dyDescent="0.25">
      <c r="A317" s="343">
        <f>2018</f>
        <v>2018</v>
      </c>
      <c r="B317" s="344" t="s">
        <v>25</v>
      </c>
      <c r="C317" s="345">
        <f t="shared" si="32"/>
        <v>299000.673141776</v>
      </c>
      <c r="D317" s="346">
        <v>0.3715</v>
      </c>
      <c r="E317" s="347">
        <f>100*(C317/$C$307-1)</f>
        <v>3.8210507382869796</v>
      </c>
      <c r="F317" s="348">
        <f t="shared" si="34"/>
        <v>4.6811112123755327</v>
      </c>
      <c r="G317" s="349">
        <f t="shared" si="36"/>
        <v>1.4088242786957059</v>
      </c>
    </row>
    <row r="318" spans="1:7" ht="18" customHeight="1" x14ac:dyDescent="0.25">
      <c r="A318" s="343">
        <f>2018</f>
        <v>2018</v>
      </c>
      <c r="B318" s="344" t="s">
        <v>26</v>
      </c>
      <c r="C318" s="345">
        <f t="shared" si="32"/>
        <v>300111.4606424977</v>
      </c>
      <c r="D318" s="346">
        <v>0.3715</v>
      </c>
      <c r="E318" s="347">
        <f>100*(C318/$C$307-1)</f>
        <v>4.2067459417796993</v>
      </c>
      <c r="F318" s="348">
        <f t="shared" si="34"/>
        <v>4.6229476850711881</v>
      </c>
      <c r="G318" s="349">
        <f t="shared" si="36"/>
        <v>1.4036098680359523</v>
      </c>
    </row>
    <row r="319" spans="1:7" ht="18" customHeight="1" x14ac:dyDescent="0.25">
      <c r="A319" s="343">
        <f>2019</f>
        <v>2019</v>
      </c>
      <c r="B319" s="344" t="s">
        <v>27</v>
      </c>
      <c r="C319" s="345">
        <f t="shared" si="32"/>
        <v>301226.37471878453</v>
      </c>
      <c r="D319" s="346">
        <v>0.3715</v>
      </c>
      <c r="E319" s="347">
        <f t="shared" ref="E319:E330" si="39">100*(C319/$C$318-1)</f>
        <v>0.37149999999999128</v>
      </c>
      <c r="F319" s="348">
        <f t="shared" si="34"/>
        <v>4.5938740029534131</v>
      </c>
      <c r="G319" s="349">
        <f t="shared" si="36"/>
        <v>1.3984147572129066</v>
      </c>
    </row>
    <row r="320" spans="1:7" ht="18" customHeight="1" x14ac:dyDescent="0.25">
      <c r="A320" s="351">
        <f>2019</f>
        <v>2019</v>
      </c>
      <c r="B320" s="352" t="s">
        <v>28</v>
      </c>
      <c r="C320" s="353">
        <f t="shared" si="32"/>
        <v>302345.43070086476</v>
      </c>
      <c r="D320" s="354">
        <v>0.3715</v>
      </c>
      <c r="E320" s="355">
        <f t="shared" si="39"/>
        <v>0.74438012249997687</v>
      </c>
      <c r="F320" s="356">
        <f t="shared" si="34"/>
        <v>4.5648084001242539</v>
      </c>
      <c r="G320" s="349">
        <f t="shared" si="36"/>
        <v>1.3932388747930506</v>
      </c>
    </row>
    <row r="321" spans="1:7" ht="18" customHeight="1" x14ac:dyDescent="0.25">
      <c r="A321" s="351">
        <f>2019</f>
        <v>2019</v>
      </c>
      <c r="B321" s="352" t="s">
        <v>29</v>
      </c>
      <c r="C321" s="353">
        <f t="shared" si="32"/>
        <v>303468.64397591847</v>
      </c>
      <c r="D321" s="354">
        <v>0.3715</v>
      </c>
      <c r="E321" s="355">
        <f t="shared" si="39"/>
        <v>1.1186454946550572</v>
      </c>
      <c r="F321" s="356">
        <f t="shared" si="34"/>
        <v>4.5502255438591543</v>
      </c>
      <c r="G321" s="349">
        <f t="shared" si="36"/>
        <v>1.3880821496072597</v>
      </c>
    </row>
    <row r="322" spans="1:7" ht="18" customHeight="1" x14ac:dyDescent="0.25">
      <c r="A322" s="351">
        <f>2019</f>
        <v>2019</v>
      </c>
      <c r="B322" s="352" t="s">
        <v>30</v>
      </c>
      <c r="C322" s="353">
        <f t="shared" si="32"/>
        <v>304596.029988289</v>
      </c>
      <c r="D322" s="354">
        <v>0.3715</v>
      </c>
      <c r="E322" s="355">
        <f t="shared" si="39"/>
        <v>1.4943012626676966</v>
      </c>
      <c r="F322" s="356">
        <f t="shared" si="34"/>
        <v>4.5502255438591765</v>
      </c>
      <c r="G322" s="349">
        <f t="shared" si="36"/>
        <v>1.3829445107498242</v>
      </c>
    </row>
    <row r="323" spans="1:7" ht="18" customHeight="1" x14ac:dyDescent="0.25">
      <c r="A323" s="343">
        <f>2019</f>
        <v>2019</v>
      </c>
      <c r="B323" s="344" t="s">
        <v>31</v>
      </c>
      <c r="C323" s="345">
        <f t="shared" si="32"/>
        <v>305727.60423969547</v>
      </c>
      <c r="D323" s="346">
        <v>0.3715</v>
      </c>
      <c r="E323" s="347">
        <f t="shared" si="39"/>
        <v>1.8713525918584883</v>
      </c>
      <c r="F323" s="348">
        <f t="shared" si="34"/>
        <v>4.5502255438591765</v>
      </c>
      <c r="G323" s="349">
        <f t="shared" si="36"/>
        <v>1.377825887577474</v>
      </c>
    </row>
    <row r="324" spans="1:7" ht="18" customHeight="1" x14ac:dyDescent="0.25">
      <c r="A324" s="343">
        <f>2019</f>
        <v>2019</v>
      </c>
      <c r="B324" s="344" t="s">
        <v>32</v>
      </c>
      <c r="C324" s="345">
        <f t="shared" si="32"/>
        <v>306863.3822894459</v>
      </c>
      <c r="D324" s="346">
        <v>0.3715</v>
      </c>
      <c r="E324" s="347">
        <f t="shared" si="39"/>
        <v>2.2498046667372318</v>
      </c>
      <c r="F324" s="348">
        <f t="shared" si="34"/>
        <v>4.5502255438591765</v>
      </c>
      <c r="G324" s="349">
        <f t="shared" si="36"/>
        <v>1.3727262097084074</v>
      </c>
    </row>
    <row r="325" spans="1:7" ht="18" customHeight="1" x14ac:dyDescent="0.25">
      <c r="A325" s="343">
        <f>2019</f>
        <v>2019</v>
      </c>
      <c r="B325" s="344" t="s">
        <v>33</v>
      </c>
      <c r="C325" s="345">
        <f t="shared" si="32"/>
        <v>308003.37975465116</v>
      </c>
      <c r="D325" s="346">
        <v>0.3715</v>
      </c>
      <c r="E325" s="347">
        <f t="shared" si="39"/>
        <v>2.6296626910741638</v>
      </c>
      <c r="F325" s="348">
        <f t="shared" si="34"/>
        <v>4.5502255438591765</v>
      </c>
      <c r="G325" s="349">
        <f t="shared" si="36"/>
        <v>1.3676454070213233</v>
      </c>
    </row>
    <row r="326" spans="1:7" ht="18" customHeight="1" x14ac:dyDescent="0.25">
      <c r="A326" s="351">
        <f>2019</f>
        <v>2019</v>
      </c>
      <c r="B326" s="352" t="s">
        <v>34</v>
      </c>
      <c r="C326" s="353">
        <f t="shared" si="32"/>
        <v>309061.06336072861</v>
      </c>
      <c r="D326" s="354">
        <v>0.34339999999999998</v>
      </c>
      <c r="E326" s="355">
        <f t="shared" si="39"/>
        <v>2.9820929527553108</v>
      </c>
      <c r="F326" s="356">
        <f t="shared" si="34"/>
        <v>4.5209556680699148</v>
      </c>
      <c r="G326" s="349">
        <f t="shared" si="36"/>
        <v>1.3629649852619339</v>
      </c>
    </row>
    <row r="327" spans="1:7" ht="18" customHeight="1" x14ac:dyDescent="0.25">
      <c r="A327" s="351">
        <f>2019</f>
        <v>2019</v>
      </c>
      <c r="B327" s="352" t="s">
        <v>36</v>
      </c>
      <c r="C327" s="353">
        <f t="shared" si="32"/>
        <v>310122.37905230932</v>
      </c>
      <c r="D327" s="354">
        <v>0.34339999999999998</v>
      </c>
      <c r="E327" s="355">
        <f t="shared" si="39"/>
        <v>3.3357334599550592</v>
      </c>
      <c r="F327" s="356">
        <f t="shared" si="34"/>
        <v>4.491693986673595</v>
      </c>
      <c r="G327" s="349">
        <f t="shared" si="36"/>
        <v>1.3583005810665516</v>
      </c>
    </row>
    <row r="328" spans="1:7" ht="18" customHeight="1" x14ac:dyDescent="0.25">
      <c r="A328" s="351">
        <f>2019</f>
        <v>2019</v>
      </c>
      <c r="B328" s="352" t="s">
        <v>35</v>
      </c>
      <c r="C328" s="353">
        <f t="shared" si="32"/>
        <v>311100.19491346122</v>
      </c>
      <c r="D328" s="354">
        <v>0.31530000000000002</v>
      </c>
      <c r="E328" s="355">
        <f t="shared" si="39"/>
        <v>3.6615510275542773</v>
      </c>
      <c r="F328" s="356">
        <f t="shared" si="34"/>
        <v>4.4331870080785762</v>
      </c>
      <c r="G328" s="349">
        <f t="shared" si="36"/>
        <v>1.354031320313603</v>
      </c>
    </row>
    <row r="329" spans="1:7" ht="18" customHeight="1" x14ac:dyDescent="0.25">
      <c r="A329" s="351">
        <f>2019</f>
        <v>2019</v>
      </c>
      <c r="B329" s="352" t="s">
        <v>25</v>
      </c>
      <c r="C329" s="353">
        <f t="shared" si="32"/>
        <v>311993.36357305781</v>
      </c>
      <c r="D329" s="354">
        <v>0.28710000000000002</v>
      </c>
      <c r="E329" s="355">
        <f t="shared" si="39"/>
        <v>3.9591633405543947</v>
      </c>
      <c r="F329" s="356">
        <f t="shared" si="34"/>
        <v>4.3453716323645475</v>
      </c>
      <c r="G329" s="349">
        <f t="shared" si="36"/>
        <v>1.3501550252361498</v>
      </c>
    </row>
    <row r="330" spans="1:7" ht="18" customHeight="1" x14ac:dyDescent="0.25">
      <c r="A330" s="351">
        <f>2019</f>
        <v>2019</v>
      </c>
      <c r="B330" s="352" t="s">
        <v>26</v>
      </c>
      <c r="C330" s="353">
        <f t="shared" si="32"/>
        <v>312889.0965198761</v>
      </c>
      <c r="D330" s="354">
        <v>0.28710000000000002</v>
      </c>
      <c r="E330" s="355">
        <f t="shared" si="39"/>
        <v>4.2576300985051496</v>
      </c>
      <c r="F330" s="356">
        <f t="shared" si="34"/>
        <v>4.2576300985051496</v>
      </c>
      <c r="G330" s="349">
        <f t="shared" si="36"/>
        <v>1.3462898271424237</v>
      </c>
    </row>
    <row r="331" spans="1:7" ht="18" customHeight="1" x14ac:dyDescent="0.25">
      <c r="A331" s="351">
        <f>2020</f>
        <v>2020</v>
      </c>
      <c r="B331" s="352" t="s">
        <v>27</v>
      </c>
      <c r="C331" s="353">
        <f t="shared" si="32"/>
        <v>313698.85350166954</v>
      </c>
      <c r="D331" s="354">
        <v>0.25879999999999997</v>
      </c>
      <c r="E331" s="355">
        <f t="shared" ref="E331:E342" si="40">100*(C331/$C$330-1)</f>
        <v>0.25880000000000347</v>
      </c>
      <c r="F331" s="356">
        <f t="shared" si="34"/>
        <v>4.140566640132004</v>
      </c>
      <c r="G331" s="349">
        <f t="shared" si="36"/>
        <v>1.3428146228983626</v>
      </c>
    </row>
    <row r="332" spans="1:7" ht="18" customHeight="1" x14ac:dyDescent="0.25">
      <c r="A332" s="351">
        <f>2020</f>
        <v>2020</v>
      </c>
      <c r="B332" s="352" t="s">
        <v>28</v>
      </c>
      <c r="C332" s="353">
        <f t="shared" ref="C332:C391" si="41">+C331*(1+D332/100)</f>
        <v>314510.70613453188</v>
      </c>
      <c r="D332" s="354">
        <v>0.25879999999999997</v>
      </c>
      <c r="E332" s="355">
        <f t="shared" si="40"/>
        <v>0.51826977440001532</v>
      </c>
      <c r="F332" s="356">
        <f t="shared" si="34"/>
        <v>4.0236346239686416</v>
      </c>
      <c r="G332" s="349">
        <f t="shared" si="36"/>
        <v>1.3393483892669398</v>
      </c>
    </row>
    <row r="333" spans="1:7" ht="18" customHeight="1" x14ac:dyDescent="0.25">
      <c r="A333" s="351">
        <f>2020</f>
        <v>2020</v>
      </c>
      <c r="B333" s="352" t="s">
        <v>29</v>
      </c>
      <c r="C333" s="353">
        <f t="shared" si="41"/>
        <v>315279.99932173692</v>
      </c>
      <c r="D333" s="354">
        <v>0.24460000000000001</v>
      </c>
      <c r="E333" s="355">
        <f t="shared" si="40"/>
        <v>0.76413746226817736</v>
      </c>
      <c r="F333" s="356">
        <f t="shared" si="34"/>
        <v>3.892117218791058</v>
      </c>
      <c r="G333" s="349">
        <f t="shared" si="36"/>
        <v>1.336080336763217</v>
      </c>
    </row>
    <row r="334" spans="1:7" ht="18" customHeight="1" x14ac:dyDescent="0.25">
      <c r="A334" s="351">
        <f>2020</f>
        <v>2020</v>
      </c>
      <c r="B334" s="352" t="s">
        <v>30</v>
      </c>
      <c r="C334" s="353">
        <f t="shared" si="41"/>
        <v>315961.63468027051</v>
      </c>
      <c r="D334" s="354">
        <v>0.2162</v>
      </c>
      <c r="E334" s="355">
        <f t="shared" si="40"/>
        <v>0.98198952746160195</v>
      </c>
      <c r="F334" s="356">
        <f t="shared" si="34"/>
        <v>3.7313699369024844</v>
      </c>
      <c r="G334" s="349">
        <f t="shared" si="36"/>
        <v>1.3331979627677133</v>
      </c>
    </row>
    <row r="335" spans="1:7" ht="18" customHeight="1" x14ac:dyDescent="0.25">
      <c r="A335" s="351">
        <f>2020</f>
        <v>2020</v>
      </c>
      <c r="B335" s="352" t="s">
        <v>31</v>
      </c>
      <c r="C335" s="353">
        <f t="shared" si="41"/>
        <v>316644.74373444926</v>
      </c>
      <c r="D335" s="354">
        <v>0.2162</v>
      </c>
      <c r="E335" s="355">
        <f t="shared" si="40"/>
        <v>1.200312588819985</v>
      </c>
      <c r="F335" s="356">
        <f t="shared" si="34"/>
        <v>3.5708713715607354</v>
      </c>
      <c r="G335" s="349">
        <f t="shared" si="36"/>
        <v>1.3303218070209339</v>
      </c>
    </row>
    <row r="336" spans="1:7" ht="18" customHeight="1" x14ac:dyDescent="0.25">
      <c r="A336" s="351">
        <f>2020</f>
        <v>2020</v>
      </c>
      <c r="B336" s="352" t="s">
        <v>32</v>
      </c>
      <c r="C336" s="353">
        <f t="shared" si="41"/>
        <v>317193.48907534109</v>
      </c>
      <c r="D336" s="354">
        <v>0.17330000000000001</v>
      </c>
      <c r="E336" s="355">
        <f t="shared" si="40"/>
        <v>1.3756927305364153</v>
      </c>
      <c r="F336" s="356">
        <f t="shared" si="34"/>
        <v>3.366353687697865</v>
      </c>
      <c r="G336" s="349">
        <f t="shared" si="36"/>
        <v>1.3280203477582688</v>
      </c>
    </row>
    <row r="337" spans="1:7" ht="18" customHeight="1" x14ac:dyDescent="0.25">
      <c r="A337" s="351">
        <f>2020</f>
        <v>2020</v>
      </c>
      <c r="B337" s="352" t="s">
        <v>33</v>
      </c>
      <c r="C337" s="353">
        <f t="shared" si="41"/>
        <v>317606.79219160625</v>
      </c>
      <c r="D337" s="354">
        <v>0.1303</v>
      </c>
      <c r="E337" s="355">
        <f t="shared" si="40"/>
        <v>1.507785258164307</v>
      </c>
      <c r="F337" s="356">
        <f t="shared" si="34"/>
        <v>3.1179568369038568</v>
      </c>
      <c r="G337" s="349">
        <f t="shared" si="36"/>
        <v>1.3262921890359549</v>
      </c>
    </row>
    <row r="338" spans="1:7" ht="18" customHeight="1" x14ac:dyDescent="0.25">
      <c r="A338" s="351">
        <f>2020</f>
        <v>2020</v>
      </c>
      <c r="B338" s="352" t="s">
        <v>34</v>
      </c>
      <c r="C338" s="353">
        <f t="shared" si="41"/>
        <v>318020.63384183194</v>
      </c>
      <c r="D338" s="354">
        <v>0.1303</v>
      </c>
      <c r="E338" s="355">
        <f t="shared" si="40"/>
        <v>1.6400499023556891</v>
      </c>
      <c r="F338" s="356">
        <f t="shared" si="34"/>
        <v>2.8989644906016299</v>
      </c>
      <c r="G338" s="349">
        <f t="shared" si="36"/>
        <v>1.324566279174191</v>
      </c>
    </row>
    <row r="339" spans="1:7" ht="18" customHeight="1" x14ac:dyDescent="0.25">
      <c r="A339" s="351">
        <f>2020</f>
        <v>2020</v>
      </c>
      <c r="B339" s="352" t="s">
        <v>36</v>
      </c>
      <c r="C339" s="353">
        <f t="shared" si="41"/>
        <v>318389.21975645458</v>
      </c>
      <c r="D339" s="354">
        <v>0.1159</v>
      </c>
      <c r="E339" s="355">
        <f t="shared" si="40"/>
        <v>1.7578507201924998</v>
      </c>
      <c r="F339" s="356">
        <f t="shared" ref="F339:F391" si="42">100*(C339/C327-1)</f>
        <v>2.6656704780247065</v>
      </c>
      <c r="G339" s="349">
        <f t="shared" si="36"/>
        <v>1.3230328840615637</v>
      </c>
    </row>
    <row r="340" spans="1:7" ht="18" customHeight="1" x14ac:dyDescent="0.25">
      <c r="A340" s="351">
        <f>2020</f>
        <v>2020</v>
      </c>
      <c r="B340" s="352" t="s">
        <v>35</v>
      </c>
      <c r="C340" s="353">
        <f t="shared" si="41"/>
        <v>318758.23286215228</v>
      </c>
      <c r="D340" s="354">
        <v>0.1159</v>
      </c>
      <c r="E340" s="355">
        <f t="shared" si="40"/>
        <v>1.8757880691772089</v>
      </c>
      <c r="F340" s="356">
        <f t="shared" si="42"/>
        <v>2.4615985698180909</v>
      </c>
      <c r="G340" s="349">
        <f t="shared" si="36"/>
        <v>1.3215012640964761</v>
      </c>
    </row>
    <row r="341" spans="1:7" ht="18" customHeight="1" x14ac:dyDescent="0.25">
      <c r="A341" s="351">
        <f>2020</f>
        <v>2020</v>
      </c>
      <c r="B341" s="352" t="s">
        <v>25</v>
      </c>
      <c r="C341" s="353">
        <f t="shared" si="41"/>
        <v>319127.67365403951</v>
      </c>
      <c r="D341" s="354">
        <v>0.1159</v>
      </c>
      <c r="E341" s="355">
        <f t="shared" si="40"/>
        <v>1.9938621075493712</v>
      </c>
      <c r="F341" s="356">
        <f t="shared" si="42"/>
        <v>2.2866864856601721</v>
      </c>
      <c r="G341" s="349">
        <f t="shared" si="36"/>
        <v>1.3199714172239136</v>
      </c>
    </row>
    <row r="342" spans="1:7" ht="18" customHeight="1" x14ac:dyDescent="0.25">
      <c r="A342" s="351">
        <f>2020</f>
        <v>2020</v>
      </c>
      <c r="B342" s="352" t="s">
        <v>26</v>
      </c>
      <c r="C342" s="353">
        <f t="shared" si="41"/>
        <v>319497.54262780451</v>
      </c>
      <c r="D342" s="354">
        <v>0.1159</v>
      </c>
      <c r="E342" s="355">
        <f t="shared" si="40"/>
        <v>2.1120729937320171</v>
      </c>
      <c r="F342" s="356">
        <f t="shared" si="42"/>
        <v>2.1120729937320171</v>
      </c>
      <c r="G342" s="349">
        <f t="shared" si="36"/>
        <v>1.3184433413912413</v>
      </c>
    </row>
    <row r="343" spans="1:7" ht="18" customHeight="1" x14ac:dyDescent="0.25">
      <c r="A343" s="351">
        <f>2021</f>
        <v>2021</v>
      </c>
      <c r="B343" s="352" t="s">
        <v>27</v>
      </c>
      <c r="C343" s="353">
        <f t="shared" si="41"/>
        <v>319867.84027971013</v>
      </c>
      <c r="D343" s="354">
        <v>0.1159</v>
      </c>
      <c r="E343" s="355">
        <f t="shared" ref="E343:E354" si="43">100*(C343/$C$342-1)</f>
        <v>0.11589999999999101</v>
      </c>
      <c r="F343" s="356">
        <f t="shared" si="42"/>
        <v>1.9665315028025043</v>
      </c>
      <c r="G343" s="349">
        <f t="shared" si="36"/>
        <v>1.3169170345482</v>
      </c>
    </row>
    <row r="344" spans="1:7" ht="18" customHeight="1" x14ac:dyDescent="0.25">
      <c r="A344" s="351">
        <f>2021</f>
        <v>2021</v>
      </c>
      <c r="B344" s="352" t="s">
        <v>28</v>
      </c>
      <c r="C344" s="353">
        <f t="shared" si="41"/>
        <v>320238.56710659427</v>
      </c>
      <c r="D344" s="354">
        <v>0.1159</v>
      </c>
      <c r="E344" s="355">
        <f t="shared" si="43"/>
        <v>0.23193432809998082</v>
      </c>
      <c r="F344" s="356">
        <f t="shared" si="42"/>
        <v>1.8211974538037801</v>
      </c>
      <c r="G344" s="349">
        <f t="shared" si="36"/>
        <v>1.3153924946469042</v>
      </c>
    </row>
    <row r="345" spans="1:7" ht="18" customHeight="1" x14ac:dyDescent="0.25">
      <c r="A345" s="351">
        <f>2021</f>
        <v>2021</v>
      </c>
      <c r="B345" s="352" t="s">
        <v>29</v>
      </c>
      <c r="C345" s="353">
        <f t="shared" si="41"/>
        <v>320609.72360587079</v>
      </c>
      <c r="D345" s="354">
        <v>0.1159</v>
      </c>
      <c r="E345" s="355">
        <f t="shared" si="43"/>
        <v>0.34810313998625553</v>
      </c>
      <c r="F345" s="356">
        <f t="shared" si="42"/>
        <v>1.6904733239024861</v>
      </c>
      <c r="G345" s="349">
        <f t="shared" si="36"/>
        <v>1.3138697196418394</v>
      </c>
    </row>
    <row r="346" spans="1:7" ht="18" customHeight="1" x14ac:dyDescent="0.25">
      <c r="A346" s="351">
        <f>2021</f>
        <v>2021</v>
      </c>
      <c r="B346" s="352" t="s">
        <v>30</v>
      </c>
      <c r="C346" s="353">
        <f t="shared" si="41"/>
        <v>321119.49306640413</v>
      </c>
      <c r="D346" s="354">
        <v>0.159</v>
      </c>
      <c r="E346" s="355">
        <f t="shared" si="43"/>
        <v>0.50765662397882494</v>
      </c>
      <c r="F346" s="356">
        <f t="shared" si="42"/>
        <v>1.6324318588087472</v>
      </c>
      <c r="G346" s="349">
        <f t="shared" si="36"/>
        <v>1.3117839831086966</v>
      </c>
    </row>
    <row r="347" spans="1:7" ht="18" customHeight="1" x14ac:dyDescent="0.25">
      <c r="A347" s="351">
        <f>2021</f>
        <v>2021</v>
      </c>
      <c r="B347" s="352" t="s">
        <v>31</v>
      </c>
      <c r="C347" s="353">
        <f t="shared" si="41"/>
        <v>321630.07306037971</v>
      </c>
      <c r="D347" s="354">
        <v>0.159</v>
      </c>
      <c r="E347" s="355">
        <f t="shared" si="43"/>
        <v>0.66746379801094768</v>
      </c>
      <c r="F347" s="356">
        <f t="shared" si="42"/>
        <v>1.5744235218100977</v>
      </c>
      <c r="G347" s="349">
        <f t="shared" si="36"/>
        <v>1.3097015576320616</v>
      </c>
    </row>
    <row r="348" spans="1:7" ht="18" customHeight="1" x14ac:dyDescent="0.25">
      <c r="A348" s="351">
        <f>2021</f>
        <v>2021</v>
      </c>
      <c r="B348" s="352" t="s">
        <v>32</v>
      </c>
      <c r="C348" s="353">
        <f t="shared" si="41"/>
        <v>322279.44417788862</v>
      </c>
      <c r="D348" s="354">
        <v>0.2019</v>
      </c>
      <c r="E348" s="355">
        <f t="shared" si="43"/>
        <v>0.87071140741914466</v>
      </c>
      <c r="F348" s="356">
        <f t="shared" si="42"/>
        <v>1.6034235498886718</v>
      </c>
      <c r="G348" s="349">
        <f t="shared" si="36"/>
        <v>1.3070625982462025</v>
      </c>
    </row>
    <row r="349" spans="1:7" ht="18" customHeight="1" x14ac:dyDescent="0.25">
      <c r="A349" s="351">
        <f>2021</f>
        <v>2021</v>
      </c>
      <c r="B349" s="352" t="s">
        <v>33</v>
      </c>
      <c r="C349" s="353">
        <f t="shared" si="41"/>
        <v>323067.73969834775</v>
      </c>
      <c r="D349" s="354">
        <v>0.24460000000000001</v>
      </c>
      <c r="E349" s="355">
        <f t="shared" si="43"/>
        <v>1.1174411675216822</v>
      </c>
      <c r="F349" s="356">
        <f t="shared" si="42"/>
        <v>1.7194051389955778</v>
      </c>
      <c r="G349" s="349">
        <f t="shared" si="36"/>
        <v>1.303873324095465</v>
      </c>
    </row>
    <row r="350" spans="1:7" ht="18" customHeight="1" x14ac:dyDescent="0.25">
      <c r="A350" s="351">
        <f>2021</f>
        <v>2021</v>
      </c>
      <c r="B350" s="352" t="s">
        <v>34</v>
      </c>
      <c r="C350" s="353">
        <f t="shared" si="41"/>
        <v>323857.96338964987</v>
      </c>
      <c r="D350" s="354">
        <v>0.24460000000000001</v>
      </c>
      <c r="E350" s="355">
        <f t="shared" si="43"/>
        <v>1.3647744286174435</v>
      </c>
      <c r="F350" s="356">
        <f t="shared" si="42"/>
        <v>1.8355191225488676</v>
      </c>
      <c r="G350" s="349">
        <f t="shared" si="36"/>
        <v>1.3006918318746996</v>
      </c>
    </row>
    <row r="351" spans="1:7" ht="18" customHeight="1" x14ac:dyDescent="0.25">
      <c r="A351" s="351">
        <f>2021</f>
        <v>2021</v>
      </c>
      <c r="B351" s="352" t="s">
        <v>36</v>
      </c>
      <c r="C351" s="353">
        <f t="shared" si="41"/>
        <v>324833.42357537948</v>
      </c>
      <c r="D351" s="354">
        <v>0.30120000000000002</v>
      </c>
      <c r="E351" s="355">
        <f t="shared" si="43"/>
        <v>1.6700851291964192</v>
      </c>
      <c r="F351" s="356">
        <f t="shared" si="42"/>
        <v>2.0240018879578381</v>
      </c>
      <c r="G351" s="349">
        <f t="shared" si="36"/>
        <v>1.2967859127056303</v>
      </c>
    </row>
    <row r="352" spans="1:7" ht="18" customHeight="1" x14ac:dyDescent="0.25">
      <c r="A352" s="351">
        <f>2021</f>
        <v>2021</v>
      </c>
      <c r="B352" s="352" t="s">
        <v>35</v>
      </c>
      <c r="C352" s="353">
        <f t="shared" si="41"/>
        <v>325994.70306466147</v>
      </c>
      <c r="D352" s="354">
        <v>0.35749999999999998</v>
      </c>
      <c r="E352" s="355">
        <f t="shared" si="43"/>
        <v>2.0335556835333168</v>
      </c>
      <c r="F352" s="356">
        <f t="shared" si="42"/>
        <v>2.2702065253444426</v>
      </c>
      <c r="G352" s="349">
        <f t="shared" si="36"/>
        <v>1.2921664177621306</v>
      </c>
    </row>
    <row r="353" spans="1:7" ht="18" customHeight="1" x14ac:dyDescent="0.25">
      <c r="A353" s="351">
        <f>2021</f>
        <v>2021</v>
      </c>
      <c r="B353" s="352" t="s">
        <v>25</v>
      </c>
      <c r="C353" s="353">
        <f t="shared" si="41"/>
        <v>327432.9916945828</v>
      </c>
      <c r="D353" s="354">
        <v>0.44119999999999998</v>
      </c>
      <c r="E353" s="355">
        <f t="shared" si="43"/>
        <v>2.4837277312090622</v>
      </c>
      <c r="F353" s="356">
        <f t="shared" si="42"/>
        <v>2.6025063716495378</v>
      </c>
      <c r="G353" s="349">
        <f t="shared" ref="G353:G394" si="44">+$C$394/C353</f>
        <v>1.2864904220201776</v>
      </c>
    </row>
    <row r="354" spans="1:7" ht="18" customHeight="1" x14ac:dyDescent="0.25">
      <c r="A354" s="351">
        <f>2021</f>
        <v>2021</v>
      </c>
      <c r="B354" s="352" t="s">
        <v>26</v>
      </c>
      <c r="C354" s="353">
        <f t="shared" si="41"/>
        <v>329038.06821986963</v>
      </c>
      <c r="D354" s="354">
        <v>0.49020000000000002</v>
      </c>
      <c r="E354" s="355">
        <f t="shared" si="43"/>
        <v>2.9861029645474435</v>
      </c>
      <c r="F354" s="356">
        <f t="shared" si="42"/>
        <v>2.9861029645474435</v>
      </c>
      <c r="G354" s="349">
        <f t="shared" si="44"/>
        <v>1.2802148090263306</v>
      </c>
    </row>
    <row r="355" spans="1:7" ht="18" customHeight="1" x14ac:dyDescent="0.25">
      <c r="A355" s="351">
        <f>2022</f>
        <v>2022</v>
      </c>
      <c r="B355" s="352" t="s">
        <v>27</v>
      </c>
      <c r="C355" s="353">
        <f t="shared" si="41"/>
        <v>330883.31370644667</v>
      </c>
      <c r="D355" s="354">
        <v>0.56079999999999997</v>
      </c>
      <c r="E355" s="355">
        <f t="shared" ref="E355:E366" si="45">100*(C355/$C$354-1)</f>
        <v>0.56080000000000574</v>
      </c>
      <c r="F355" s="356">
        <f t="shared" si="42"/>
        <v>3.4437577147812037</v>
      </c>
      <c r="G355" s="349">
        <f t="shared" si="44"/>
        <v>1.2730754021709558</v>
      </c>
    </row>
    <row r="356" spans="1:7" ht="18" customHeight="1" x14ac:dyDescent="0.25">
      <c r="A356" s="351">
        <f>2022</f>
        <v>2022</v>
      </c>
      <c r="B356" s="352" t="s">
        <v>28</v>
      </c>
      <c r="C356" s="353">
        <f t="shared" si="41"/>
        <v>332537.73027497885</v>
      </c>
      <c r="D356" s="354">
        <v>0.5</v>
      </c>
      <c r="E356" s="355">
        <f t="shared" si="45"/>
        <v>1.0636039999999847</v>
      </c>
      <c r="F356" s="356">
        <f t="shared" si="42"/>
        <v>3.8406252187266121</v>
      </c>
      <c r="G356" s="349">
        <f t="shared" si="44"/>
        <v>1.2667416937024438</v>
      </c>
    </row>
    <row r="357" spans="1:7" ht="18" customHeight="1" x14ac:dyDescent="0.25">
      <c r="A357" s="351">
        <f>2022</f>
        <v>2022</v>
      </c>
      <c r="B357" s="352" t="s">
        <v>29</v>
      </c>
      <c r="C357" s="353">
        <f t="shared" si="41"/>
        <v>334524.97575110215</v>
      </c>
      <c r="D357" s="354">
        <v>0.59760000000000002</v>
      </c>
      <c r="E357" s="355">
        <f t="shared" si="45"/>
        <v>1.667560097503995</v>
      </c>
      <c r="F357" s="356">
        <f t="shared" si="42"/>
        <v>4.3402464493988768</v>
      </c>
      <c r="G357" s="349">
        <f t="shared" si="44"/>
        <v>1.2592166152099491</v>
      </c>
    </row>
    <row r="358" spans="1:7" ht="18" customHeight="1" x14ac:dyDescent="0.25">
      <c r="A358" s="351">
        <f>2022</f>
        <v>2022</v>
      </c>
      <c r="B358" s="352" t="s">
        <v>30</v>
      </c>
      <c r="C358" s="353">
        <f t="shared" si="41"/>
        <v>336384.26556632674</v>
      </c>
      <c r="D358" s="354">
        <v>0.55579999999999996</v>
      </c>
      <c r="E358" s="355">
        <f t="shared" si="45"/>
        <v>2.2326283965259153</v>
      </c>
      <c r="F358" s="356">
        <f t="shared" si="42"/>
        <v>4.753611297202065</v>
      </c>
      <c r="G358" s="349">
        <f t="shared" si="44"/>
        <v>1.2522565731762356</v>
      </c>
    </row>
    <row r="359" spans="1:7" ht="18" customHeight="1" x14ac:dyDescent="0.25">
      <c r="A359" s="351">
        <f>2022</f>
        <v>2022</v>
      </c>
      <c r="B359" s="352" t="s">
        <v>31</v>
      </c>
      <c r="C359" s="353">
        <f t="shared" si="41"/>
        <v>338628.28500191972</v>
      </c>
      <c r="D359" s="354">
        <v>0.66710000000000003</v>
      </c>
      <c r="E359" s="355">
        <f t="shared" si="45"/>
        <v>2.914622260559141</v>
      </c>
      <c r="F359" s="356">
        <f t="shared" si="42"/>
        <v>5.2850194572287235</v>
      </c>
      <c r="G359" s="349">
        <f t="shared" si="44"/>
        <v>1.2439581285010053</v>
      </c>
    </row>
    <row r="360" spans="1:7" ht="18" customHeight="1" x14ac:dyDescent="0.25">
      <c r="A360" s="351">
        <f>2022</f>
        <v>2022</v>
      </c>
      <c r="B360" s="352" t="s">
        <v>32</v>
      </c>
      <c r="C360" s="353">
        <f t="shared" si="41"/>
        <v>340826.32119986718</v>
      </c>
      <c r="D360" s="354">
        <v>0.64910000000000001</v>
      </c>
      <c r="E360" s="355">
        <f t="shared" si="45"/>
        <v>3.5826410736524261</v>
      </c>
      <c r="F360" s="356">
        <f t="shared" si="42"/>
        <v>5.7549053645944648</v>
      </c>
      <c r="G360" s="349">
        <f t="shared" si="44"/>
        <v>1.2359356700666031</v>
      </c>
    </row>
    <row r="361" spans="1:7" ht="18" customHeight="1" x14ac:dyDescent="0.25">
      <c r="A361" s="351">
        <f>2022</f>
        <v>2022</v>
      </c>
      <c r="B361" s="352" t="s">
        <v>33</v>
      </c>
      <c r="C361" s="353">
        <f t="shared" si="41"/>
        <v>343089.06714631314</v>
      </c>
      <c r="D361" s="354">
        <v>0.66390000000000005</v>
      </c>
      <c r="E361" s="355">
        <f t="shared" si="45"/>
        <v>4.2703262277404175</v>
      </c>
      <c r="F361" s="356">
        <f t="shared" si="42"/>
        <v>6.1972536987628501</v>
      </c>
      <c r="G361" s="349">
        <f t="shared" si="44"/>
        <v>1.227784409372777</v>
      </c>
    </row>
    <row r="362" spans="1:7" ht="18" customHeight="1" x14ac:dyDescent="0.25">
      <c r="A362" s="351">
        <f>2022</f>
        <v>2022</v>
      </c>
      <c r="B362" s="352" t="s">
        <v>34</v>
      </c>
      <c r="C362" s="353">
        <f t="shared" si="41"/>
        <v>345635.13111360592</v>
      </c>
      <c r="D362" s="354">
        <v>0.74209999999999998</v>
      </c>
      <c r="E362" s="355">
        <f t="shared" si="45"/>
        <v>5.0441163186764726</v>
      </c>
      <c r="F362" s="356">
        <f t="shared" si="42"/>
        <v>6.7242958907127059</v>
      </c>
      <c r="G362" s="349">
        <f t="shared" si="44"/>
        <v>1.2187401388027219</v>
      </c>
    </row>
    <row r="363" spans="1:7" ht="18" customHeight="1" x14ac:dyDescent="0.25">
      <c r="A363" s="351">
        <f>2022</f>
        <v>2022</v>
      </c>
      <c r="B363" s="352" t="s">
        <v>36</v>
      </c>
      <c r="C363" s="353">
        <f t="shared" si="41"/>
        <v>347990.28889701405</v>
      </c>
      <c r="D363" s="354">
        <v>0.68140000000000001</v>
      </c>
      <c r="E363" s="355">
        <f t="shared" si="45"/>
        <v>5.75988692727194</v>
      </c>
      <c r="F363" s="356">
        <f t="shared" si="42"/>
        <v>7.1288431672921426</v>
      </c>
      <c r="G363" s="349">
        <f t="shared" si="44"/>
        <v>1.2104918473548461</v>
      </c>
    </row>
    <row r="364" spans="1:7" ht="18" customHeight="1" x14ac:dyDescent="0.25">
      <c r="A364" s="351">
        <f>2022</f>
        <v>2022</v>
      </c>
      <c r="B364" s="352" t="s">
        <v>35</v>
      </c>
      <c r="C364" s="353">
        <f t="shared" si="41"/>
        <v>350252.57376513357</v>
      </c>
      <c r="D364" s="354">
        <v>0.65010000000000001</v>
      </c>
      <c r="E364" s="355">
        <f t="shared" si="45"/>
        <v>6.4474319521861556</v>
      </c>
      <c r="F364" s="356">
        <f t="shared" si="42"/>
        <v>7.4411855384228565</v>
      </c>
      <c r="G364" s="349">
        <f t="shared" si="44"/>
        <v>1.2026732684367387</v>
      </c>
    </row>
    <row r="365" spans="1:7" ht="18" customHeight="1" x14ac:dyDescent="0.25">
      <c r="A365" s="351">
        <f>2022</f>
        <v>2022</v>
      </c>
      <c r="B365" s="352" t="s">
        <v>25</v>
      </c>
      <c r="C365" s="353">
        <f t="shared" si="41"/>
        <v>352534.46928321343</v>
      </c>
      <c r="D365" s="354">
        <v>0.65149999999999997</v>
      </c>
      <c r="E365" s="355">
        <f t="shared" si="45"/>
        <v>7.14093697135465</v>
      </c>
      <c r="F365" s="356">
        <f t="shared" si="42"/>
        <v>7.6661418443882301</v>
      </c>
      <c r="G365" s="349">
        <f t="shared" si="44"/>
        <v>1.1948885694070517</v>
      </c>
    </row>
    <row r="366" spans="1:7" ht="18" customHeight="1" x14ac:dyDescent="0.25">
      <c r="A366" s="351">
        <f>2022</f>
        <v>2022</v>
      </c>
      <c r="B366" s="352" t="s">
        <v>26</v>
      </c>
      <c r="C366" s="353">
        <f t="shared" si="41"/>
        <v>355031.11839467718</v>
      </c>
      <c r="D366" s="354">
        <v>0.70820000000000005</v>
      </c>
      <c r="E366" s="355">
        <f t="shared" si="45"/>
        <v>7.8997090869857844</v>
      </c>
      <c r="F366" s="356">
        <f t="shared" si="42"/>
        <v>7.8997090869857844</v>
      </c>
      <c r="G366" s="349">
        <f t="shared" si="44"/>
        <v>1.1864858764301731</v>
      </c>
    </row>
    <row r="367" spans="1:7" ht="18" customHeight="1" x14ac:dyDescent="0.25">
      <c r="A367" s="351">
        <f>2023</f>
        <v>2023</v>
      </c>
      <c r="B367" s="352" t="s">
        <v>27</v>
      </c>
      <c r="C367" s="353">
        <f t="shared" si="41"/>
        <v>357548.64405521384</v>
      </c>
      <c r="D367" s="354">
        <v>0.70909999999999995</v>
      </c>
      <c r="E367" s="355">
        <f t="shared" ref="E367:E378" si="46">100*(C367/$C$366-1)</f>
        <v>0.70909999999999584</v>
      </c>
      <c r="F367" s="356">
        <f t="shared" si="42"/>
        <v>8.0588319942975772</v>
      </c>
      <c r="G367" s="349">
        <f t="shared" si="44"/>
        <v>1.1781317442318253</v>
      </c>
    </row>
    <row r="368" spans="1:7" ht="18" customHeight="1" x14ac:dyDescent="0.25">
      <c r="A368" s="351">
        <f>2023</f>
        <v>2023</v>
      </c>
      <c r="B368" s="352" t="s">
        <v>28</v>
      </c>
      <c r="C368" s="353">
        <f t="shared" si="41"/>
        <v>359634.58284463192</v>
      </c>
      <c r="D368" s="354">
        <v>0.58340000000000003</v>
      </c>
      <c r="E368" s="355">
        <f t="shared" si="46"/>
        <v>1.2966368893999825</v>
      </c>
      <c r="F368" s="356">
        <f t="shared" si="42"/>
        <v>8.1485046966689687</v>
      </c>
      <c r="G368" s="349">
        <f t="shared" si="44"/>
        <v>1.171298389427903</v>
      </c>
    </row>
    <row r="369" spans="1:7" ht="18" customHeight="1" x14ac:dyDescent="0.25">
      <c r="A369" s="351">
        <f>2023</f>
        <v>2023</v>
      </c>
      <c r="B369" s="352" t="s">
        <v>29</v>
      </c>
      <c r="C369" s="353">
        <f t="shared" si="41"/>
        <v>362297.31729601359</v>
      </c>
      <c r="D369" s="354">
        <v>0.74039999999999995</v>
      </c>
      <c r="E369" s="355">
        <f t="shared" si="46"/>
        <v>2.0466371889291013</v>
      </c>
      <c r="F369" s="356">
        <f t="shared" si="42"/>
        <v>8.3020233339991414</v>
      </c>
      <c r="G369" s="349">
        <f t="shared" si="44"/>
        <v>1.1626898338977241</v>
      </c>
    </row>
    <row r="370" spans="1:7" ht="18" customHeight="1" x14ac:dyDescent="0.25">
      <c r="A370" s="351">
        <f>2023</f>
        <v>2023</v>
      </c>
      <c r="B370" s="352" t="s">
        <v>30</v>
      </c>
      <c r="C370" s="353">
        <f t="shared" si="41"/>
        <v>364407.69916926284</v>
      </c>
      <c r="D370" s="354">
        <v>0.58250000000000002</v>
      </c>
      <c r="E370" s="355">
        <f t="shared" si="46"/>
        <v>2.6410588505546118</v>
      </c>
      <c r="F370" s="356">
        <f t="shared" si="42"/>
        <v>8.330780143880002</v>
      </c>
      <c r="G370" s="349">
        <f t="shared" si="44"/>
        <v>1.1559563879379855</v>
      </c>
    </row>
    <row r="371" spans="1:7" ht="18" customHeight="1" x14ac:dyDescent="0.25">
      <c r="A371" s="351">
        <f>2023</f>
        <v>2023</v>
      </c>
      <c r="B371" s="352" t="s">
        <v>31</v>
      </c>
      <c r="C371" s="353">
        <f t="shared" si="41"/>
        <v>367016.12947991642</v>
      </c>
      <c r="D371" s="354">
        <v>0.71579999999999999</v>
      </c>
      <c r="E371" s="355">
        <f t="shared" si="46"/>
        <v>3.3757635498068872</v>
      </c>
      <c r="F371" s="356">
        <f t="shared" si="42"/>
        <v>8.3831876235134217</v>
      </c>
      <c r="G371" s="349">
        <f t="shared" si="44"/>
        <v>1.1477408588701927</v>
      </c>
    </row>
    <row r="372" spans="1:7" ht="18" customHeight="1" x14ac:dyDescent="0.25">
      <c r="A372" s="351">
        <f>2023</f>
        <v>2023</v>
      </c>
      <c r="B372" s="352" t="s">
        <v>32</v>
      </c>
      <c r="C372" s="353">
        <f t="shared" si="41"/>
        <v>369514.77528941567</v>
      </c>
      <c r="D372" s="354">
        <v>0.68079999999999996</v>
      </c>
      <c r="E372" s="355">
        <f t="shared" si="46"/>
        <v>4.0795457480539588</v>
      </c>
      <c r="F372" s="356">
        <f t="shared" si="42"/>
        <v>8.4173235178996109</v>
      </c>
      <c r="G372" s="349">
        <f t="shared" si="44"/>
        <v>1.1399798758752342</v>
      </c>
    </row>
    <row r="373" spans="1:7" ht="18" customHeight="1" x14ac:dyDescent="0.25">
      <c r="A373" s="351">
        <f>2023</f>
        <v>2023</v>
      </c>
      <c r="B373" s="352" t="s">
        <v>33</v>
      </c>
      <c r="C373" s="353">
        <f t="shared" si="41"/>
        <v>371949.50814379763</v>
      </c>
      <c r="D373" s="354">
        <v>0.65890000000000004</v>
      </c>
      <c r="E373" s="355">
        <f t="shared" si="46"/>
        <v>4.7653258749879024</v>
      </c>
      <c r="F373" s="356">
        <f t="shared" si="42"/>
        <v>8.4119384034982083</v>
      </c>
      <c r="G373" s="349">
        <f t="shared" si="44"/>
        <v>1.1325177166402913</v>
      </c>
    </row>
    <row r="374" spans="1:7" ht="18" customHeight="1" x14ac:dyDescent="0.25">
      <c r="A374" s="351">
        <f>2023</f>
        <v>2023</v>
      </c>
      <c r="B374" s="352" t="s">
        <v>34</v>
      </c>
      <c r="C374" s="353">
        <f t="shared" si="41"/>
        <v>374616.75806669681</v>
      </c>
      <c r="D374" s="354">
        <v>0.71709999999999996</v>
      </c>
      <c r="E374" s="355">
        <f t="shared" si="46"/>
        <v>5.5165980268374382</v>
      </c>
      <c r="F374" s="356">
        <f t="shared" si="42"/>
        <v>8.3850350685460207</v>
      </c>
      <c r="G374" s="349">
        <f t="shared" si="44"/>
        <v>1.1244542551764212</v>
      </c>
    </row>
    <row r="375" spans="1:7" ht="18" customHeight="1" x14ac:dyDescent="0.25">
      <c r="A375" s="351">
        <f>2023</f>
        <v>2023</v>
      </c>
      <c r="B375" s="352" t="s">
        <v>36</v>
      </c>
      <c r="C375" s="353">
        <f t="shared" si="41"/>
        <v>376915.40649419406</v>
      </c>
      <c r="D375" s="354">
        <v>0.61360000000000003</v>
      </c>
      <c r="E375" s="355">
        <f t="shared" si="46"/>
        <v>6.164047872330114</v>
      </c>
      <c r="F375" s="356">
        <f t="shared" si="42"/>
        <v>8.3120473530628569</v>
      </c>
      <c r="G375" s="349">
        <f t="shared" si="44"/>
        <v>1.1175966819360614</v>
      </c>
    </row>
    <row r="376" spans="1:7" ht="18" customHeight="1" x14ac:dyDescent="0.25">
      <c r="A376" s="351">
        <f>2023</f>
        <v>2023</v>
      </c>
      <c r="B376" s="352" t="s">
        <v>35</v>
      </c>
      <c r="C376" s="353">
        <f t="shared" si="41"/>
        <v>379199.89077295543</v>
      </c>
      <c r="D376" s="354">
        <v>0.60609999999999997</v>
      </c>
      <c r="E376" s="355">
        <f t="shared" si="46"/>
        <v>6.8075081664843218</v>
      </c>
      <c r="F376" s="356">
        <f t="shared" si="42"/>
        <v>8.264697871209048</v>
      </c>
      <c r="G376" s="349">
        <f t="shared" si="44"/>
        <v>1.1108637368271519</v>
      </c>
    </row>
    <row r="377" spans="1:7" ht="18" customHeight="1" x14ac:dyDescent="0.25">
      <c r="A377" s="351">
        <f>2023</f>
        <v>2023</v>
      </c>
      <c r="B377" s="352" t="s">
        <v>25</v>
      </c>
      <c r="C377" s="353">
        <f t="shared" si="41"/>
        <v>381391.28694173234</v>
      </c>
      <c r="D377" s="354">
        <v>0.57789999999999997</v>
      </c>
      <c r="E377" s="355">
        <f t="shared" si="46"/>
        <v>7.4247487561784231</v>
      </c>
      <c r="F377" s="356">
        <f t="shared" si="42"/>
        <v>8.1855308268697016</v>
      </c>
      <c r="G377" s="349">
        <f t="shared" si="44"/>
        <v>1.1044809414664174</v>
      </c>
    </row>
    <row r="378" spans="1:7" ht="18" customHeight="1" x14ac:dyDescent="0.25">
      <c r="A378" s="351">
        <f>2023</f>
        <v>2023</v>
      </c>
      <c r="B378" s="352" t="s">
        <v>26</v>
      </c>
      <c r="C378" s="353">
        <f t="shared" si="41"/>
        <v>383562.5475382916</v>
      </c>
      <c r="D378" s="354">
        <v>0.56930000000000003</v>
      </c>
      <c r="E378" s="355">
        <f t="shared" si="46"/>
        <v>8.0363178508473521</v>
      </c>
      <c r="F378" s="356">
        <f t="shared" si="42"/>
        <v>8.0363178508473521</v>
      </c>
      <c r="G378" s="349">
        <f t="shared" si="44"/>
        <v>1.0982287253330962</v>
      </c>
    </row>
    <row r="379" spans="1:7" ht="18" customHeight="1" x14ac:dyDescent="0.25">
      <c r="A379" s="351">
        <f>2024</f>
        <v>2024</v>
      </c>
      <c r="B379" s="352" t="s">
        <v>27</v>
      </c>
      <c r="C379" s="353">
        <f t="shared" si="41"/>
        <v>385817.5117552692</v>
      </c>
      <c r="D379" s="354">
        <v>0.58789999999999998</v>
      </c>
      <c r="E379" s="355">
        <f t="shared" ref="E379:E390" si="47">100*(C379/$C$378-1)</f>
        <v>0.58789999999999676</v>
      </c>
      <c r="F379" s="356">
        <f t="shared" si="42"/>
        <v>7.9062997916697464</v>
      </c>
      <c r="G379" s="349">
        <f t="shared" si="44"/>
        <v>1.0918099744930516</v>
      </c>
    </row>
    <row r="380" spans="1:7" ht="18" customHeight="1" x14ac:dyDescent="0.25">
      <c r="A380" s="351">
        <f>2024</f>
        <v>2024</v>
      </c>
      <c r="B380" s="352" t="s">
        <v>28</v>
      </c>
      <c r="C380" s="353">
        <f t="shared" si="41"/>
        <v>387777.07889747422</v>
      </c>
      <c r="D380" s="354">
        <v>0.50790000000000002</v>
      </c>
      <c r="E380" s="355">
        <f t="shared" si="47"/>
        <v>1.0987859441000003</v>
      </c>
      <c r="F380" s="356">
        <f t="shared" si="42"/>
        <v>7.825303070200107</v>
      </c>
      <c r="G380" s="349">
        <f t="shared" si="44"/>
        <v>1.0862926939007298</v>
      </c>
    </row>
    <row r="381" spans="1:7" ht="18" customHeight="1" x14ac:dyDescent="0.25">
      <c r="A381" s="351">
        <f>2024</f>
        <v>2024</v>
      </c>
      <c r="B381" s="352" t="s">
        <v>29</v>
      </c>
      <c r="C381" s="353">
        <f t="shared" si="41"/>
        <v>389845.09405923449</v>
      </c>
      <c r="D381" s="354">
        <v>0.5333</v>
      </c>
      <c r="E381" s="355">
        <f t="shared" si="47"/>
        <v>1.6379457695398836</v>
      </c>
      <c r="F381" s="356">
        <f t="shared" si="42"/>
        <v>7.6036380751649535</v>
      </c>
      <c r="G381" s="349">
        <f t="shared" si="44"/>
        <v>1.0805302262043817</v>
      </c>
    </row>
    <row r="382" spans="1:7" ht="18" customHeight="1" x14ac:dyDescent="0.25">
      <c r="A382" s="351">
        <f>2024</f>
        <v>2024</v>
      </c>
      <c r="B382" s="352" t="s">
        <v>30</v>
      </c>
      <c r="C382" s="353">
        <f t="shared" si="41"/>
        <v>392195.0802862235</v>
      </c>
      <c r="D382" s="354">
        <v>0.6028</v>
      </c>
      <c r="E382" s="355">
        <f t="shared" si="47"/>
        <v>2.2506193066386571</v>
      </c>
      <c r="F382" s="356">
        <f t="shared" si="42"/>
        <v>7.6253551119549234</v>
      </c>
      <c r="G382" s="349">
        <f t="shared" si="44"/>
        <v>1.0740558177350747</v>
      </c>
    </row>
    <row r="383" spans="1:7" ht="18" customHeight="1" x14ac:dyDescent="0.25">
      <c r="A383" s="351">
        <f>2024</f>
        <v>2024</v>
      </c>
      <c r="B383" s="352" t="s">
        <v>31</v>
      </c>
      <c r="C383" s="353">
        <f t="shared" si="41"/>
        <v>394498.83418782474</v>
      </c>
      <c r="D383" s="354">
        <v>0.58740000000000003</v>
      </c>
      <c r="E383" s="355">
        <f t="shared" si="47"/>
        <v>2.8512394444458522</v>
      </c>
      <c r="F383" s="356">
        <f t="shared" si="42"/>
        <v>7.4881462966908119</v>
      </c>
      <c r="G383" s="349">
        <f t="shared" si="44"/>
        <v>1.067783656536579</v>
      </c>
    </row>
    <row r="384" spans="1:7" ht="18" customHeight="1" x14ac:dyDescent="0.25">
      <c r="A384" s="351">
        <f>2024</f>
        <v>2024</v>
      </c>
      <c r="B384" s="352" t="s">
        <v>32</v>
      </c>
      <c r="C384" s="353">
        <f t="shared" si="41"/>
        <v>396616.10943091079</v>
      </c>
      <c r="D384" s="354">
        <v>0.53669999999999995</v>
      </c>
      <c r="E384" s="355">
        <f t="shared" si="47"/>
        <v>3.4032420465441859</v>
      </c>
      <c r="F384" s="356">
        <f t="shared" si="42"/>
        <v>7.3343032413977216</v>
      </c>
      <c r="G384" s="349">
        <f t="shared" si="44"/>
        <v>1.06208345463555</v>
      </c>
    </row>
    <row r="385" spans="1:7" ht="18" customHeight="1" x14ac:dyDescent="0.25">
      <c r="A385" s="351">
        <f>2024</f>
        <v>2024</v>
      </c>
      <c r="B385" s="352" t="s">
        <v>33</v>
      </c>
      <c r="C385" s="353">
        <f t="shared" si="41"/>
        <v>398893.87574737251</v>
      </c>
      <c r="D385" s="354">
        <v>0.57430000000000003</v>
      </c>
      <c r="E385" s="355">
        <f t="shared" si="47"/>
        <v>3.9970868656174829</v>
      </c>
      <c r="F385" s="356">
        <f t="shared" si="42"/>
        <v>7.2440928173396202</v>
      </c>
      <c r="G385" s="349">
        <f t="shared" si="44"/>
        <v>1.0560187390173732</v>
      </c>
    </row>
    <row r="386" spans="1:7" ht="18" customHeight="1" x14ac:dyDescent="0.25">
      <c r="A386" s="351">
        <f>2024</f>
        <v>2024</v>
      </c>
      <c r="B386" s="352" t="s">
        <v>34</v>
      </c>
      <c r="C386" s="353">
        <f t="shared" si="41"/>
        <v>401171.95867176575</v>
      </c>
      <c r="D386" s="354">
        <v>0.57110000000000005</v>
      </c>
      <c r="E386" s="355">
        <f t="shared" si="47"/>
        <v>4.5910142287070244</v>
      </c>
      <c r="F386" s="356">
        <f t="shared" si="42"/>
        <v>7.088631256677802</v>
      </c>
      <c r="G386" s="349">
        <f t="shared" si="44"/>
        <v>1.0500220630154919</v>
      </c>
    </row>
    <row r="387" spans="1:7" ht="18" customHeight="1" x14ac:dyDescent="0.25">
      <c r="A387" s="351">
        <f>2024</f>
        <v>2024</v>
      </c>
      <c r="B387" s="352" t="s">
        <v>36</v>
      </c>
      <c r="C387" s="353">
        <f t="shared" si="41"/>
        <v>403449.81305310404</v>
      </c>
      <c r="D387" s="354">
        <v>0.56779999999999997</v>
      </c>
      <c r="E387" s="355">
        <f t="shared" si="47"/>
        <v>5.1848820074976265</v>
      </c>
      <c r="F387" s="356">
        <f t="shared" si="42"/>
        <v>7.0398837780908607</v>
      </c>
      <c r="G387" s="349">
        <f t="shared" si="44"/>
        <v>1.0440936989926117</v>
      </c>
    </row>
    <row r="388" spans="1:7" ht="18" customHeight="1" x14ac:dyDescent="0.25">
      <c r="A388" s="351">
        <f>2024</f>
        <v>2024</v>
      </c>
      <c r="B388" s="352" t="s">
        <v>35</v>
      </c>
      <c r="C388" s="353">
        <f t="shared" si="41"/>
        <v>405863.24983478768</v>
      </c>
      <c r="D388" s="354">
        <v>0.59819999999999995</v>
      </c>
      <c r="E388" s="355">
        <f t="shared" si="47"/>
        <v>5.8140979716664765</v>
      </c>
      <c r="F388" s="356">
        <f t="shared" si="42"/>
        <v>7.0314785712311423</v>
      </c>
      <c r="G388" s="349">
        <f t="shared" si="44"/>
        <v>1.0378850705008755</v>
      </c>
    </row>
    <row r="389" spans="1:7" ht="18" customHeight="1" x14ac:dyDescent="0.25">
      <c r="A389" s="351">
        <f>2024</f>
        <v>2024</v>
      </c>
      <c r="B389" s="352" t="s">
        <v>25</v>
      </c>
      <c r="C389" s="353">
        <f t="shared" si="41"/>
        <v>408157.18892285391</v>
      </c>
      <c r="D389" s="354">
        <v>0.56520000000000004</v>
      </c>
      <c r="E389" s="355">
        <f t="shared" si="47"/>
        <v>6.4121592534023275</v>
      </c>
      <c r="F389" s="356">
        <f t="shared" si="42"/>
        <v>7.0179636760319575</v>
      </c>
      <c r="G389" s="349">
        <f t="shared" si="44"/>
        <v>1.0320519130881016</v>
      </c>
    </row>
    <row r="390" spans="1:7" ht="18" customHeight="1" x14ac:dyDescent="0.25">
      <c r="A390" s="351">
        <f>2024</f>
        <v>2024</v>
      </c>
      <c r="B390" s="352" t="s">
        <v>26</v>
      </c>
      <c r="C390" s="353">
        <f t="shared" si="41"/>
        <v>410535.11270551849</v>
      </c>
      <c r="D390" s="354">
        <v>0.58260000000000001</v>
      </c>
      <c r="E390" s="355">
        <f t="shared" si="47"/>
        <v>7.0321164932126701</v>
      </c>
      <c r="F390" s="356">
        <f t="shared" si="42"/>
        <v>7.0321164932126701</v>
      </c>
      <c r="G390" s="349">
        <f t="shared" si="44"/>
        <v>1.0260740059295559</v>
      </c>
    </row>
    <row r="391" spans="1:7" ht="18" customHeight="1" x14ac:dyDescent="0.25">
      <c r="A391" s="351">
        <f>2025</f>
        <v>2025</v>
      </c>
      <c r="B391" s="352" t="s">
        <v>27</v>
      </c>
      <c r="C391" s="353">
        <f t="shared" si="41"/>
        <v>413284.8768904201</v>
      </c>
      <c r="D391" s="354">
        <v>0.66979999999999995</v>
      </c>
      <c r="E391" s="355">
        <f>100*(C391/$C$390-1)</f>
        <v>0.66980000000000928</v>
      </c>
      <c r="F391" s="356">
        <f t="shared" si="42"/>
        <v>7.1192634596052073</v>
      </c>
      <c r="G391" s="349">
        <f t="shared" si="44"/>
        <v>1.0192470889279166</v>
      </c>
    </row>
    <row r="392" spans="1:7" ht="18" customHeight="1" x14ac:dyDescent="0.25">
      <c r="A392" s="351">
        <f>2025</f>
        <v>2025</v>
      </c>
      <c r="B392" s="352" t="s">
        <v>28</v>
      </c>
      <c r="C392" s="353">
        <f t="shared" ref="C392" si="48">+C391*(1+D392/100)</f>
        <v>415901.38344601338</v>
      </c>
      <c r="D392" s="354">
        <v>0.6331</v>
      </c>
      <c r="E392" s="355">
        <f>100*(C392/$C$390-1)</f>
        <v>1.3071405038000083</v>
      </c>
      <c r="F392" s="356">
        <f t="shared" ref="F392" si="49">100*(C392/C380-1)</f>
        <v>7.2526990580521256</v>
      </c>
      <c r="G392" s="349">
        <f t="shared" si="44"/>
        <v>1.0128348316090001</v>
      </c>
    </row>
    <row r="393" spans="1:7" ht="18" customHeight="1" x14ac:dyDescent="0.25">
      <c r="A393" s="351">
        <f>2025</f>
        <v>2025</v>
      </c>
      <c r="B393" s="352" t="s">
        <v>29</v>
      </c>
      <c r="C393" s="353">
        <f t="shared" ref="C393" si="50">+C392*(1+D393/100)</f>
        <v>418437.13418088376</v>
      </c>
      <c r="D393" s="354">
        <v>0.60970000000000002</v>
      </c>
      <c r="E393" s="355">
        <f>100*(C393/$C$390-1)</f>
        <v>1.9248101394516937</v>
      </c>
      <c r="F393" s="356">
        <f t="shared" ref="F393" si="51">100*(C393/C381-1)</f>
        <v>7.3342054465625584</v>
      </c>
      <c r="G393" s="357">
        <f t="shared" si="44"/>
        <v>1.006697</v>
      </c>
    </row>
    <row r="394" spans="1:7" ht="18" customHeight="1" thickBot="1" x14ac:dyDescent="0.3">
      <c r="A394" s="358">
        <f>2025</f>
        <v>2025</v>
      </c>
      <c r="B394" s="359" t="s">
        <v>30</v>
      </c>
      <c r="C394" s="360">
        <f t="shared" ref="C394" si="52">+C393*(1+D394/100)</f>
        <v>421239.40766849311</v>
      </c>
      <c r="D394" s="361">
        <v>0.66969999999999996</v>
      </c>
      <c r="E394" s="362">
        <f>100*(C394/$C$390-1)</f>
        <v>2.6074005929555888</v>
      </c>
      <c r="F394" s="363">
        <f t="shared" ref="F394" si="53">100*(C394/C382-1)</f>
        <v>7.4055817735074747</v>
      </c>
      <c r="G394" s="364">
        <f t="shared" si="44"/>
        <v>1</v>
      </c>
    </row>
    <row r="395" spans="1:7" ht="18" customHeight="1" x14ac:dyDescent="0.25">
      <c r="A395" s="143" t="s">
        <v>114</v>
      </c>
      <c r="B395" s="365"/>
      <c r="C395" s="366"/>
      <c r="D395" s="367"/>
      <c r="E395" s="368"/>
      <c r="F395" s="369"/>
      <c r="G395" s="370"/>
    </row>
    <row r="396" spans="1:7" ht="18" customHeight="1" x14ac:dyDescent="0.25">
      <c r="A396" s="656" t="s">
        <v>115</v>
      </c>
      <c r="B396" s="371"/>
      <c r="C396" s="372"/>
      <c r="D396" s="373"/>
      <c r="E396" s="374"/>
      <c r="F396" s="375"/>
      <c r="G396" s="376"/>
    </row>
    <row r="397" spans="1:7" ht="18" customHeight="1" x14ac:dyDescent="0.25">
      <c r="A397" s="377" t="s">
        <v>44</v>
      </c>
    </row>
    <row r="398" spans="1:7" ht="18" customHeight="1" x14ac:dyDescent="0.25">
      <c r="A398" s="377" t="s">
        <v>45</v>
      </c>
    </row>
    <row r="399" spans="1:7" ht="18" customHeight="1" x14ac:dyDescent="0.25">
      <c r="A399" s="143" t="s">
        <v>46</v>
      </c>
    </row>
    <row r="400" spans="1:7" ht="18" customHeight="1" x14ac:dyDescent="0.25">
      <c r="A400" s="224">
        <v>196</v>
      </c>
      <c r="B400" s="224" t="s">
        <v>116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hyperlinks>
    <hyperlink ref="A396" r:id="rId1" xr:uid="{8149ADA8-8A0B-4069-9F0E-540EA59E55C5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A856-15EE-47C3-96F6-65AFCD41480C}">
  <dimension ref="A1:E203"/>
  <sheetViews>
    <sheetView showGridLines="0" workbookViewId="0">
      <pane ySplit="2865" topLeftCell="A187" activePane="bottomLeft"/>
      <selection pane="bottomLeft" activeCell="E198" sqref="E198"/>
    </sheetView>
  </sheetViews>
  <sheetFormatPr defaultColWidth="14" defaultRowHeight="12.75" x14ac:dyDescent="0.25"/>
  <cols>
    <col min="1" max="1" width="5.5703125" style="224" bestFit="1" customWidth="1"/>
    <col min="2" max="2" width="5.7109375" style="438" customWidth="1"/>
    <col min="3" max="3" width="12.5703125" style="224" customWidth="1"/>
    <col min="4" max="4" width="23.140625" style="224" customWidth="1"/>
    <col min="5" max="5" width="22.28515625" style="224" customWidth="1"/>
    <col min="6" max="16384" width="14" style="224"/>
  </cols>
  <sheetData>
    <row r="1" spans="1:5" s="55" customFormat="1" ht="21" customHeight="1" x14ac:dyDescent="0.25">
      <c r="A1" s="682" t="s">
        <v>117</v>
      </c>
      <c r="B1" s="682"/>
      <c r="C1" s="682"/>
      <c r="D1" s="682"/>
      <c r="E1" s="682"/>
    </row>
    <row r="2" spans="1:5" s="55" customFormat="1" ht="15.75" customHeight="1" x14ac:dyDescent="0.25">
      <c r="A2" s="682"/>
      <c r="B2" s="682"/>
      <c r="C2" s="682"/>
      <c r="D2" s="682"/>
      <c r="E2" s="682"/>
    </row>
    <row r="3" spans="1:5" s="55" customFormat="1" ht="12.75" customHeight="1" thickBot="1" x14ac:dyDescent="0.3">
      <c r="A3" s="683"/>
      <c r="B3" s="683"/>
      <c r="C3" s="683"/>
      <c r="D3" s="683"/>
      <c r="E3" s="683"/>
    </row>
    <row r="4" spans="1:5" s="55" customFormat="1" ht="15" customHeight="1" thickBot="1" x14ac:dyDescent="0.3">
      <c r="A4" s="733" t="s">
        <v>118</v>
      </c>
      <c r="B4" s="734"/>
      <c r="C4" s="734"/>
      <c r="D4" s="734"/>
      <c r="E4" s="735"/>
    </row>
    <row r="5" spans="1:5" s="55" customFormat="1" ht="15.75" customHeight="1" thickBot="1" x14ac:dyDescent="0.3">
      <c r="A5" s="736" t="s">
        <v>119</v>
      </c>
      <c r="B5" s="737"/>
      <c r="C5" s="737"/>
      <c r="D5" s="737"/>
      <c r="E5" s="738" t="s">
        <v>120</v>
      </c>
    </row>
    <row r="6" spans="1:5" ht="13.5" customHeight="1" thickBot="1" x14ac:dyDescent="0.3">
      <c r="A6" s="740" t="s">
        <v>121</v>
      </c>
      <c r="B6" s="741"/>
      <c r="C6" s="378" t="s">
        <v>122</v>
      </c>
      <c r="D6" s="379" t="s">
        <v>123</v>
      </c>
      <c r="E6" s="739"/>
    </row>
    <row r="7" spans="1:5" ht="17.45" hidden="1" customHeight="1" x14ac:dyDescent="0.25">
      <c r="A7" s="742">
        <v>2003</v>
      </c>
      <c r="B7" s="380" t="s">
        <v>124</v>
      </c>
      <c r="C7" s="381">
        <v>37643</v>
      </c>
      <c r="D7" s="382" t="s">
        <v>125</v>
      </c>
      <c r="E7" s="383">
        <v>25.5</v>
      </c>
    </row>
    <row r="8" spans="1:5" ht="17.45" hidden="1" customHeight="1" x14ac:dyDescent="0.25">
      <c r="A8" s="731"/>
      <c r="B8" s="384" t="s">
        <v>126</v>
      </c>
      <c r="C8" s="385">
        <v>37671</v>
      </c>
      <c r="D8" s="386" t="s">
        <v>127</v>
      </c>
      <c r="E8" s="387">
        <v>26.5</v>
      </c>
    </row>
    <row r="9" spans="1:5" ht="17.45" hidden="1" customHeight="1" x14ac:dyDescent="0.25">
      <c r="A9" s="731"/>
      <c r="B9" s="384" t="s">
        <v>128</v>
      </c>
      <c r="C9" s="385">
        <v>37699</v>
      </c>
      <c r="D9" s="386" t="s">
        <v>129</v>
      </c>
      <c r="E9" s="387">
        <v>26.5</v>
      </c>
    </row>
    <row r="10" spans="1:5" ht="17.45" hidden="1" customHeight="1" x14ac:dyDescent="0.25">
      <c r="A10" s="731"/>
      <c r="B10" s="384" t="s">
        <v>130</v>
      </c>
      <c r="C10" s="385">
        <v>37734</v>
      </c>
      <c r="D10" s="386" t="s">
        <v>131</v>
      </c>
      <c r="E10" s="387">
        <v>26.5</v>
      </c>
    </row>
    <row r="11" spans="1:5" ht="17.45" hidden="1" customHeight="1" x14ac:dyDescent="0.25">
      <c r="A11" s="731"/>
      <c r="B11" s="384" t="s">
        <v>132</v>
      </c>
      <c r="C11" s="385">
        <v>37762</v>
      </c>
      <c r="D11" s="386" t="s">
        <v>133</v>
      </c>
      <c r="E11" s="387">
        <v>26.5</v>
      </c>
    </row>
    <row r="12" spans="1:5" ht="17.45" hidden="1" customHeight="1" x14ac:dyDescent="0.25">
      <c r="A12" s="731"/>
      <c r="B12" s="384" t="s">
        <v>134</v>
      </c>
      <c r="C12" s="385">
        <v>37790</v>
      </c>
      <c r="D12" s="386" t="s">
        <v>135</v>
      </c>
      <c r="E12" s="387">
        <v>26</v>
      </c>
    </row>
    <row r="13" spans="1:5" ht="17.45" hidden="1" customHeight="1" x14ac:dyDescent="0.25">
      <c r="A13" s="731"/>
      <c r="B13" s="384" t="s">
        <v>136</v>
      </c>
      <c r="C13" s="385">
        <v>37825</v>
      </c>
      <c r="D13" s="386" t="s">
        <v>137</v>
      </c>
      <c r="E13" s="387">
        <v>24.5</v>
      </c>
    </row>
    <row r="14" spans="1:5" ht="17.45" hidden="1" customHeight="1" x14ac:dyDescent="0.25">
      <c r="A14" s="731"/>
      <c r="B14" s="384" t="s">
        <v>138</v>
      </c>
      <c r="C14" s="385">
        <v>37853</v>
      </c>
      <c r="D14" s="386" t="s">
        <v>139</v>
      </c>
      <c r="E14" s="387">
        <v>22</v>
      </c>
    </row>
    <row r="15" spans="1:5" ht="17.45" hidden="1" customHeight="1" x14ac:dyDescent="0.25">
      <c r="A15" s="731"/>
      <c r="B15" s="384" t="s">
        <v>140</v>
      </c>
      <c r="C15" s="385">
        <v>37881</v>
      </c>
      <c r="D15" s="386" t="s">
        <v>141</v>
      </c>
      <c r="E15" s="387">
        <v>20</v>
      </c>
    </row>
    <row r="16" spans="1:5" ht="17.45" hidden="1" customHeight="1" x14ac:dyDescent="0.25">
      <c r="A16" s="731"/>
      <c r="B16" s="384" t="s">
        <v>142</v>
      </c>
      <c r="C16" s="385">
        <v>37916</v>
      </c>
      <c r="D16" s="386" t="s">
        <v>143</v>
      </c>
      <c r="E16" s="387">
        <v>19</v>
      </c>
    </row>
    <row r="17" spans="1:5" ht="17.45" hidden="1" customHeight="1" x14ac:dyDescent="0.25">
      <c r="A17" s="731"/>
      <c r="B17" s="384" t="s">
        <v>144</v>
      </c>
      <c r="C17" s="385">
        <v>37944</v>
      </c>
      <c r="D17" s="386" t="s">
        <v>145</v>
      </c>
      <c r="E17" s="387">
        <v>17.5</v>
      </c>
    </row>
    <row r="18" spans="1:5" ht="17.45" hidden="1" customHeight="1" x14ac:dyDescent="0.25">
      <c r="A18" s="732"/>
      <c r="B18" s="388" t="s">
        <v>146</v>
      </c>
      <c r="C18" s="389">
        <v>37972</v>
      </c>
      <c r="D18" s="390" t="s">
        <v>147</v>
      </c>
      <c r="E18" s="391">
        <v>16.5</v>
      </c>
    </row>
    <row r="19" spans="1:5" ht="17.45" hidden="1" customHeight="1" x14ac:dyDescent="0.25">
      <c r="A19" s="743">
        <v>2004</v>
      </c>
      <c r="B19" s="392" t="s">
        <v>148</v>
      </c>
      <c r="C19" s="393">
        <v>38007</v>
      </c>
      <c r="D19" s="394" t="s">
        <v>149</v>
      </c>
      <c r="E19" s="395">
        <v>16.5</v>
      </c>
    </row>
    <row r="20" spans="1:5" ht="17.45" hidden="1" customHeight="1" x14ac:dyDescent="0.25">
      <c r="A20" s="744"/>
      <c r="B20" s="384" t="s">
        <v>150</v>
      </c>
      <c r="C20" s="385">
        <v>38035</v>
      </c>
      <c r="D20" s="386" t="s">
        <v>151</v>
      </c>
      <c r="E20" s="387">
        <v>16.5</v>
      </c>
    </row>
    <row r="21" spans="1:5" ht="17.45" hidden="1" customHeight="1" x14ac:dyDescent="0.25">
      <c r="A21" s="744"/>
      <c r="B21" s="384" t="s">
        <v>152</v>
      </c>
      <c r="C21" s="385">
        <v>38063</v>
      </c>
      <c r="D21" s="386" t="s">
        <v>153</v>
      </c>
      <c r="E21" s="387">
        <v>16.25</v>
      </c>
    </row>
    <row r="22" spans="1:5" ht="17.45" hidden="1" customHeight="1" x14ac:dyDescent="0.25">
      <c r="A22" s="744"/>
      <c r="B22" s="384" t="s">
        <v>154</v>
      </c>
      <c r="C22" s="385">
        <v>38091</v>
      </c>
      <c r="D22" s="386" t="s">
        <v>155</v>
      </c>
      <c r="E22" s="387">
        <v>16</v>
      </c>
    </row>
    <row r="23" spans="1:5" ht="17.45" hidden="1" customHeight="1" x14ac:dyDescent="0.25">
      <c r="A23" s="744"/>
      <c r="B23" s="384" t="s">
        <v>156</v>
      </c>
      <c r="C23" s="385">
        <v>38126</v>
      </c>
      <c r="D23" s="386" t="s">
        <v>157</v>
      </c>
      <c r="E23" s="387">
        <v>16</v>
      </c>
    </row>
    <row r="24" spans="1:5" ht="17.45" hidden="1" customHeight="1" x14ac:dyDescent="0.25">
      <c r="A24" s="744"/>
      <c r="B24" s="384" t="s">
        <v>158</v>
      </c>
      <c r="C24" s="385">
        <v>38154</v>
      </c>
      <c r="D24" s="386" t="s">
        <v>159</v>
      </c>
      <c r="E24" s="387">
        <v>16</v>
      </c>
    </row>
    <row r="25" spans="1:5" ht="17.45" hidden="1" customHeight="1" x14ac:dyDescent="0.25">
      <c r="A25" s="744"/>
      <c r="B25" s="384" t="s">
        <v>160</v>
      </c>
      <c r="C25" s="385">
        <v>38189</v>
      </c>
      <c r="D25" s="386" t="s">
        <v>161</v>
      </c>
      <c r="E25" s="387">
        <v>16</v>
      </c>
    </row>
    <row r="26" spans="1:5" ht="17.45" hidden="1" customHeight="1" x14ac:dyDescent="0.25">
      <c r="A26" s="744"/>
      <c r="B26" s="384" t="s">
        <v>162</v>
      </c>
      <c r="C26" s="385">
        <v>38217</v>
      </c>
      <c r="D26" s="386" t="s">
        <v>163</v>
      </c>
      <c r="E26" s="387">
        <v>16</v>
      </c>
    </row>
    <row r="27" spans="1:5" ht="17.45" hidden="1" customHeight="1" x14ac:dyDescent="0.25">
      <c r="A27" s="744"/>
      <c r="B27" s="384" t="s">
        <v>164</v>
      </c>
      <c r="C27" s="385">
        <v>38245</v>
      </c>
      <c r="D27" s="386" t="s">
        <v>165</v>
      </c>
      <c r="E27" s="387">
        <v>16.25</v>
      </c>
    </row>
    <row r="28" spans="1:5" ht="17.45" hidden="1" customHeight="1" x14ac:dyDescent="0.25">
      <c r="A28" s="744"/>
      <c r="B28" s="384" t="s">
        <v>166</v>
      </c>
      <c r="C28" s="385">
        <v>38280</v>
      </c>
      <c r="D28" s="386" t="s">
        <v>167</v>
      </c>
      <c r="E28" s="387">
        <v>16.75</v>
      </c>
    </row>
    <row r="29" spans="1:5" ht="17.45" hidden="1" customHeight="1" x14ac:dyDescent="0.25">
      <c r="A29" s="744"/>
      <c r="B29" s="384" t="s">
        <v>168</v>
      </c>
      <c r="C29" s="385">
        <v>38308</v>
      </c>
      <c r="D29" s="386" t="s">
        <v>169</v>
      </c>
      <c r="E29" s="387">
        <v>17.25</v>
      </c>
    </row>
    <row r="30" spans="1:5" ht="17.45" hidden="1" customHeight="1" x14ac:dyDescent="0.25">
      <c r="A30" s="745"/>
      <c r="B30" s="388" t="s">
        <v>170</v>
      </c>
      <c r="C30" s="389">
        <v>38336</v>
      </c>
      <c r="D30" s="390" t="s">
        <v>171</v>
      </c>
      <c r="E30" s="391">
        <v>17.75</v>
      </c>
    </row>
    <row r="31" spans="1:5" ht="17.45" hidden="1" customHeight="1" x14ac:dyDescent="0.25">
      <c r="A31" s="730">
        <v>2005</v>
      </c>
      <c r="B31" s="392" t="s">
        <v>172</v>
      </c>
      <c r="C31" s="393">
        <v>38371</v>
      </c>
      <c r="D31" s="394" t="s">
        <v>173</v>
      </c>
      <c r="E31" s="395">
        <v>18.25</v>
      </c>
    </row>
    <row r="32" spans="1:5" ht="17.45" hidden="1" customHeight="1" x14ac:dyDescent="0.25">
      <c r="A32" s="746"/>
      <c r="B32" s="384" t="s">
        <v>174</v>
      </c>
      <c r="C32" s="385">
        <v>38399</v>
      </c>
      <c r="D32" s="386" t="s">
        <v>175</v>
      </c>
      <c r="E32" s="387">
        <v>18.75</v>
      </c>
    </row>
    <row r="33" spans="1:5" ht="17.45" hidden="1" customHeight="1" x14ac:dyDescent="0.25">
      <c r="A33" s="746"/>
      <c r="B33" s="384" t="s">
        <v>176</v>
      </c>
      <c r="C33" s="385">
        <v>38427</v>
      </c>
      <c r="D33" s="386" t="s">
        <v>177</v>
      </c>
      <c r="E33" s="387">
        <v>19.25</v>
      </c>
    </row>
    <row r="34" spans="1:5" ht="17.45" hidden="1" customHeight="1" x14ac:dyDescent="0.25">
      <c r="A34" s="746"/>
      <c r="B34" s="384" t="s">
        <v>178</v>
      </c>
      <c r="C34" s="385">
        <v>38462</v>
      </c>
      <c r="D34" s="386" t="s">
        <v>179</v>
      </c>
      <c r="E34" s="387">
        <v>19.5</v>
      </c>
    </row>
    <row r="35" spans="1:5" ht="17.45" hidden="1" customHeight="1" x14ac:dyDescent="0.25">
      <c r="A35" s="746"/>
      <c r="B35" s="384" t="s">
        <v>180</v>
      </c>
      <c r="C35" s="385">
        <v>38490</v>
      </c>
      <c r="D35" s="386" t="s">
        <v>181</v>
      </c>
      <c r="E35" s="387">
        <v>19.75</v>
      </c>
    </row>
    <row r="36" spans="1:5" ht="17.45" hidden="1" customHeight="1" x14ac:dyDescent="0.25">
      <c r="A36" s="746"/>
      <c r="B36" s="384" t="s">
        <v>182</v>
      </c>
      <c r="C36" s="385">
        <v>38518</v>
      </c>
      <c r="D36" s="386" t="s">
        <v>183</v>
      </c>
      <c r="E36" s="387">
        <v>19.75</v>
      </c>
    </row>
    <row r="37" spans="1:5" ht="17.45" hidden="1" customHeight="1" x14ac:dyDescent="0.25">
      <c r="A37" s="746"/>
      <c r="B37" s="384" t="s">
        <v>184</v>
      </c>
      <c r="C37" s="385">
        <v>38553</v>
      </c>
      <c r="D37" s="386" t="s">
        <v>185</v>
      </c>
      <c r="E37" s="387">
        <v>19.75</v>
      </c>
    </row>
    <row r="38" spans="1:5" ht="17.45" hidden="1" customHeight="1" x14ac:dyDescent="0.25">
      <c r="A38" s="746"/>
      <c r="B38" s="384" t="s">
        <v>186</v>
      </c>
      <c r="C38" s="385">
        <v>38581</v>
      </c>
      <c r="D38" s="386" t="s">
        <v>187</v>
      </c>
      <c r="E38" s="387">
        <v>19.75</v>
      </c>
    </row>
    <row r="39" spans="1:5" ht="17.45" hidden="1" customHeight="1" x14ac:dyDescent="0.25">
      <c r="A39" s="746"/>
      <c r="B39" s="384" t="s">
        <v>188</v>
      </c>
      <c r="C39" s="385">
        <v>38609</v>
      </c>
      <c r="D39" s="386" t="s">
        <v>189</v>
      </c>
      <c r="E39" s="387">
        <v>19.5</v>
      </c>
    </row>
    <row r="40" spans="1:5" ht="17.45" hidden="1" customHeight="1" x14ac:dyDescent="0.25">
      <c r="A40" s="746"/>
      <c r="B40" s="384" t="s">
        <v>190</v>
      </c>
      <c r="C40" s="385">
        <v>38644</v>
      </c>
      <c r="D40" s="386" t="s">
        <v>191</v>
      </c>
      <c r="E40" s="387">
        <v>19</v>
      </c>
    </row>
    <row r="41" spans="1:5" ht="17.45" hidden="1" customHeight="1" x14ac:dyDescent="0.25">
      <c r="A41" s="746"/>
      <c r="B41" s="384" t="s">
        <v>192</v>
      </c>
      <c r="C41" s="385">
        <v>38679</v>
      </c>
      <c r="D41" s="386" t="s">
        <v>193</v>
      </c>
      <c r="E41" s="387">
        <v>18.5</v>
      </c>
    </row>
    <row r="42" spans="1:5" ht="17.45" hidden="1" customHeight="1" x14ac:dyDescent="0.25">
      <c r="A42" s="747"/>
      <c r="B42" s="388" t="s">
        <v>194</v>
      </c>
      <c r="C42" s="389">
        <v>38700</v>
      </c>
      <c r="D42" s="390" t="s">
        <v>195</v>
      </c>
      <c r="E42" s="391">
        <v>18</v>
      </c>
    </row>
    <row r="43" spans="1:5" ht="17.45" hidden="1" customHeight="1" x14ac:dyDescent="0.25">
      <c r="A43" s="743">
        <v>2006</v>
      </c>
      <c r="B43" s="392" t="s">
        <v>196</v>
      </c>
      <c r="C43" s="393">
        <v>38735</v>
      </c>
      <c r="D43" s="394" t="s">
        <v>197</v>
      </c>
      <c r="E43" s="395">
        <v>17.25</v>
      </c>
    </row>
    <row r="44" spans="1:5" ht="17.45" hidden="1" customHeight="1" x14ac:dyDescent="0.25">
      <c r="A44" s="748"/>
      <c r="B44" s="384" t="s">
        <v>198</v>
      </c>
      <c r="C44" s="385">
        <v>38784</v>
      </c>
      <c r="D44" s="386" t="s">
        <v>199</v>
      </c>
      <c r="E44" s="387">
        <v>16.5</v>
      </c>
    </row>
    <row r="45" spans="1:5" ht="17.45" hidden="1" customHeight="1" x14ac:dyDescent="0.25">
      <c r="A45" s="748"/>
      <c r="B45" s="384" t="s">
        <v>200</v>
      </c>
      <c r="C45" s="385">
        <v>38826</v>
      </c>
      <c r="D45" s="386" t="s">
        <v>201</v>
      </c>
      <c r="E45" s="387">
        <v>15.75</v>
      </c>
    </row>
    <row r="46" spans="1:5" ht="17.45" hidden="1" customHeight="1" x14ac:dyDescent="0.25">
      <c r="A46" s="748"/>
      <c r="B46" s="384" t="s">
        <v>202</v>
      </c>
      <c r="C46" s="385">
        <v>38868</v>
      </c>
      <c r="D46" s="386" t="s">
        <v>203</v>
      </c>
      <c r="E46" s="387">
        <v>15.25</v>
      </c>
    </row>
    <row r="47" spans="1:5" ht="17.45" hidden="1" customHeight="1" x14ac:dyDescent="0.25">
      <c r="A47" s="748"/>
      <c r="B47" s="384" t="s">
        <v>204</v>
      </c>
      <c r="C47" s="385">
        <v>38917</v>
      </c>
      <c r="D47" s="386" t="s">
        <v>205</v>
      </c>
      <c r="E47" s="387">
        <v>14.75</v>
      </c>
    </row>
    <row r="48" spans="1:5" ht="17.45" hidden="1" customHeight="1" x14ac:dyDescent="0.25">
      <c r="A48" s="748"/>
      <c r="B48" s="384" t="s">
        <v>206</v>
      </c>
      <c r="C48" s="385">
        <v>38959</v>
      </c>
      <c r="D48" s="386" t="s">
        <v>207</v>
      </c>
      <c r="E48" s="387">
        <v>14.25</v>
      </c>
    </row>
    <row r="49" spans="1:5" ht="17.45" hidden="1" customHeight="1" x14ac:dyDescent="0.25">
      <c r="A49" s="748"/>
      <c r="B49" s="384" t="s">
        <v>208</v>
      </c>
      <c r="C49" s="385">
        <v>39008</v>
      </c>
      <c r="D49" s="386" t="s">
        <v>209</v>
      </c>
      <c r="E49" s="387">
        <v>13.75</v>
      </c>
    </row>
    <row r="50" spans="1:5" ht="17.45" hidden="1" customHeight="1" x14ac:dyDescent="0.25">
      <c r="A50" s="749"/>
      <c r="B50" s="388" t="s">
        <v>210</v>
      </c>
      <c r="C50" s="389">
        <v>39050</v>
      </c>
      <c r="D50" s="390" t="s">
        <v>211</v>
      </c>
      <c r="E50" s="391">
        <v>13.25</v>
      </c>
    </row>
    <row r="51" spans="1:5" ht="17.45" hidden="1" customHeight="1" x14ac:dyDescent="0.25">
      <c r="A51" s="730">
        <v>2007</v>
      </c>
      <c r="B51" s="392" t="s">
        <v>212</v>
      </c>
      <c r="C51" s="393">
        <v>39106</v>
      </c>
      <c r="D51" s="394" t="s">
        <v>213</v>
      </c>
      <c r="E51" s="395">
        <v>13</v>
      </c>
    </row>
    <row r="52" spans="1:5" ht="17.45" hidden="1" customHeight="1" x14ac:dyDescent="0.25">
      <c r="A52" s="731"/>
      <c r="B52" s="384" t="s">
        <v>214</v>
      </c>
      <c r="C52" s="385">
        <v>39148</v>
      </c>
      <c r="D52" s="386" t="s">
        <v>215</v>
      </c>
      <c r="E52" s="387">
        <v>12.75</v>
      </c>
    </row>
    <row r="53" spans="1:5" ht="17.45" hidden="1" customHeight="1" x14ac:dyDescent="0.25">
      <c r="A53" s="731"/>
      <c r="B53" s="384" t="s">
        <v>216</v>
      </c>
      <c r="C53" s="385">
        <v>39190</v>
      </c>
      <c r="D53" s="386" t="s">
        <v>217</v>
      </c>
      <c r="E53" s="387">
        <v>12.5</v>
      </c>
    </row>
    <row r="54" spans="1:5" ht="17.45" hidden="1" customHeight="1" x14ac:dyDescent="0.25">
      <c r="A54" s="731"/>
      <c r="B54" s="384" t="s">
        <v>218</v>
      </c>
      <c r="C54" s="385">
        <v>39239</v>
      </c>
      <c r="D54" s="386" t="s">
        <v>219</v>
      </c>
      <c r="E54" s="387">
        <v>12</v>
      </c>
    </row>
    <row r="55" spans="1:5" ht="17.45" hidden="1" customHeight="1" x14ac:dyDescent="0.25">
      <c r="A55" s="731"/>
      <c r="B55" s="384" t="s">
        <v>220</v>
      </c>
      <c r="C55" s="385">
        <v>39281</v>
      </c>
      <c r="D55" s="386" t="s">
        <v>221</v>
      </c>
      <c r="E55" s="387">
        <v>11.5</v>
      </c>
    </row>
    <row r="56" spans="1:5" ht="17.45" hidden="1" customHeight="1" x14ac:dyDescent="0.25">
      <c r="A56" s="731"/>
      <c r="B56" s="384" t="s">
        <v>222</v>
      </c>
      <c r="C56" s="385">
        <v>39330</v>
      </c>
      <c r="D56" s="386" t="s">
        <v>223</v>
      </c>
      <c r="E56" s="387">
        <v>11.25</v>
      </c>
    </row>
    <row r="57" spans="1:5" ht="17.45" hidden="1" customHeight="1" x14ac:dyDescent="0.25">
      <c r="A57" s="731"/>
      <c r="B57" s="384" t="s">
        <v>224</v>
      </c>
      <c r="C57" s="385">
        <v>39372</v>
      </c>
      <c r="D57" s="386" t="s">
        <v>225</v>
      </c>
      <c r="E57" s="387">
        <v>11.25</v>
      </c>
    </row>
    <row r="58" spans="1:5" ht="17.45" hidden="1" customHeight="1" x14ac:dyDescent="0.25">
      <c r="A58" s="732"/>
      <c r="B58" s="388" t="s">
        <v>226</v>
      </c>
      <c r="C58" s="389">
        <v>39421</v>
      </c>
      <c r="D58" s="390" t="s">
        <v>227</v>
      </c>
      <c r="E58" s="391">
        <v>11.25</v>
      </c>
    </row>
    <row r="59" spans="1:5" ht="17.45" hidden="1" customHeight="1" x14ac:dyDescent="0.25">
      <c r="A59" s="743">
        <v>2008</v>
      </c>
      <c r="B59" s="392" t="s">
        <v>228</v>
      </c>
      <c r="C59" s="393">
        <v>39470</v>
      </c>
      <c r="D59" s="394" t="s">
        <v>229</v>
      </c>
      <c r="E59" s="395">
        <v>11.25</v>
      </c>
    </row>
    <row r="60" spans="1:5" ht="17.45" hidden="1" customHeight="1" x14ac:dyDescent="0.25">
      <c r="A60" s="748"/>
      <c r="B60" s="384" t="s">
        <v>230</v>
      </c>
      <c r="C60" s="385">
        <v>39512</v>
      </c>
      <c r="D60" s="386" t="s">
        <v>231</v>
      </c>
      <c r="E60" s="387">
        <v>11.25</v>
      </c>
    </row>
    <row r="61" spans="1:5" ht="17.45" hidden="1" customHeight="1" x14ac:dyDescent="0.25">
      <c r="A61" s="748"/>
      <c r="B61" s="384" t="s">
        <v>232</v>
      </c>
      <c r="C61" s="385">
        <v>39554</v>
      </c>
      <c r="D61" s="386" t="s">
        <v>233</v>
      </c>
      <c r="E61" s="387">
        <v>11.75</v>
      </c>
    </row>
    <row r="62" spans="1:5" ht="17.45" hidden="1" customHeight="1" x14ac:dyDescent="0.25">
      <c r="A62" s="748"/>
      <c r="B62" s="384" t="s">
        <v>234</v>
      </c>
      <c r="C62" s="385">
        <v>39603</v>
      </c>
      <c r="D62" s="386" t="s">
        <v>235</v>
      </c>
      <c r="E62" s="387">
        <v>12.25</v>
      </c>
    </row>
    <row r="63" spans="1:5" ht="17.45" hidden="1" customHeight="1" x14ac:dyDescent="0.25">
      <c r="A63" s="748"/>
      <c r="B63" s="384" t="s">
        <v>236</v>
      </c>
      <c r="C63" s="385">
        <v>39652</v>
      </c>
      <c r="D63" s="386" t="s">
        <v>237</v>
      </c>
      <c r="E63" s="387">
        <v>13</v>
      </c>
    </row>
    <row r="64" spans="1:5" ht="17.45" hidden="1" customHeight="1" x14ac:dyDescent="0.25">
      <c r="A64" s="748"/>
      <c r="B64" s="384" t="s">
        <v>238</v>
      </c>
      <c r="C64" s="385">
        <v>39701</v>
      </c>
      <c r="D64" s="386" t="s">
        <v>239</v>
      </c>
      <c r="E64" s="387">
        <v>13.75</v>
      </c>
    </row>
    <row r="65" spans="1:5" ht="17.45" hidden="1" customHeight="1" x14ac:dyDescent="0.25">
      <c r="A65" s="748"/>
      <c r="B65" s="384" t="s">
        <v>240</v>
      </c>
      <c r="C65" s="385">
        <v>39750</v>
      </c>
      <c r="D65" s="386" t="s">
        <v>241</v>
      </c>
      <c r="E65" s="387">
        <v>13.75</v>
      </c>
    </row>
    <row r="66" spans="1:5" ht="17.45" hidden="1" customHeight="1" x14ac:dyDescent="0.25">
      <c r="A66" s="749"/>
      <c r="B66" s="388" t="s">
        <v>242</v>
      </c>
      <c r="C66" s="389">
        <v>39792</v>
      </c>
      <c r="D66" s="390" t="s">
        <v>243</v>
      </c>
      <c r="E66" s="391">
        <v>13.75</v>
      </c>
    </row>
    <row r="67" spans="1:5" ht="17.45" hidden="1" customHeight="1" x14ac:dyDescent="0.25">
      <c r="A67" s="730">
        <v>2009</v>
      </c>
      <c r="B67" s="392" t="s">
        <v>244</v>
      </c>
      <c r="C67" s="393">
        <v>39834</v>
      </c>
      <c r="D67" s="394" t="s">
        <v>245</v>
      </c>
      <c r="E67" s="395">
        <v>12.75</v>
      </c>
    </row>
    <row r="68" spans="1:5" ht="17.45" hidden="1" customHeight="1" x14ac:dyDescent="0.25">
      <c r="A68" s="731"/>
      <c r="B68" s="384" t="s">
        <v>246</v>
      </c>
      <c r="C68" s="385">
        <v>39883</v>
      </c>
      <c r="D68" s="386" t="s">
        <v>247</v>
      </c>
      <c r="E68" s="387">
        <v>11.25</v>
      </c>
    </row>
    <row r="69" spans="1:5" ht="17.45" hidden="1" customHeight="1" x14ac:dyDescent="0.25">
      <c r="A69" s="731"/>
      <c r="B69" s="384" t="s">
        <v>248</v>
      </c>
      <c r="C69" s="385">
        <v>39932</v>
      </c>
      <c r="D69" s="386" t="s">
        <v>249</v>
      </c>
      <c r="E69" s="387">
        <v>10.25</v>
      </c>
    </row>
    <row r="70" spans="1:5" ht="17.45" hidden="1" customHeight="1" x14ac:dyDescent="0.25">
      <c r="A70" s="731"/>
      <c r="B70" s="384" t="s">
        <v>250</v>
      </c>
      <c r="C70" s="385">
        <v>39974</v>
      </c>
      <c r="D70" s="386" t="s">
        <v>251</v>
      </c>
      <c r="E70" s="387">
        <v>9.25</v>
      </c>
    </row>
    <row r="71" spans="1:5" ht="17.45" hidden="1" customHeight="1" x14ac:dyDescent="0.25">
      <c r="A71" s="731"/>
      <c r="B71" s="384" t="s">
        <v>252</v>
      </c>
      <c r="C71" s="385">
        <v>40016</v>
      </c>
      <c r="D71" s="386" t="s">
        <v>253</v>
      </c>
      <c r="E71" s="387">
        <v>8.75</v>
      </c>
    </row>
    <row r="72" spans="1:5" ht="17.45" hidden="1" customHeight="1" x14ac:dyDescent="0.25">
      <c r="A72" s="731"/>
      <c r="B72" s="384" t="s">
        <v>254</v>
      </c>
      <c r="C72" s="385">
        <v>40058</v>
      </c>
      <c r="D72" s="386" t="s">
        <v>255</v>
      </c>
      <c r="E72" s="387">
        <v>8.75</v>
      </c>
    </row>
    <row r="73" spans="1:5" ht="17.45" hidden="1" customHeight="1" x14ac:dyDescent="0.25">
      <c r="A73" s="731"/>
      <c r="B73" s="384" t="s">
        <v>256</v>
      </c>
      <c r="C73" s="385">
        <v>40107</v>
      </c>
      <c r="D73" s="386" t="s">
        <v>257</v>
      </c>
      <c r="E73" s="387">
        <v>8.75</v>
      </c>
    </row>
    <row r="74" spans="1:5" ht="17.45" hidden="1" customHeight="1" x14ac:dyDescent="0.25">
      <c r="A74" s="732"/>
      <c r="B74" s="388" t="s">
        <v>258</v>
      </c>
      <c r="C74" s="389">
        <v>40156</v>
      </c>
      <c r="D74" s="390" t="s">
        <v>259</v>
      </c>
      <c r="E74" s="391">
        <v>8.75</v>
      </c>
    </row>
    <row r="75" spans="1:5" ht="17.45" customHeight="1" thickBot="1" x14ac:dyDescent="0.3">
      <c r="A75" s="743">
        <v>2010</v>
      </c>
      <c r="B75" s="396" t="s">
        <v>260</v>
      </c>
      <c r="C75" s="397">
        <v>40205</v>
      </c>
      <c r="D75" s="398" t="s">
        <v>261</v>
      </c>
      <c r="E75" s="399">
        <v>8.75</v>
      </c>
    </row>
    <row r="76" spans="1:5" ht="17.45" customHeight="1" thickBot="1" x14ac:dyDescent="0.3">
      <c r="A76" s="748"/>
      <c r="B76" s="400" t="s">
        <v>262</v>
      </c>
      <c r="C76" s="401">
        <v>40254</v>
      </c>
      <c r="D76" s="402" t="s">
        <v>263</v>
      </c>
      <c r="E76" s="403">
        <v>8.75</v>
      </c>
    </row>
    <row r="77" spans="1:5" ht="17.45" customHeight="1" thickBot="1" x14ac:dyDescent="0.3">
      <c r="A77" s="748"/>
      <c r="B77" s="400" t="s">
        <v>264</v>
      </c>
      <c r="C77" s="401">
        <v>40296</v>
      </c>
      <c r="D77" s="402" t="s">
        <v>265</v>
      </c>
      <c r="E77" s="403">
        <v>9.5</v>
      </c>
    </row>
    <row r="78" spans="1:5" ht="17.45" customHeight="1" thickBot="1" x14ac:dyDescent="0.3">
      <c r="A78" s="748"/>
      <c r="B78" s="400" t="s">
        <v>266</v>
      </c>
      <c r="C78" s="401">
        <v>40338</v>
      </c>
      <c r="D78" s="402" t="s">
        <v>267</v>
      </c>
      <c r="E78" s="403">
        <v>10.25</v>
      </c>
    </row>
    <row r="79" spans="1:5" ht="17.45" customHeight="1" thickBot="1" x14ac:dyDescent="0.3">
      <c r="A79" s="748"/>
      <c r="B79" s="400" t="s">
        <v>268</v>
      </c>
      <c r="C79" s="401">
        <v>40380</v>
      </c>
      <c r="D79" s="402" t="s">
        <v>269</v>
      </c>
      <c r="E79" s="403">
        <v>10.75</v>
      </c>
    </row>
    <row r="80" spans="1:5" ht="17.45" customHeight="1" thickBot="1" x14ac:dyDescent="0.3">
      <c r="A80" s="748"/>
      <c r="B80" s="400" t="s">
        <v>270</v>
      </c>
      <c r="C80" s="401">
        <v>40422</v>
      </c>
      <c r="D80" s="402" t="s">
        <v>271</v>
      </c>
      <c r="E80" s="403">
        <v>10.75</v>
      </c>
    </row>
    <row r="81" spans="1:5" ht="17.45" customHeight="1" thickBot="1" x14ac:dyDescent="0.3">
      <c r="A81" s="748"/>
      <c r="B81" s="400" t="s">
        <v>272</v>
      </c>
      <c r="C81" s="401">
        <v>40471</v>
      </c>
      <c r="D81" s="402" t="s">
        <v>273</v>
      </c>
      <c r="E81" s="403">
        <v>10.75</v>
      </c>
    </row>
    <row r="82" spans="1:5" ht="17.45" customHeight="1" thickBot="1" x14ac:dyDescent="0.3">
      <c r="A82" s="749"/>
      <c r="B82" s="404" t="s">
        <v>274</v>
      </c>
      <c r="C82" s="405">
        <v>40520</v>
      </c>
      <c r="D82" s="406" t="s">
        <v>275</v>
      </c>
      <c r="E82" s="407">
        <v>10.75</v>
      </c>
    </row>
    <row r="83" spans="1:5" ht="17.45" customHeight="1" thickBot="1" x14ac:dyDescent="0.3">
      <c r="A83" s="730">
        <v>2011</v>
      </c>
      <c r="B83" s="408" t="s">
        <v>276</v>
      </c>
      <c r="C83" s="409">
        <v>40562</v>
      </c>
      <c r="D83" s="409" t="s">
        <v>277</v>
      </c>
      <c r="E83" s="410">
        <v>11.25</v>
      </c>
    </row>
    <row r="84" spans="1:5" ht="17.45" customHeight="1" thickBot="1" x14ac:dyDescent="0.3">
      <c r="A84" s="731"/>
      <c r="B84" s="400" t="s">
        <v>278</v>
      </c>
      <c r="C84" s="402">
        <v>40604</v>
      </c>
      <c r="D84" s="402" t="s">
        <v>279</v>
      </c>
      <c r="E84" s="403">
        <v>11.75</v>
      </c>
    </row>
    <row r="85" spans="1:5" ht="17.45" customHeight="1" thickBot="1" x14ac:dyDescent="0.3">
      <c r="A85" s="731"/>
      <c r="B85" s="400" t="s">
        <v>280</v>
      </c>
      <c r="C85" s="402">
        <v>40653</v>
      </c>
      <c r="D85" s="402" t="s">
        <v>281</v>
      </c>
      <c r="E85" s="403">
        <v>12</v>
      </c>
    </row>
    <row r="86" spans="1:5" ht="17.45" customHeight="1" thickBot="1" x14ac:dyDescent="0.3">
      <c r="A86" s="731"/>
      <c r="B86" s="400" t="s">
        <v>282</v>
      </c>
      <c r="C86" s="402">
        <v>40702</v>
      </c>
      <c r="D86" s="402" t="s">
        <v>283</v>
      </c>
      <c r="E86" s="403">
        <v>12.25</v>
      </c>
    </row>
    <row r="87" spans="1:5" ht="17.45" customHeight="1" thickBot="1" x14ac:dyDescent="0.3">
      <c r="A87" s="731"/>
      <c r="B87" s="400" t="s">
        <v>284</v>
      </c>
      <c r="C87" s="402">
        <v>40744</v>
      </c>
      <c r="D87" s="402" t="s">
        <v>285</v>
      </c>
      <c r="E87" s="403">
        <v>12.5</v>
      </c>
    </row>
    <row r="88" spans="1:5" ht="17.45" customHeight="1" thickBot="1" x14ac:dyDescent="0.3">
      <c r="A88" s="731"/>
      <c r="B88" s="400" t="s">
        <v>286</v>
      </c>
      <c r="C88" s="402">
        <v>40786</v>
      </c>
      <c r="D88" s="402" t="s">
        <v>287</v>
      </c>
      <c r="E88" s="403">
        <v>12</v>
      </c>
    </row>
    <row r="89" spans="1:5" ht="17.45" customHeight="1" thickBot="1" x14ac:dyDescent="0.3">
      <c r="A89" s="731"/>
      <c r="B89" s="400" t="s">
        <v>288</v>
      </c>
      <c r="C89" s="402">
        <v>40835</v>
      </c>
      <c r="D89" s="402" t="s">
        <v>289</v>
      </c>
      <c r="E89" s="403">
        <v>11.5</v>
      </c>
    </row>
    <row r="90" spans="1:5" ht="17.45" customHeight="1" thickBot="1" x14ac:dyDescent="0.3">
      <c r="A90" s="732"/>
      <c r="B90" s="404" t="s">
        <v>290</v>
      </c>
      <c r="C90" s="406">
        <v>40877</v>
      </c>
      <c r="D90" s="406" t="s">
        <v>291</v>
      </c>
      <c r="E90" s="407">
        <v>11</v>
      </c>
    </row>
    <row r="91" spans="1:5" ht="17.45" customHeight="1" thickBot="1" x14ac:dyDescent="0.3">
      <c r="A91" s="743">
        <v>2012</v>
      </c>
      <c r="B91" s="408" t="s">
        <v>292</v>
      </c>
      <c r="C91" s="409">
        <v>40926</v>
      </c>
      <c r="D91" s="409" t="s">
        <v>293</v>
      </c>
      <c r="E91" s="410">
        <v>10.5</v>
      </c>
    </row>
    <row r="92" spans="1:5" ht="17.45" customHeight="1" thickBot="1" x14ac:dyDescent="0.3">
      <c r="A92" s="748"/>
      <c r="B92" s="400" t="s">
        <v>294</v>
      </c>
      <c r="C92" s="402">
        <v>40975</v>
      </c>
      <c r="D92" s="402" t="s">
        <v>295</v>
      </c>
      <c r="E92" s="403">
        <v>9.75</v>
      </c>
    </row>
    <row r="93" spans="1:5" ht="17.45" customHeight="1" thickBot="1" x14ac:dyDescent="0.3">
      <c r="A93" s="748"/>
      <c r="B93" s="400" t="s">
        <v>296</v>
      </c>
      <c r="C93" s="402">
        <v>41017</v>
      </c>
      <c r="D93" s="402" t="s">
        <v>297</v>
      </c>
      <c r="E93" s="403">
        <v>9</v>
      </c>
    </row>
    <row r="94" spans="1:5" ht="17.45" customHeight="1" thickBot="1" x14ac:dyDescent="0.3">
      <c r="A94" s="748"/>
      <c r="B94" s="400" t="s">
        <v>298</v>
      </c>
      <c r="C94" s="402">
        <v>41059</v>
      </c>
      <c r="D94" s="402" t="s">
        <v>299</v>
      </c>
      <c r="E94" s="403">
        <v>8.5</v>
      </c>
    </row>
    <row r="95" spans="1:5" ht="17.45" customHeight="1" thickBot="1" x14ac:dyDescent="0.3">
      <c r="A95" s="748"/>
      <c r="B95" s="400" t="s">
        <v>300</v>
      </c>
      <c r="C95" s="402">
        <v>41101</v>
      </c>
      <c r="D95" s="402" t="s">
        <v>301</v>
      </c>
      <c r="E95" s="403">
        <v>8</v>
      </c>
    </row>
    <row r="96" spans="1:5" ht="17.45" customHeight="1" thickBot="1" x14ac:dyDescent="0.3">
      <c r="A96" s="748"/>
      <c r="B96" s="400" t="s">
        <v>302</v>
      </c>
      <c r="C96" s="402">
        <v>41150</v>
      </c>
      <c r="D96" s="402" t="s">
        <v>303</v>
      </c>
      <c r="E96" s="403">
        <v>7.5</v>
      </c>
    </row>
    <row r="97" spans="1:5" ht="17.45" customHeight="1" thickBot="1" x14ac:dyDescent="0.3">
      <c r="A97" s="748"/>
      <c r="B97" s="400" t="s">
        <v>304</v>
      </c>
      <c r="C97" s="402">
        <v>41192</v>
      </c>
      <c r="D97" s="402" t="s">
        <v>305</v>
      </c>
      <c r="E97" s="403">
        <v>7.25</v>
      </c>
    </row>
    <row r="98" spans="1:5" ht="17.45" customHeight="1" thickBot="1" x14ac:dyDescent="0.3">
      <c r="A98" s="749"/>
      <c r="B98" s="404" t="s">
        <v>306</v>
      </c>
      <c r="C98" s="406">
        <v>41241</v>
      </c>
      <c r="D98" s="406" t="s">
        <v>307</v>
      </c>
      <c r="E98" s="407">
        <v>7.25</v>
      </c>
    </row>
    <row r="99" spans="1:5" ht="17.45" customHeight="1" thickBot="1" x14ac:dyDescent="0.3">
      <c r="A99" s="730">
        <v>2013</v>
      </c>
      <c r="B99" s="408" t="s">
        <v>308</v>
      </c>
      <c r="C99" s="409">
        <v>41290</v>
      </c>
      <c r="D99" s="409" t="s">
        <v>309</v>
      </c>
      <c r="E99" s="410">
        <v>7.25</v>
      </c>
    </row>
    <row r="100" spans="1:5" ht="17.45" customHeight="1" thickBot="1" x14ac:dyDescent="0.3">
      <c r="A100" s="731"/>
      <c r="B100" s="400" t="s">
        <v>310</v>
      </c>
      <c r="C100" s="402">
        <v>41339</v>
      </c>
      <c r="D100" s="402" t="s">
        <v>311</v>
      </c>
      <c r="E100" s="403">
        <v>7.25</v>
      </c>
    </row>
    <row r="101" spans="1:5" ht="17.45" customHeight="1" thickBot="1" x14ac:dyDescent="0.3">
      <c r="A101" s="731"/>
      <c r="B101" s="400" t="s">
        <v>312</v>
      </c>
      <c r="C101" s="402">
        <v>41381</v>
      </c>
      <c r="D101" s="402" t="s">
        <v>313</v>
      </c>
      <c r="E101" s="403">
        <v>7.5</v>
      </c>
    </row>
    <row r="102" spans="1:5" ht="17.45" customHeight="1" thickBot="1" x14ac:dyDescent="0.3">
      <c r="A102" s="731"/>
      <c r="B102" s="400" t="s">
        <v>314</v>
      </c>
      <c r="C102" s="402">
        <v>41423</v>
      </c>
      <c r="D102" s="402" t="s">
        <v>315</v>
      </c>
      <c r="E102" s="403">
        <v>8</v>
      </c>
    </row>
    <row r="103" spans="1:5" ht="17.45" customHeight="1" thickBot="1" x14ac:dyDescent="0.3">
      <c r="A103" s="731"/>
      <c r="B103" s="400" t="s">
        <v>316</v>
      </c>
      <c r="C103" s="402">
        <v>41465</v>
      </c>
      <c r="D103" s="402" t="s">
        <v>317</v>
      </c>
      <c r="E103" s="403">
        <v>8.5</v>
      </c>
    </row>
    <row r="104" spans="1:5" ht="17.45" customHeight="1" thickBot="1" x14ac:dyDescent="0.3">
      <c r="A104" s="731"/>
      <c r="B104" s="400" t="s">
        <v>318</v>
      </c>
      <c r="C104" s="402">
        <v>41514</v>
      </c>
      <c r="D104" s="402" t="s">
        <v>319</v>
      </c>
      <c r="E104" s="403">
        <v>9</v>
      </c>
    </row>
    <row r="105" spans="1:5" ht="17.45" customHeight="1" thickBot="1" x14ac:dyDescent="0.3">
      <c r="A105" s="731"/>
      <c r="B105" s="400" t="s">
        <v>320</v>
      </c>
      <c r="C105" s="402">
        <v>41556</v>
      </c>
      <c r="D105" s="402" t="s">
        <v>321</v>
      </c>
      <c r="E105" s="403">
        <v>9.5</v>
      </c>
    </row>
    <row r="106" spans="1:5" ht="17.45" customHeight="1" thickBot="1" x14ac:dyDescent="0.3">
      <c r="A106" s="732"/>
      <c r="B106" s="404" t="s">
        <v>322</v>
      </c>
      <c r="C106" s="406">
        <v>41605</v>
      </c>
      <c r="D106" s="406" t="s">
        <v>323</v>
      </c>
      <c r="E106" s="407">
        <v>10</v>
      </c>
    </row>
    <row r="107" spans="1:5" ht="17.45" customHeight="1" x14ac:dyDescent="0.25">
      <c r="A107" s="750">
        <v>2014</v>
      </c>
      <c r="B107" s="411" t="s">
        <v>324</v>
      </c>
      <c r="C107" s="409">
        <v>41654</v>
      </c>
      <c r="D107" s="409" t="s">
        <v>325</v>
      </c>
      <c r="E107" s="410">
        <v>10.5</v>
      </c>
    </row>
    <row r="108" spans="1:5" ht="17.45" customHeight="1" x14ac:dyDescent="0.25">
      <c r="A108" s="751"/>
      <c r="B108" s="412" t="s">
        <v>326</v>
      </c>
      <c r="C108" s="402">
        <v>41696</v>
      </c>
      <c r="D108" s="402" t="s">
        <v>327</v>
      </c>
      <c r="E108" s="403">
        <v>10.75</v>
      </c>
    </row>
    <row r="109" spans="1:5" ht="17.45" customHeight="1" x14ac:dyDescent="0.25">
      <c r="A109" s="751"/>
      <c r="B109" s="412" t="s">
        <v>328</v>
      </c>
      <c r="C109" s="402">
        <v>41731</v>
      </c>
      <c r="D109" s="402" t="s">
        <v>329</v>
      </c>
      <c r="E109" s="403">
        <v>11</v>
      </c>
    </row>
    <row r="110" spans="1:5" ht="17.45" customHeight="1" x14ac:dyDescent="0.25">
      <c r="A110" s="751"/>
      <c r="B110" s="412" t="s">
        <v>330</v>
      </c>
      <c r="C110" s="402">
        <v>41787</v>
      </c>
      <c r="D110" s="402" t="s">
        <v>331</v>
      </c>
      <c r="E110" s="403">
        <v>11</v>
      </c>
    </row>
    <row r="111" spans="1:5" ht="17.45" customHeight="1" x14ac:dyDescent="0.25">
      <c r="A111" s="751"/>
      <c r="B111" s="412" t="s">
        <v>332</v>
      </c>
      <c r="C111" s="402">
        <v>41836</v>
      </c>
      <c r="D111" s="402" t="s">
        <v>333</v>
      </c>
      <c r="E111" s="403">
        <v>11</v>
      </c>
    </row>
    <row r="112" spans="1:5" ht="17.45" customHeight="1" x14ac:dyDescent="0.25">
      <c r="A112" s="751"/>
      <c r="B112" s="413" t="s">
        <v>334</v>
      </c>
      <c r="C112" s="402">
        <v>41885</v>
      </c>
      <c r="D112" s="402" t="s">
        <v>335</v>
      </c>
      <c r="E112" s="403">
        <v>11</v>
      </c>
    </row>
    <row r="113" spans="1:5" ht="17.45" customHeight="1" x14ac:dyDescent="0.25">
      <c r="A113" s="751"/>
      <c r="B113" s="413" t="s">
        <v>336</v>
      </c>
      <c r="C113" s="402">
        <v>41941</v>
      </c>
      <c r="D113" s="414" t="s">
        <v>337</v>
      </c>
      <c r="E113" s="403">
        <v>11.25</v>
      </c>
    </row>
    <row r="114" spans="1:5" ht="17.45" customHeight="1" thickBot="1" x14ac:dyDescent="0.3">
      <c r="A114" s="752"/>
      <c r="B114" s="415" t="s">
        <v>338</v>
      </c>
      <c r="C114" s="406">
        <v>41976</v>
      </c>
      <c r="D114" s="416" t="s">
        <v>339</v>
      </c>
      <c r="E114" s="407">
        <v>11.75</v>
      </c>
    </row>
    <row r="115" spans="1:5" ht="17.25" customHeight="1" x14ac:dyDescent="0.25">
      <c r="A115" s="727">
        <v>2015</v>
      </c>
      <c r="B115" s="417" t="s">
        <v>340</v>
      </c>
      <c r="C115" s="409">
        <v>42025</v>
      </c>
      <c r="D115" s="418" t="s">
        <v>341</v>
      </c>
      <c r="E115" s="410">
        <v>12.25</v>
      </c>
    </row>
    <row r="116" spans="1:5" ht="15" x14ac:dyDescent="0.25">
      <c r="A116" s="728"/>
      <c r="B116" s="413" t="s">
        <v>342</v>
      </c>
      <c r="C116" s="402">
        <v>42067</v>
      </c>
      <c r="D116" s="414" t="s">
        <v>343</v>
      </c>
      <c r="E116" s="403">
        <v>12.75</v>
      </c>
    </row>
    <row r="117" spans="1:5" ht="15" x14ac:dyDescent="0.25">
      <c r="A117" s="728"/>
      <c r="B117" s="413" t="s">
        <v>344</v>
      </c>
      <c r="C117" s="402">
        <v>42123</v>
      </c>
      <c r="D117" s="414" t="s">
        <v>345</v>
      </c>
      <c r="E117" s="403">
        <v>13.25</v>
      </c>
    </row>
    <row r="118" spans="1:5" ht="15" x14ac:dyDescent="0.25">
      <c r="A118" s="728"/>
      <c r="B118" s="413" t="s">
        <v>346</v>
      </c>
      <c r="C118" s="402">
        <v>42158</v>
      </c>
      <c r="D118" s="414" t="s">
        <v>347</v>
      </c>
      <c r="E118" s="403">
        <v>13.75</v>
      </c>
    </row>
    <row r="119" spans="1:5" ht="15" x14ac:dyDescent="0.25">
      <c r="A119" s="728"/>
      <c r="B119" s="413" t="s">
        <v>348</v>
      </c>
      <c r="C119" s="402">
        <v>42214</v>
      </c>
      <c r="D119" s="414" t="s">
        <v>349</v>
      </c>
      <c r="E119" s="403">
        <v>14.25</v>
      </c>
    </row>
    <row r="120" spans="1:5" ht="15" x14ac:dyDescent="0.25">
      <c r="A120" s="728"/>
      <c r="B120" s="413" t="s">
        <v>350</v>
      </c>
      <c r="C120" s="402">
        <v>42249</v>
      </c>
      <c r="D120" s="414" t="s">
        <v>351</v>
      </c>
      <c r="E120" s="403">
        <v>14.25</v>
      </c>
    </row>
    <row r="121" spans="1:5" ht="15" x14ac:dyDescent="0.25">
      <c r="A121" s="728"/>
      <c r="B121" s="413" t="s">
        <v>352</v>
      </c>
      <c r="C121" s="402">
        <v>42298</v>
      </c>
      <c r="D121" s="414" t="s">
        <v>353</v>
      </c>
      <c r="E121" s="403">
        <v>14.25</v>
      </c>
    </row>
    <row r="122" spans="1:5" ht="15.75" customHeight="1" thickBot="1" x14ac:dyDescent="0.3">
      <c r="A122" s="729"/>
      <c r="B122" s="415" t="s">
        <v>354</v>
      </c>
      <c r="C122" s="406">
        <v>42333</v>
      </c>
      <c r="D122" s="416" t="s">
        <v>355</v>
      </c>
      <c r="E122" s="407">
        <v>14.25</v>
      </c>
    </row>
    <row r="123" spans="1:5" ht="15.75" customHeight="1" x14ac:dyDescent="0.25">
      <c r="A123" s="750">
        <v>2016</v>
      </c>
      <c r="B123" s="417" t="s">
        <v>356</v>
      </c>
      <c r="C123" s="409">
        <v>42389</v>
      </c>
      <c r="D123" s="418" t="s">
        <v>357</v>
      </c>
      <c r="E123" s="410">
        <v>14.25</v>
      </c>
    </row>
    <row r="124" spans="1:5" ht="20.25" customHeight="1" x14ac:dyDescent="0.25">
      <c r="A124" s="751"/>
      <c r="B124" s="413" t="s">
        <v>358</v>
      </c>
      <c r="C124" s="402">
        <v>42431</v>
      </c>
      <c r="D124" s="414" t="s">
        <v>359</v>
      </c>
      <c r="E124" s="403">
        <v>14.25</v>
      </c>
    </row>
    <row r="125" spans="1:5" ht="20.25" customHeight="1" x14ac:dyDescent="0.25">
      <c r="A125" s="751"/>
      <c r="B125" s="413" t="s">
        <v>360</v>
      </c>
      <c r="C125" s="402">
        <v>42487</v>
      </c>
      <c r="D125" s="414" t="s">
        <v>361</v>
      </c>
      <c r="E125" s="403">
        <v>14.25</v>
      </c>
    </row>
    <row r="126" spans="1:5" ht="20.25" customHeight="1" x14ac:dyDescent="0.25">
      <c r="A126" s="751"/>
      <c r="B126" s="413" t="s">
        <v>362</v>
      </c>
      <c r="C126" s="402">
        <v>42529</v>
      </c>
      <c r="D126" s="414" t="s">
        <v>363</v>
      </c>
      <c r="E126" s="403">
        <v>14.25</v>
      </c>
    </row>
    <row r="127" spans="1:5" ht="20.25" customHeight="1" x14ac:dyDescent="0.25">
      <c r="A127" s="751"/>
      <c r="B127" s="413" t="s">
        <v>364</v>
      </c>
      <c r="C127" s="402">
        <v>42571</v>
      </c>
      <c r="D127" s="414" t="s">
        <v>365</v>
      </c>
      <c r="E127" s="403">
        <v>14.25</v>
      </c>
    </row>
    <row r="128" spans="1:5" ht="20.25" customHeight="1" x14ac:dyDescent="0.25">
      <c r="A128" s="751"/>
      <c r="B128" s="419" t="s">
        <v>366</v>
      </c>
      <c r="C128" s="420">
        <v>42613</v>
      </c>
      <c r="D128" s="421" t="s">
        <v>367</v>
      </c>
      <c r="E128" s="422">
        <v>14.25</v>
      </c>
    </row>
    <row r="129" spans="1:5" ht="20.25" customHeight="1" x14ac:dyDescent="0.25">
      <c r="A129" s="751"/>
      <c r="B129" s="413" t="s">
        <v>368</v>
      </c>
      <c r="C129" s="402">
        <v>42662</v>
      </c>
      <c r="D129" s="414" t="s">
        <v>369</v>
      </c>
      <c r="E129" s="403">
        <v>14</v>
      </c>
    </row>
    <row r="130" spans="1:5" ht="20.25" customHeight="1" thickBot="1" x14ac:dyDescent="0.3">
      <c r="A130" s="752"/>
      <c r="B130" s="415" t="s">
        <v>370</v>
      </c>
      <c r="C130" s="406">
        <v>42704</v>
      </c>
      <c r="D130" s="416" t="s">
        <v>371</v>
      </c>
      <c r="E130" s="407">
        <v>13.75</v>
      </c>
    </row>
    <row r="131" spans="1:5" ht="20.25" customHeight="1" x14ac:dyDescent="0.25">
      <c r="A131" s="753">
        <v>2017</v>
      </c>
      <c r="B131" s="417" t="s">
        <v>372</v>
      </c>
      <c r="C131" s="409">
        <v>42746</v>
      </c>
      <c r="D131" s="418" t="s">
        <v>373</v>
      </c>
      <c r="E131" s="410">
        <v>13</v>
      </c>
    </row>
    <row r="132" spans="1:5" ht="20.25" customHeight="1" x14ac:dyDescent="0.25">
      <c r="A132" s="754"/>
      <c r="B132" s="413" t="s">
        <v>374</v>
      </c>
      <c r="C132" s="402">
        <v>42788</v>
      </c>
      <c r="D132" s="414" t="s">
        <v>375</v>
      </c>
      <c r="E132" s="403">
        <v>12.25</v>
      </c>
    </row>
    <row r="133" spans="1:5" ht="20.25" customHeight="1" x14ac:dyDescent="0.25">
      <c r="A133" s="754"/>
      <c r="B133" s="413" t="s">
        <v>376</v>
      </c>
      <c r="C133" s="402">
        <v>42837</v>
      </c>
      <c r="D133" s="414" t="s">
        <v>377</v>
      </c>
      <c r="E133" s="403">
        <v>11.25</v>
      </c>
    </row>
    <row r="134" spans="1:5" ht="20.25" customHeight="1" x14ac:dyDescent="0.25">
      <c r="A134" s="754"/>
      <c r="B134" s="413" t="s">
        <v>378</v>
      </c>
      <c r="C134" s="402">
        <v>42886</v>
      </c>
      <c r="D134" s="414" t="s">
        <v>379</v>
      </c>
      <c r="E134" s="403">
        <v>10.25</v>
      </c>
    </row>
    <row r="135" spans="1:5" ht="20.25" customHeight="1" x14ac:dyDescent="0.25">
      <c r="A135" s="754"/>
      <c r="B135" s="423" t="s">
        <v>380</v>
      </c>
      <c r="C135" s="402">
        <v>42942</v>
      </c>
      <c r="D135" s="414" t="s">
        <v>381</v>
      </c>
      <c r="E135" s="403">
        <v>9.25</v>
      </c>
    </row>
    <row r="136" spans="1:5" ht="20.25" customHeight="1" x14ac:dyDescent="0.25">
      <c r="A136" s="754"/>
      <c r="B136" s="413" t="s">
        <v>382</v>
      </c>
      <c r="C136" s="402">
        <v>42984</v>
      </c>
      <c r="D136" s="414" t="s">
        <v>383</v>
      </c>
      <c r="E136" s="403">
        <v>8.25</v>
      </c>
    </row>
    <row r="137" spans="1:5" ht="20.25" customHeight="1" x14ac:dyDescent="0.25">
      <c r="A137" s="754"/>
      <c r="B137" s="413" t="s">
        <v>384</v>
      </c>
      <c r="C137" s="402">
        <v>43033</v>
      </c>
      <c r="D137" s="414" t="s">
        <v>385</v>
      </c>
      <c r="E137" s="403">
        <v>7.5</v>
      </c>
    </row>
    <row r="138" spans="1:5" ht="20.25" customHeight="1" thickBot="1" x14ac:dyDescent="0.3">
      <c r="A138" s="754"/>
      <c r="B138" s="415" t="s">
        <v>386</v>
      </c>
      <c r="C138" s="406">
        <v>43034</v>
      </c>
      <c r="D138" s="416" t="s">
        <v>387</v>
      </c>
      <c r="E138" s="407">
        <v>7</v>
      </c>
    </row>
    <row r="139" spans="1:5" ht="20.25" customHeight="1" x14ac:dyDescent="0.25">
      <c r="A139" s="750">
        <v>2018</v>
      </c>
      <c r="B139" s="417" t="s">
        <v>388</v>
      </c>
      <c r="C139" s="409">
        <v>43138</v>
      </c>
      <c r="D139" s="418" t="s">
        <v>389</v>
      </c>
      <c r="E139" s="410">
        <v>6.75</v>
      </c>
    </row>
    <row r="140" spans="1:5" ht="20.25" customHeight="1" x14ac:dyDescent="0.25">
      <c r="A140" s="751"/>
      <c r="B140" s="413" t="s">
        <v>390</v>
      </c>
      <c r="C140" s="402">
        <v>43180</v>
      </c>
      <c r="D140" s="414" t="s">
        <v>391</v>
      </c>
      <c r="E140" s="403">
        <v>6.5</v>
      </c>
    </row>
    <row r="141" spans="1:5" ht="20.25" customHeight="1" x14ac:dyDescent="0.25">
      <c r="A141" s="751"/>
      <c r="B141" s="413" t="s">
        <v>392</v>
      </c>
      <c r="C141" s="402">
        <v>43236</v>
      </c>
      <c r="D141" s="414" t="s">
        <v>393</v>
      </c>
      <c r="E141" s="403">
        <v>6.5</v>
      </c>
    </row>
    <row r="142" spans="1:5" ht="20.25" customHeight="1" x14ac:dyDescent="0.25">
      <c r="A142" s="751"/>
      <c r="B142" s="413" t="s">
        <v>394</v>
      </c>
      <c r="C142" s="402">
        <v>43271</v>
      </c>
      <c r="D142" s="414" t="s">
        <v>395</v>
      </c>
      <c r="E142" s="403">
        <v>6.5</v>
      </c>
    </row>
    <row r="143" spans="1:5" ht="20.25" customHeight="1" x14ac:dyDescent="0.25">
      <c r="A143" s="751"/>
      <c r="B143" s="413" t="s">
        <v>396</v>
      </c>
      <c r="C143" s="402">
        <v>43313</v>
      </c>
      <c r="D143" s="414" t="s">
        <v>397</v>
      </c>
      <c r="E143" s="403">
        <v>6.5</v>
      </c>
    </row>
    <row r="144" spans="1:5" ht="20.25" customHeight="1" x14ac:dyDescent="0.25">
      <c r="A144" s="751"/>
      <c r="B144" s="413" t="s">
        <v>398</v>
      </c>
      <c r="C144" s="402">
        <v>43362</v>
      </c>
      <c r="D144" s="414" t="s">
        <v>399</v>
      </c>
      <c r="E144" s="403">
        <v>6.5</v>
      </c>
    </row>
    <row r="145" spans="1:5" ht="20.25" customHeight="1" x14ac:dyDescent="0.25">
      <c r="A145" s="751"/>
      <c r="B145" s="413" t="s">
        <v>400</v>
      </c>
      <c r="C145" s="402">
        <v>43404</v>
      </c>
      <c r="D145" s="414" t="s">
        <v>401</v>
      </c>
      <c r="E145" s="403">
        <v>6.5</v>
      </c>
    </row>
    <row r="146" spans="1:5" ht="20.25" customHeight="1" thickBot="1" x14ac:dyDescent="0.3">
      <c r="A146" s="751"/>
      <c r="B146" s="415" t="s">
        <v>402</v>
      </c>
      <c r="C146" s="406">
        <v>43446</v>
      </c>
      <c r="D146" s="416" t="s">
        <v>403</v>
      </c>
      <c r="E146" s="407">
        <v>6.5</v>
      </c>
    </row>
    <row r="147" spans="1:5" ht="20.25" customHeight="1" x14ac:dyDescent="0.25">
      <c r="A147" s="753">
        <v>2019</v>
      </c>
      <c r="B147" s="424" t="s">
        <v>404</v>
      </c>
      <c r="C147" s="409">
        <v>43502</v>
      </c>
      <c r="D147" s="418" t="s">
        <v>405</v>
      </c>
      <c r="E147" s="410">
        <v>6.5</v>
      </c>
    </row>
    <row r="148" spans="1:5" ht="20.25" customHeight="1" x14ac:dyDescent="0.25">
      <c r="A148" s="754"/>
      <c r="B148" s="425" t="s">
        <v>406</v>
      </c>
      <c r="C148" s="402">
        <v>43544</v>
      </c>
      <c r="D148" s="414" t="s">
        <v>407</v>
      </c>
      <c r="E148" s="403">
        <v>6.5</v>
      </c>
    </row>
    <row r="149" spans="1:5" ht="20.25" customHeight="1" x14ac:dyDescent="0.25">
      <c r="A149" s="754"/>
      <c r="B149" s="425" t="s">
        <v>408</v>
      </c>
      <c r="C149" s="402">
        <v>43593</v>
      </c>
      <c r="D149" s="414" t="s">
        <v>409</v>
      </c>
      <c r="E149" s="403">
        <v>6.5</v>
      </c>
    </row>
    <row r="150" spans="1:5" ht="20.25" customHeight="1" x14ac:dyDescent="0.25">
      <c r="A150" s="754"/>
      <c r="B150" s="425" t="s">
        <v>410</v>
      </c>
      <c r="C150" s="402">
        <v>43635</v>
      </c>
      <c r="D150" s="414" t="s">
        <v>411</v>
      </c>
      <c r="E150" s="403">
        <v>6.5</v>
      </c>
    </row>
    <row r="151" spans="1:5" ht="20.25" customHeight="1" x14ac:dyDescent="0.25">
      <c r="A151" s="754"/>
      <c r="B151" s="425" t="s">
        <v>412</v>
      </c>
      <c r="C151" s="402">
        <v>43677</v>
      </c>
      <c r="D151" s="414" t="s">
        <v>413</v>
      </c>
      <c r="E151" s="403">
        <v>6</v>
      </c>
    </row>
    <row r="152" spans="1:5" ht="20.25" customHeight="1" x14ac:dyDescent="0.25">
      <c r="A152" s="754"/>
      <c r="B152" s="425" t="s">
        <v>414</v>
      </c>
      <c r="C152" s="402">
        <v>43726</v>
      </c>
      <c r="D152" s="414" t="s">
        <v>415</v>
      </c>
      <c r="E152" s="403">
        <v>5.5</v>
      </c>
    </row>
    <row r="153" spans="1:5" ht="20.25" customHeight="1" x14ac:dyDescent="0.25">
      <c r="A153" s="754"/>
      <c r="B153" s="425" t="s">
        <v>416</v>
      </c>
      <c r="C153" s="402">
        <v>43768</v>
      </c>
      <c r="D153" s="414" t="s">
        <v>417</v>
      </c>
      <c r="E153" s="403">
        <v>5</v>
      </c>
    </row>
    <row r="154" spans="1:5" ht="20.25" customHeight="1" thickBot="1" x14ac:dyDescent="0.3">
      <c r="A154" s="755"/>
      <c r="B154" s="426" t="s">
        <v>418</v>
      </c>
      <c r="C154" s="406">
        <v>43810</v>
      </c>
      <c r="D154" s="416" t="s">
        <v>419</v>
      </c>
      <c r="E154" s="407">
        <v>4.5</v>
      </c>
    </row>
    <row r="155" spans="1:5" ht="20.25" customHeight="1" x14ac:dyDescent="0.25">
      <c r="A155" s="750">
        <v>2020</v>
      </c>
      <c r="B155" s="427" t="s">
        <v>420</v>
      </c>
      <c r="C155" s="428">
        <v>43866</v>
      </c>
      <c r="D155" s="429" t="s">
        <v>421</v>
      </c>
      <c r="E155" s="430">
        <v>4.25</v>
      </c>
    </row>
    <row r="156" spans="1:5" ht="20.25" customHeight="1" x14ac:dyDescent="0.25">
      <c r="A156" s="751"/>
      <c r="B156" s="431" t="s">
        <v>422</v>
      </c>
      <c r="C156" s="432">
        <v>43908</v>
      </c>
      <c r="D156" s="433" t="s">
        <v>423</v>
      </c>
      <c r="E156" s="434">
        <v>3.75</v>
      </c>
    </row>
    <row r="157" spans="1:5" ht="20.25" customHeight="1" x14ac:dyDescent="0.25">
      <c r="A157" s="751"/>
      <c r="B157" s="431" t="s">
        <v>424</v>
      </c>
      <c r="C157" s="432" t="s">
        <v>425</v>
      </c>
      <c r="D157" s="433" t="s">
        <v>426</v>
      </c>
      <c r="E157" s="434">
        <v>3</v>
      </c>
    </row>
    <row r="158" spans="1:5" ht="20.25" customHeight="1" x14ac:dyDescent="0.25">
      <c r="A158" s="751"/>
      <c r="B158" s="431" t="s">
        <v>427</v>
      </c>
      <c r="C158" s="432" t="s">
        <v>428</v>
      </c>
      <c r="D158" s="433" t="s">
        <v>429</v>
      </c>
      <c r="E158" s="434">
        <v>2.25</v>
      </c>
    </row>
    <row r="159" spans="1:5" ht="20.25" customHeight="1" x14ac:dyDescent="0.25">
      <c r="A159" s="751"/>
      <c r="B159" s="431" t="s">
        <v>430</v>
      </c>
      <c r="C159" s="432" t="s">
        <v>431</v>
      </c>
      <c r="D159" s="433" t="s">
        <v>432</v>
      </c>
      <c r="E159" s="434">
        <v>2</v>
      </c>
    </row>
    <row r="160" spans="1:5" ht="20.25" customHeight="1" x14ac:dyDescent="0.25">
      <c r="A160" s="751"/>
      <c r="B160" s="431" t="s">
        <v>433</v>
      </c>
      <c r="C160" s="432">
        <v>44090</v>
      </c>
      <c r="D160" s="433" t="s">
        <v>434</v>
      </c>
      <c r="E160" s="434">
        <v>2</v>
      </c>
    </row>
    <row r="161" spans="1:5" ht="20.25" customHeight="1" x14ac:dyDescent="0.25">
      <c r="A161" s="751"/>
      <c r="B161" s="425" t="s">
        <v>435</v>
      </c>
      <c r="C161" s="402">
        <v>44132</v>
      </c>
      <c r="D161" s="414" t="s">
        <v>436</v>
      </c>
      <c r="E161" s="403">
        <v>2</v>
      </c>
    </row>
    <row r="162" spans="1:5" ht="20.25" customHeight="1" thickBot="1" x14ac:dyDescent="0.3">
      <c r="A162" s="752"/>
      <c r="B162" s="427" t="s">
        <v>437</v>
      </c>
      <c r="C162" s="428">
        <v>44174</v>
      </c>
      <c r="D162" s="429" t="s">
        <v>438</v>
      </c>
      <c r="E162" s="430">
        <v>2</v>
      </c>
    </row>
    <row r="163" spans="1:5" ht="20.25" customHeight="1" x14ac:dyDescent="0.25">
      <c r="A163" s="756">
        <v>2021</v>
      </c>
      <c r="B163" s="435" t="s">
        <v>439</v>
      </c>
      <c r="C163" s="398">
        <v>44216</v>
      </c>
      <c r="D163" s="436" t="s">
        <v>440</v>
      </c>
      <c r="E163" s="399">
        <v>2</v>
      </c>
    </row>
    <row r="164" spans="1:5" ht="20.25" customHeight="1" x14ac:dyDescent="0.25">
      <c r="A164" s="757"/>
      <c r="B164" s="427" t="s">
        <v>441</v>
      </c>
      <c r="C164" s="428">
        <v>44272</v>
      </c>
      <c r="D164" s="429" t="s">
        <v>442</v>
      </c>
      <c r="E164" s="430">
        <v>2.75</v>
      </c>
    </row>
    <row r="165" spans="1:5" ht="20.25" customHeight="1" x14ac:dyDescent="0.25">
      <c r="A165" s="757"/>
      <c r="B165" s="431" t="s">
        <v>443</v>
      </c>
      <c r="C165" s="432">
        <v>44321</v>
      </c>
      <c r="D165" s="433" t="s">
        <v>444</v>
      </c>
      <c r="E165" s="434">
        <v>3.5</v>
      </c>
    </row>
    <row r="166" spans="1:5" ht="20.25" customHeight="1" x14ac:dyDescent="0.25">
      <c r="A166" s="757"/>
      <c r="B166" s="431" t="s">
        <v>445</v>
      </c>
      <c r="C166" s="432">
        <v>44363</v>
      </c>
      <c r="D166" s="433" t="s">
        <v>446</v>
      </c>
      <c r="E166" s="434">
        <v>4.25</v>
      </c>
    </row>
    <row r="167" spans="1:5" ht="20.25" customHeight="1" x14ac:dyDescent="0.25">
      <c r="A167" s="757"/>
      <c r="B167" s="431" t="s">
        <v>447</v>
      </c>
      <c r="C167" s="432">
        <v>44412</v>
      </c>
      <c r="D167" s="433" t="s">
        <v>448</v>
      </c>
      <c r="E167" s="434">
        <v>5.25</v>
      </c>
    </row>
    <row r="168" spans="1:5" ht="20.25" customHeight="1" x14ac:dyDescent="0.25">
      <c r="A168" s="757"/>
      <c r="B168" s="431" t="s">
        <v>449</v>
      </c>
      <c r="C168" s="432">
        <v>44461</v>
      </c>
      <c r="D168" s="433" t="s">
        <v>450</v>
      </c>
      <c r="E168" s="434">
        <v>6.25</v>
      </c>
    </row>
    <row r="169" spans="1:5" ht="20.25" customHeight="1" x14ac:dyDescent="0.25">
      <c r="A169" s="757"/>
      <c r="B169" s="431" t="s">
        <v>451</v>
      </c>
      <c r="C169" s="432">
        <v>44496</v>
      </c>
      <c r="D169" s="433" t="s">
        <v>452</v>
      </c>
      <c r="E169" s="434">
        <v>7.75</v>
      </c>
    </row>
    <row r="170" spans="1:5" ht="20.25" customHeight="1" thickBot="1" x14ac:dyDescent="0.3">
      <c r="A170" s="757"/>
      <c r="B170" s="426" t="s">
        <v>453</v>
      </c>
      <c r="C170" s="406">
        <v>44538</v>
      </c>
      <c r="D170" s="416" t="s">
        <v>454</v>
      </c>
      <c r="E170" s="407">
        <v>9.25</v>
      </c>
    </row>
    <row r="171" spans="1:5" ht="20.25" customHeight="1" x14ac:dyDescent="0.25">
      <c r="A171" s="750">
        <v>2022</v>
      </c>
      <c r="B171" s="427" t="s">
        <v>455</v>
      </c>
      <c r="C171" s="428">
        <v>44594</v>
      </c>
      <c r="D171" s="429" t="s">
        <v>456</v>
      </c>
      <c r="E171" s="430">
        <v>10.75</v>
      </c>
    </row>
    <row r="172" spans="1:5" ht="20.25" customHeight="1" x14ac:dyDescent="0.25">
      <c r="A172" s="751"/>
      <c r="B172" s="431" t="s">
        <v>457</v>
      </c>
      <c r="C172" s="432">
        <v>44636</v>
      </c>
      <c r="D172" s="433" t="s">
        <v>458</v>
      </c>
      <c r="E172" s="434">
        <v>11.75</v>
      </c>
    </row>
    <row r="173" spans="1:5" ht="20.25" customHeight="1" x14ac:dyDescent="0.25">
      <c r="A173" s="751"/>
      <c r="B173" s="431" t="s">
        <v>459</v>
      </c>
      <c r="C173" s="432">
        <v>44685</v>
      </c>
      <c r="D173" s="433" t="s">
        <v>460</v>
      </c>
      <c r="E173" s="434">
        <v>12.75</v>
      </c>
    </row>
    <row r="174" spans="1:5" ht="20.25" customHeight="1" x14ac:dyDescent="0.25">
      <c r="A174" s="751"/>
      <c r="B174" s="425" t="s">
        <v>461</v>
      </c>
      <c r="C174" s="402">
        <v>44727</v>
      </c>
      <c r="D174" s="414" t="s">
        <v>462</v>
      </c>
      <c r="E174" s="403">
        <v>13.25</v>
      </c>
    </row>
    <row r="175" spans="1:5" ht="20.25" customHeight="1" x14ac:dyDescent="0.25">
      <c r="A175" s="751"/>
      <c r="B175" s="425" t="s">
        <v>463</v>
      </c>
      <c r="C175" s="402">
        <v>44776</v>
      </c>
      <c r="D175" s="414" t="s">
        <v>464</v>
      </c>
      <c r="E175" s="403">
        <v>13.75</v>
      </c>
    </row>
    <row r="176" spans="1:5" ht="20.25" customHeight="1" x14ac:dyDescent="0.25">
      <c r="A176" s="751"/>
      <c r="B176" s="425" t="s">
        <v>465</v>
      </c>
      <c r="C176" s="402">
        <v>44825</v>
      </c>
      <c r="D176" s="414" t="s">
        <v>466</v>
      </c>
      <c r="E176" s="403">
        <v>13.75</v>
      </c>
    </row>
    <row r="177" spans="1:5" ht="20.25" customHeight="1" x14ac:dyDescent="0.25">
      <c r="A177" s="751"/>
      <c r="B177" s="425" t="s">
        <v>467</v>
      </c>
      <c r="C177" s="402">
        <v>44860</v>
      </c>
      <c r="D177" s="414" t="s">
        <v>468</v>
      </c>
      <c r="E177" s="403">
        <v>13.75</v>
      </c>
    </row>
    <row r="178" spans="1:5" ht="20.25" customHeight="1" thickBot="1" x14ac:dyDescent="0.3">
      <c r="A178" s="752"/>
      <c r="B178" s="426" t="s">
        <v>469</v>
      </c>
      <c r="C178" s="406">
        <v>44902</v>
      </c>
      <c r="D178" s="416" t="s">
        <v>470</v>
      </c>
      <c r="E178" s="407">
        <v>13.75</v>
      </c>
    </row>
    <row r="179" spans="1:5" ht="20.25" customHeight="1" x14ac:dyDescent="0.25">
      <c r="A179" s="753">
        <v>2023</v>
      </c>
      <c r="B179" s="424" t="s">
        <v>471</v>
      </c>
      <c r="C179" s="409">
        <v>44958</v>
      </c>
      <c r="D179" s="418" t="s">
        <v>472</v>
      </c>
      <c r="E179" s="410">
        <v>13.75</v>
      </c>
    </row>
    <row r="180" spans="1:5" ht="20.25" customHeight="1" x14ac:dyDescent="0.25">
      <c r="A180" s="754"/>
      <c r="B180" s="431" t="s">
        <v>473</v>
      </c>
      <c r="C180" s="432">
        <v>45007</v>
      </c>
      <c r="D180" s="433" t="s">
        <v>474</v>
      </c>
      <c r="E180" s="434">
        <v>13.75</v>
      </c>
    </row>
    <row r="181" spans="1:5" ht="20.25" customHeight="1" x14ac:dyDescent="0.25">
      <c r="A181" s="754"/>
      <c r="B181" s="431" t="s">
        <v>475</v>
      </c>
      <c r="C181" s="432">
        <v>45049</v>
      </c>
      <c r="D181" s="433" t="s">
        <v>476</v>
      </c>
      <c r="E181" s="434">
        <v>13.75</v>
      </c>
    </row>
    <row r="182" spans="1:5" ht="20.25" customHeight="1" x14ac:dyDescent="0.25">
      <c r="A182" s="754"/>
      <c r="B182" s="431" t="s">
        <v>477</v>
      </c>
      <c r="C182" s="432" t="s">
        <v>478</v>
      </c>
      <c r="D182" s="433" t="s">
        <v>479</v>
      </c>
      <c r="E182" s="434">
        <v>13.75</v>
      </c>
    </row>
    <row r="183" spans="1:5" ht="20.25" customHeight="1" x14ac:dyDescent="0.25">
      <c r="A183" s="754"/>
      <c r="B183" s="431" t="s">
        <v>480</v>
      </c>
      <c r="C183" s="432">
        <v>45140</v>
      </c>
      <c r="D183" s="433" t="s">
        <v>481</v>
      </c>
      <c r="E183" s="434">
        <v>13.25</v>
      </c>
    </row>
    <row r="184" spans="1:5" ht="20.25" customHeight="1" x14ac:dyDescent="0.25">
      <c r="A184" s="754"/>
      <c r="B184" s="431" t="s">
        <v>482</v>
      </c>
      <c r="C184" s="432">
        <v>45189</v>
      </c>
      <c r="D184" s="433" t="s">
        <v>483</v>
      </c>
      <c r="E184" s="434">
        <v>12.75</v>
      </c>
    </row>
    <row r="185" spans="1:5" ht="20.25" customHeight="1" thickBot="1" x14ac:dyDescent="0.3">
      <c r="A185" s="755"/>
      <c r="B185" s="431" t="s">
        <v>484</v>
      </c>
      <c r="C185" s="432">
        <v>45231</v>
      </c>
      <c r="D185" s="433" t="s">
        <v>485</v>
      </c>
      <c r="E185" s="434">
        <v>12.25</v>
      </c>
    </row>
    <row r="186" spans="1:5" ht="20.25" customHeight="1" thickBot="1" x14ac:dyDescent="0.3">
      <c r="A186" s="437"/>
      <c r="B186" s="426" t="s">
        <v>486</v>
      </c>
      <c r="C186" s="406">
        <v>45273</v>
      </c>
      <c r="D186" s="416" t="s">
        <v>487</v>
      </c>
      <c r="E186" s="407">
        <v>11.75</v>
      </c>
    </row>
    <row r="187" spans="1:5" ht="20.25" customHeight="1" x14ac:dyDescent="0.25">
      <c r="A187" s="750">
        <v>2024</v>
      </c>
      <c r="B187" s="427" t="s">
        <v>488</v>
      </c>
      <c r="C187" s="428">
        <v>45322</v>
      </c>
      <c r="D187" s="429" t="s">
        <v>489</v>
      </c>
      <c r="E187" s="430">
        <v>11.25</v>
      </c>
    </row>
    <row r="188" spans="1:5" ht="20.25" customHeight="1" x14ac:dyDescent="0.25">
      <c r="A188" s="751"/>
      <c r="B188" s="431" t="s">
        <v>490</v>
      </c>
      <c r="C188" s="432">
        <v>45371</v>
      </c>
      <c r="D188" s="433" t="s">
        <v>491</v>
      </c>
      <c r="E188" s="434">
        <v>10.75</v>
      </c>
    </row>
    <row r="189" spans="1:5" ht="20.25" customHeight="1" x14ac:dyDescent="0.25">
      <c r="A189" s="751"/>
      <c r="B189" s="431" t="s">
        <v>492</v>
      </c>
      <c r="C189" s="432" t="s">
        <v>493</v>
      </c>
      <c r="D189" s="433" t="s">
        <v>494</v>
      </c>
      <c r="E189" s="434">
        <v>10.5</v>
      </c>
    </row>
    <row r="190" spans="1:5" ht="20.25" customHeight="1" x14ac:dyDescent="0.25">
      <c r="A190" s="751"/>
      <c r="B190" s="431" t="s">
        <v>495</v>
      </c>
      <c r="C190" s="432">
        <v>45462</v>
      </c>
      <c r="D190" s="433" t="s">
        <v>496</v>
      </c>
      <c r="E190" s="434">
        <v>10.5</v>
      </c>
    </row>
    <row r="191" spans="1:5" ht="20.25" customHeight="1" x14ac:dyDescent="0.25">
      <c r="A191" s="751"/>
      <c r="B191" s="431" t="s">
        <v>497</v>
      </c>
      <c r="C191" s="432">
        <v>45504</v>
      </c>
      <c r="D191" s="433" t="s">
        <v>498</v>
      </c>
      <c r="E191" s="434">
        <v>10.5</v>
      </c>
    </row>
    <row r="192" spans="1:5" ht="20.25" customHeight="1" x14ac:dyDescent="0.25">
      <c r="A192" s="751"/>
      <c r="B192" s="431" t="s">
        <v>499</v>
      </c>
      <c r="C192" s="432">
        <v>45553</v>
      </c>
      <c r="D192" s="433" t="s">
        <v>500</v>
      </c>
      <c r="E192" s="434">
        <v>10.75</v>
      </c>
    </row>
    <row r="193" spans="1:5" ht="20.25" customHeight="1" x14ac:dyDescent="0.25">
      <c r="A193" s="751"/>
      <c r="B193" s="431" t="s">
        <v>501</v>
      </c>
      <c r="C193" s="432">
        <v>45602</v>
      </c>
      <c r="D193" s="433" t="s">
        <v>502</v>
      </c>
      <c r="E193" s="434">
        <v>11.25</v>
      </c>
    </row>
    <row r="194" spans="1:5" ht="20.25" customHeight="1" thickBot="1" x14ac:dyDescent="0.3">
      <c r="A194" s="752"/>
      <c r="B194" s="426" t="s">
        <v>503</v>
      </c>
      <c r="C194" s="406">
        <v>45637</v>
      </c>
      <c r="D194" s="416" t="s">
        <v>504</v>
      </c>
      <c r="E194" s="407">
        <v>12.25</v>
      </c>
    </row>
    <row r="195" spans="1:5" ht="20.25" customHeight="1" x14ac:dyDescent="0.25">
      <c r="A195" s="798">
        <v>2025</v>
      </c>
      <c r="B195" s="427" t="s">
        <v>505</v>
      </c>
      <c r="C195" s="428">
        <v>45686</v>
      </c>
      <c r="D195" s="429" t="s">
        <v>596</v>
      </c>
      <c r="E195" s="430">
        <v>13.25</v>
      </c>
    </row>
    <row r="196" spans="1:5" ht="20.25" customHeight="1" x14ac:dyDescent="0.25">
      <c r="A196" s="799"/>
      <c r="B196" s="431" t="s">
        <v>592</v>
      </c>
      <c r="C196" s="432">
        <v>45735</v>
      </c>
      <c r="D196" s="433" t="s">
        <v>598</v>
      </c>
      <c r="E196" s="434">
        <v>14.25</v>
      </c>
    </row>
    <row r="197" spans="1:5" ht="27.75" customHeight="1" thickBot="1" x14ac:dyDescent="0.3">
      <c r="A197" s="799"/>
      <c r="B197" s="426" t="s">
        <v>597</v>
      </c>
      <c r="C197" s="665">
        <v>45736</v>
      </c>
      <c r="D197" s="666" t="s">
        <v>593</v>
      </c>
      <c r="E197" s="667">
        <v>14.75</v>
      </c>
    </row>
    <row r="198" spans="1:5" ht="12.75" customHeight="1" x14ac:dyDescent="0.25">
      <c r="A198" s="263" t="s">
        <v>506</v>
      </c>
    </row>
    <row r="199" spans="1:5" ht="12.75" customHeight="1" x14ac:dyDescent="0.2">
      <c r="A199" s="169">
        <v>432</v>
      </c>
    </row>
    <row r="200" spans="1:5" ht="12.75" customHeight="1" x14ac:dyDescent="0.25"/>
    <row r="201" spans="1:5" ht="12.75" customHeight="1" x14ac:dyDescent="0.25"/>
    <row r="202" spans="1:5" ht="12.75" customHeight="1" x14ac:dyDescent="0.25"/>
    <row r="203" spans="1:5" ht="13.5" customHeight="1" x14ac:dyDescent="0.25"/>
  </sheetData>
  <mergeCells count="28">
    <mergeCell ref="A195:A197"/>
    <mergeCell ref="A187:A194"/>
    <mergeCell ref="A171:A178"/>
    <mergeCell ref="A179:A185"/>
    <mergeCell ref="A1:E3"/>
    <mergeCell ref="A123:A130"/>
    <mergeCell ref="A131:A138"/>
    <mergeCell ref="A139:A146"/>
    <mergeCell ref="A147:A154"/>
    <mergeCell ref="A155:A162"/>
    <mergeCell ref="A163:A170"/>
    <mergeCell ref="A75:A82"/>
    <mergeCell ref="A83:A90"/>
    <mergeCell ref="A91:A98"/>
    <mergeCell ref="A99:A106"/>
    <mergeCell ref="A107:A114"/>
    <mergeCell ref="A115:A122"/>
    <mergeCell ref="A67:A74"/>
    <mergeCell ref="A4:E4"/>
    <mergeCell ref="A5:D5"/>
    <mergeCell ref="E5:E6"/>
    <mergeCell ref="A6:B6"/>
    <mergeCell ref="A7:A18"/>
    <mergeCell ref="A19:A30"/>
    <mergeCell ref="A31:A42"/>
    <mergeCell ref="A43:A50"/>
    <mergeCell ref="A51:A58"/>
    <mergeCell ref="A59:A6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2081-9EE0-45C9-9843-26AEA325C530}">
  <dimension ref="A1:G362"/>
  <sheetViews>
    <sheetView showGridLines="0" workbookViewId="0">
      <pane ySplit="2880" topLeftCell="A349" activePane="bottomLeft"/>
      <selection pane="bottomLeft" activeCell="F356" sqref="F356"/>
    </sheetView>
  </sheetViews>
  <sheetFormatPr defaultColWidth="11.42578125" defaultRowHeight="15.75" x14ac:dyDescent="0.25"/>
  <cols>
    <col min="1" max="1" width="15.140625" style="439" customWidth="1"/>
    <col min="2" max="2" width="11.7109375" style="439" customWidth="1"/>
    <col min="3" max="3" width="18" style="439" customWidth="1"/>
    <col min="4" max="4" width="17.7109375" style="439" customWidth="1"/>
    <col min="5" max="16384" width="11.42578125" style="439"/>
  </cols>
  <sheetData>
    <row r="1" spans="1:4" ht="53.25" customHeight="1" thickBot="1" x14ac:dyDescent="0.3">
      <c r="A1" s="764" t="s">
        <v>507</v>
      </c>
      <c r="B1" s="764"/>
      <c r="C1" s="764"/>
      <c r="D1" s="764"/>
    </row>
    <row r="2" spans="1:4" ht="22.5" customHeight="1" thickBot="1" x14ac:dyDescent="0.3">
      <c r="A2" s="758" t="s">
        <v>508</v>
      </c>
      <c r="B2" s="759"/>
      <c r="C2" s="759"/>
      <c r="D2" s="760"/>
    </row>
    <row r="3" spans="1:4" ht="19.5" thickBot="1" x14ac:dyDescent="0.3">
      <c r="A3" s="761" t="s">
        <v>509</v>
      </c>
      <c r="B3" s="762"/>
      <c r="C3" s="762"/>
      <c r="D3" s="763"/>
    </row>
    <row r="4" spans="1:4" ht="18" thickBot="1" x14ac:dyDescent="0.3">
      <c r="A4" s="440" t="s">
        <v>6</v>
      </c>
      <c r="B4" s="441" t="s">
        <v>7</v>
      </c>
      <c r="C4" s="442" t="s">
        <v>510</v>
      </c>
      <c r="D4" s="443" t="s">
        <v>511</v>
      </c>
    </row>
    <row r="5" spans="1:4" ht="16.5" hidden="1" customHeight="1" x14ac:dyDescent="0.25">
      <c r="A5" s="218">
        <v>1994</v>
      </c>
      <c r="B5" s="283" t="s">
        <v>106</v>
      </c>
      <c r="C5" s="444">
        <f>100*((1+D5/100)^0.083333-1)</f>
        <v>23.456193569835015</v>
      </c>
      <c r="D5" s="445">
        <v>1153.5999999999999</v>
      </c>
    </row>
    <row r="6" spans="1:4" ht="16.5" hidden="1" thickBot="1" x14ac:dyDescent="0.3">
      <c r="A6" s="225"/>
      <c r="B6" s="268"/>
      <c r="C6" s="289"/>
      <c r="D6" s="291"/>
    </row>
    <row r="7" spans="1:4" ht="16.5" hidden="1" thickBot="1" x14ac:dyDescent="0.3">
      <c r="A7" s="225">
        <v>1995</v>
      </c>
      <c r="B7" s="268" t="s">
        <v>106</v>
      </c>
      <c r="C7" s="289">
        <f>100*((1+D7/100)^0.083333-1)</f>
        <v>3.61250500084076</v>
      </c>
      <c r="D7" s="446">
        <v>53.09</v>
      </c>
    </row>
    <row r="8" spans="1:4" ht="16.5" hidden="1" thickBot="1" x14ac:dyDescent="0.3">
      <c r="A8" s="225"/>
      <c r="B8" s="268"/>
      <c r="C8" s="289"/>
      <c r="D8" s="446"/>
    </row>
    <row r="9" spans="1:4" ht="16.5" hidden="1" thickBot="1" x14ac:dyDescent="0.3">
      <c r="A9" s="225">
        <v>1996</v>
      </c>
      <c r="B9" s="268" t="s">
        <v>106</v>
      </c>
      <c r="C9" s="289">
        <f>100*((1+D9/100)^0.083333-1)</f>
        <v>2.0391716989235364</v>
      </c>
      <c r="D9" s="446">
        <v>27.41</v>
      </c>
    </row>
    <row r="10" spans="1:4" ht="16.5" hidden="1" thickBot="1" x14ac:dyDescent="0.3">
      <c r="A10" s="225"/>
      <c r="B10" s="268"/>
      <c r="C10" s="289"/>
      <c r="D10" s="446"/>
    </row>
    <row r="11" spans="1:4" ht="16.5" hidden="1" thickBot="1" x14ac:dyDescent="0.3">
      <c r="A11" s="225">
        <v>1997</v>
      </c>
      <c r="B11" s="447" t="s">
        <v>13</v>
      </c>
      <c r="C11" s="289"/>
      <c r="D11" s="448"/>
    </row>
    <row r="12" spans="1:4" ht="16.5" hidden="1" thickBot="1" x14ac:dyDescent="0.3">
      <c r="A12" s="225">
        <v>1997</v>
      </c>
      <c r="B12" s="447" t="s">
        <v>14</v>
      </c>
      <c r="C12" s="289"/>
      <c r="D12" s="448"/>
    </row>
    <row r="13" spans="1:4" ht="16.5" hidden="1" thickBot="1" x14ac:dyDescent="0.3">
      <c r="A13" s="225">
        <v>1997</v>
      </c>
      <c r="B13" s="447" t="s">
        <v>15</v>
      </c>
      <c r="C13" s="289"/>
      <c r="D13" s="448"/>
    </row>
    <row r="14" spans="1:4" ht="16.5" hidden="1" thickBot="1" x14ac:dyDescent="0.3">
      <c r="A14" s="225">
        <v>1997</v>
      </c>
      <c r="B14" s="447" t="s">
        <v>16</v>
      </c>
      <c r="C14" s="289">
        <v>1.66</v>
      </c>
      <c r="D14" s="446">
        <f t="shared" ref="D14:D22" si="0">100*((1+C14/100)^12-1)</f>
        <v>21.84319100326071</v>
      </c>
    </row>
    <row r="15" spans="1:4" ht="16.5" hidden="1" thickBot="1" x14ac:dyDescent="0.3">
      <c r="A15" s="225">
        <v>1997</v>
      </c>
      <c r="B15" s="447" t="s">
        <v>17</v>
      </c>
      <c r="C15" s="289">
        <v>1.58</v>
      </c>
      <c r="D15" s="446">
        <f t="shared" si="0"/>
        <v>20.697563152516384</v>
      </c>
    </row>
    <row r="16" spans="1:4" ht="16.5" hidden="1" thickBot="1" x14ac:dyDescent="0.3">
      <c r="A16" s="225">
        <v>1997</v>
      </c>
      <c r="B16" s="447" t="s">
        <v>18</v>
      </c>
      <c r="C16" s="289">
        <v>1.61</v>
      </c>
      <c r="D16" s="446">
        <f t="shared" si="0"/>
        <v>21.126011385078193</v>
      </c>
    </row>
    <row r="17" spans="1:4" ht="16.5" hidden="1" thickBot="1" x14ac:dyDescent="0.3">
      <c r="A17" s="225">
        <v>1997</v>
      </c>
      <c r="B17" s="447" t="s">
        <v>19</v>
      </c>
      <c r="C17" s="289">
        <v>1.6</v>
      </c>
      <c r="D17" s="446">
        <f t="shared" si="0"/>
        <v>20.98304065090819</v>
      </c>
    </row>
    <row r="18" spans="1:4" ht="16.5" hidden="1" thickBot="1" x14ac:dyDescent="0.3">
      <c r="A18" s="225">
        <v>1997</v>
      </c>
      <c r="B18" s="447" t="s">
        <v>20</v>
      </c>
      <c r="C18" s="289">
        <v>1.59</v>
      </c>
      <c r="D18" s="446">
        <f t="shared" si="0"/>
        <v>20.840224624122182</v>
      </c>
    </row>
    <row r="19" spans="1:4" ht="16.5" hidden="1" thickBot="1" x14ac:dyDescent="0.3">
      <c r="A19" s="225">
        <v>1997</v>
      </c>
      <c r="B19" s="447" t="s">
        <v>21</v>
      </c>
      <c r="C19" s="289">
        <v>1.59</v>
      </c>
      <c r="D19" s="446">
        <f t="shared" si="0"/>
        <v>20.840224624122182</v>
      </c>
    </row>
    <row r="20" spans="1:4" ht="16.5" hidden="1" thickBot="1" x14ac:dyDescent="0.3">
      <c r="A20" s="225">
        <v>1997</v>
      </c>
      <c r="B20" s="447" t="s">
        <v>22</v>
      </c>
      <c r="C20" s="289">
        <v>1.67</v>
      </c>
      <c r="D20" s="446">
        <f t="shared" si="0"/>
        <v>21.987093185571016</v>
      </c>
    </row>
    <row r="21" spans="1:4" ht="16.5" hidden="1" thickBot="1" x14ac:dyDescent="0.3">
      <c r="A21" s="225">
        <v>1997</v>
      </c>
      <c r="B21" s="447" t="s">
        <v>23</v>
      </c>
      <c r="C21" s="289">
        <v>3.04</v>
      </c>
      <c r="D21" s="446">
        <f t="shared" si="0"/>
        <v>43.241941956989116</v>
      </c>
    </row>
    <row r="22" spans="1:4" ht="16.5" hidden="1" thickBot="1" x14ac:dyDescent="0.3">
      <c r="A22" s="225">
        <v>1997</v>
      </c>
      <c r="B22" s="447" t="s">
        <v>12</v>
      </c>
      <c r="C22" s="289">
        <v>2.97</v>
      </c>
      <c r="D22" s="446">
        <f t="shared" si="0"/>
        <v>42.078562002958897</v>
      </c>
    </row>
    <row r="23" spans="1:4" ht="16.5" hidden="1" thickBot="1" x14ac:dyDescent="0.3">
      <c r="A23" s="225"/>
      <c r="B23" s="447"/>
      <c r="C23" s="289"/>
      <c r="D23" s="446"/>
    </row>
    <row r="24" spans="1:4" ht="16.5" hidden="1" thickBot="1" x14ac:dyDescent="0.3">
      <c r="A24" s="225">
        <v>1998</v>
      </c>
      <c r="B24" s="447" t="s">
        <v>13</v>
      </c>
      <c r="C24" s="289">
        <v>2.67</v>
      </c>
      <c r="D24" s="446">
        <f t="shared" ref="D24:D35" si="1">100*((1+C24/100)^12-1)</f>
        <v>37.190091028805639</v>
      </c>
    </row>
    <row r="25" spans="1:4" ht="16.5" hidden="1" thickBot="1" x14ac:dyDescent="0.3">
      <c r="A25" s="225">
        <v>1998</v>
      </c>
      <c r="B25" s="447" t="s">
        <v>14</v>
      </c>
      <c r="C25" s="289">
        <v>2.13</v>
      </c>
      <c r="D25" s="446">
        <f t="shared" si="1"/>
        <v>28.777497970699105</v>
      </c>
    </row>
    <row r="26" spans="1:4" ht="16.5" hidden="1" thickBot="1" x14ac:dyDescent="0.3">
      <c r="A26" s="225">
        <v>1998</v>
      </c>
      <c r="B26" s="447" t="s">
        <v>15</v>
      </c>
      <c r="C26" s="289">
        <v>2.2000000000000002</v>
      </c>
      <c r="D26" s="446">
        <f t="shared" si="1"/>
        <v>29.840670516253788</v>
      </c>
    </row>
    <row r="27" spans="1:4" ht="16.5" hidden="1" thickBot="1" x14ac:dyDescent="0.3">
      <c r="A27" s="225">
        <v>1998</v>
      </c>
      <c r="B27" s="447" t="s">
        <v>16</v>
      </c>
      <c r="C27" s="289">
        <v>1.71</v>
      </c>
      <c r="D27" s="446">
        <f t="shared" si="1"/>
        <v>22.564261214267756</v>
      </c>
    </row>
    <row r="28" spans="1:4" ht="16.5" hidden="1" thickBot="1" x14ac:dyDescent="0.3">
      <c r="A28" s="225">
        <v>1998</v>
      </c>
      <c r="B28" s="447" t="s">
        <v>17</v>
      </c>
      <c r="C28" s="289">
        <v>1.63</v>
      </c>
      <c r="D28" s="446">
        <f t="shared" si="1"/>
        <v>21.41241758505863</v>
      </c>
    </row>
    <row r="29" spans="1:4" ht="16.5" hidden="1" thickBot="1" x14ac:dyDescent="0.3">
      <c r="A29" s="225">
        <v>1998</v>
      </c>
      <c r="B29" s="447" t="s">
        <v>18</v>
      </c>
      <c r="C29" s="289">
        <v>1.6</v>
      </c>
      <c r="D29" s="446">
        <f t="shared" si="1"/>
        <v>20.98304065090819</v>
      </c>
    </row>
    <row r="30" spans="1:4" ht="16.5" hidden="1" thickBot="1" x14ac:dyDescent="0.3">
      <c r="A30" s="225">
        <v>1998</v>
      </c>
      <c r="B30" s="447" t="s">
        <v>19</v>
      </c>
      <c r="C30" s="289">
        <v>1.7</v>
      </c>
      <c r="D30" s="446">
        <f t="shared" si="1"/>
        <v>22.419735005332385</v>
      </c>
    </row>
    <row r="31" spans="1:4" ht="16.5" hidden="1" thickBot="1" x14ac:dyDescent="0.3">
      <c r="A31" s="225">
        <v>1998</v>
      </c>
      <c r="B31" s="447" t="s">
        <v>20</v>
      </c>
      <c r="C31" s="289">
        <v>1.48</v>
      </c>
      <c r="D31" s="446">
        <f t="shared" si="1"/>
        <v>19.279415582807637</v>
      </c>
    </row>
    <row r="32" spans="1:4" ht="16.5" hidden="1" thickBot="1" x14ac:dyDescent="0.3">
      <c r="A32" s="225">
        <v>1998</v>
      </c>
      <c r="B32" s="447" t="s">
        <v>21</v>
      </c>
      <c r="C32" s="289">
        <v>2.4900000000000002</v>
      </c>
      <c r="D32" s="446">
        <f t="shared" si="1"/>
        <v>34.331516483804528</v>
      </c>
    </row>
    <row r="33" spans="1:4" ht="16.5" hidden="1" thickBot="1" x14ac:dyDescent="0.3">
      <c r="A33" s="225">
        <v>1998</v>
      </c>
      <c r="B33" s="447" t="s">
        <v>22</v>
      </c>
      <c r="C33" s="289">
        <v>2.94</v>
      </c>
      <c r="D33" s="446">
        <f t="shared" si="1"/>
        <v>41.582627250850649</v>
      </c>
    </row>
    <row r="34" spans="1:4" ht="16.5" hidden="1" thickBot="1" x14ac:dyDescent="0.3">
      <c r="A34" s="225">
        <v>1998</v>
      </c>
      <c r="B34" s="447" t="s">
        <v>23</v>
      </c>
      <c r="C34" s="289">
        <v>2.63</v>
      </c>
      <c r="D34" s="446">
        <f t="shared" si="1"/>
        <v>36.550076208952717</v>
      </c>
    </row>
    <row r="35" spans="1:4" ht="16.5" hidden="1" thickBot="1" x14ac:dyDescent="0.3">
      <c r="A35" s="225">
        <v>1998</v>
      </c>
      <c r="B35" s="447" t="s">
        <v>12</v>
      </c>
      <c r="C35" s="289">
        <v>2.4</v>
      </c>
      <c r="D35" s="446">
        <f t="shared" si="1"/>
        <v>32.922799578491578</v>
      </c>
    </row>
    <row r="36" spans="1:4" ht="16.5" hidden="1" thickBot="1" x14ac:dyDescent="0.3">
      <c r="A36" s="225"/>
      <c r="B36" s="447"/>
      <c r="C36" s="289"/>
      <c r="D36" s="446"/>
    </row>
    <row r="37" spans="1:4" ht="16.5" hidden="1" thickBot="1" x14ac:dyDescent="0.3">
      <c r="A37" s="225">
        <v>1999</v>
      </c>
      <c r="B37" s="447" t="s">
        <v>13</v>
      </c>
      <c r="C37" s="289">
        <v>2.1800000000000002</v>
      </c>
      <c r="D37" s="446">
        <f t="shared" ref="D37:D48" si="2">100*((1+C37/100)^12-1)</f>
        <v>29.536088884774571</v>
      </c>
    </row>
    <row r="38" spans="1:4" ht="16.5" hidden="1" thickBot="1" x14ac:dyDescent="0.3">
      <c r="A38" s="225">
        <v>1999</v>
      </c>
      <c r="B38" s="447" t="s">
        <v>14</v>
      </c>
      <c r="C38" s="289">
        <v>2.38</v>
      </c>
      <c r="D38" s="446">
        <f t="shared" si="2"/>
        <v>32.611596208956371</v>
      </c>
    </row>
    <row r="39" spans="1:4" ht="16.5" hidden="1" thickBot="1" x14ac:dyDescent="0.3">
      <c r="A39" s="225">
        <v>1999</v>
      </c>
      <c r="B39" s="447" t="s">
        <v>15</v>
      </c>
      <c r="C39" s="289">
        <v>3.33</v>
      </c>
      <c r="D39" s="446">
        <f t="shared" si="2"/>
        <v>48.155286505076674</v>
      </c>
    </row>
    <row r="40" spans="1:4" ht="16.5" hidden="1" thickBot="1" x14ac:dyDescent="0.3">
      <c r="A40" s="225">
        <v>1999</v>
      </c>
      <c r="B40" s="447" t="s">
        <v>16</v>
      </c>
      <c r="C40" s="289">
        <v>2.35</v>
      </c>
      <c r="D40" s="446">
        <f t="shared" si="2"/>
        <v>32.146043272603933</v>
      </c>
    </row>
    <row r="41" spans="1:4" ht="16.5" hidden="1" thickBot="1" x14ac:dyDescent="0.3">
      <c r="A41" s="225">
        <v>1999</v>
      </c>
      <c r="B41" s="447" t="s">
        <v>17</v>
      </c>
      <c r="C41" s="289">
        <v>2.02</v>
      </c>
      <c r="D41" s="446">
        <f t="shared" si="2"/>
        <v>27.122911315225217</v>
      </c>
    </row>
    <row r="42" spans="1:4" ht="16.5" hidden="1" thickBot="1" x14ac:dyDescent="0.3">
      <c r="A42" s="225">
        <v>1999</v>
      </c>
      <c r="B42" s="447" t="s">
        <v>18</v>
      </c>
      <c r="C42" s="289">
        <v>1.67</v>
      </c>
      <c r="D42" s="446">
        <f t="shared" si="2"/>
        <v>21.987093185571016</v>
      </c>
    </row>
    <row r="43" spans="1:4" ht="16.5" hidden="1" thickBot="1" x14ac:dyDescent="0.3">
      <c r="A43" s="225">
        <v>1999</v>
      </c>
      <c r="B43" s="447" t="s">
        <v>19</v>
      </c>
      <c r="C43" s="289">
        <v>1.66</v>
      </c>
      <c r="D43" s="446">
        <f t="shared" si="2"/>
        <v>21.84319100326071</v>
      </c>
    </row>
    <row r="44" spans="1:4" ht="16.5" hidden="1" thickBot="1" x14ac:dyDescent="0.3">
      <c r="A44" s="225">
        <v>1999</v>
      </c>
      <c r="B44" s="447" t="s">
        <v>20</v>
      </c>
      <c r="C44" s="289">
        <v>1.57</v>
      </c>
      <c r="D44" s="446">
        <f t="shared" si="2"/>
        <v>20.555056084022063</v>
      </c>
    </row>
    <row r="45" spans="1:4" ht="16.5" hidden="1" thickBot="1" x14ac:dyDescent="0.3">
      <c r="A45" s="225">
        <v>1999</v>
      </c>
      <c r="B45" s="447" t="s">
        <v>21</v>
      </c>
      <c r="C45" s="289">
        <v>1.49</v>
      </c>
      <c r="D45" s="446">
        <f t="shared" si="2"/>
        <v>19.420539844210882</v>
      </c>
    </row>
    <row r="46" spans="1:4" ht="16.5" hidden="1" thickBot="1" x14ac:dyDescent="0.3">
      <c r="A46" s="225">
        <v>1999</v>
      </c>
      <c r="B46" s="447" t="s">
        <v>22</v>
      </c>
      <c r="C46" s="289">
        <v>1.38</v>
      </c>
      <c r="D46" s="446">
        <f t="shared" si="2"/>
        <v>17.876557104592884</v>
      </c>
    </row>
    <row r="47" spans="1:4" ht="16.5" hidden="1" thickBot="1" x14ac:dyDescent="0.3">
      <c r="A47" s="225">
        <v>1999</v>
      </c>
      <c r="B47" s="447" t="s">
        <v>23</v>
      </c>
      <c r="C47" s="289">
        <v>1.39</v>
      </c>
      <c r="D47" s="446">
        <f t="shared" si="2"/>
        <v>18.016159228567098</v>
      </c>
    </row>
    <row r="48" spans="1:4" ht="16.5" hidden="1" thickBot="1" x14ac:dyDescent="0.3">
      <c r="A48" s="225">
        <v>1999</v>
      </c>
      <c r="B48" s="447" t="s">
        <v>12</v>
      </c>
      <c r="C48" s="289">
        <v>1.6</v>
      </c>
      <c r="D48" s="446">
        <f t="shared" si="2"/>
        <v>20.98304065090819</v>
      </c>
    </row>
    <row r="49" spans="1:4" ht="16.5" hidden="1" thickBot="1" x14ac:dyDescent="0.3">
      <c r="A49" s="225"/>
      <c r="B49" s="447"/>
      <c r="C49" s="289"/>
      <c r="D49" s="446"/>
    </row>
    <row r="50" spans="1:4" ht="16.5" hidden="1" thickBot="1" x14ac:dyDescent="0.3">
      <c r="A50" s="225">
        <v>2000</v>
      </c>
      <c r="B50" s="447" t="s">
        <v>13</v>
      </c>
      <c r="C50" s="289">
        <v>1.46</v>
      </c>
      <c r="D50" s="446">
        <f t="shared" ref="D50:D61" si="3">100*((1+C50/100)^12-1)</f>
        <v>18.997625578845877</v>
      </c>
    </row>
    <row r="51" spans="1:4" ht="16.5" hidden="1" thickBot="1" x14ac:dyDescent="0.3">
      <c r="A51" s="225">
        <v>2000</v>
      </c>
      <c r="B51" s="447" t="s">
        <v>14</v>
      </c>
      <c r="C51" s="289">
        <v>1.45</v>
      </c>
      <c r="D51" s="446">
        <f t="shared" si="3"/>
        <v>18.856959535234452</v>
      </c>
    </row>
    <row r="52" spans="1:4" ht="16.5" hidden="1" thickBot="1" x14ac:dyDescent="0.3">
      <c r="A52" s="225">
        <v>2000</v>
      </c>
      <c r="B52" s="447" t="s">
        <v>15</v>
      </c>
      <c r="C52" s="289">
        <v>1.45</v>
      </c>
      <c r="D52" s="446">
        <f t="shared" si="3"/>
        <v>18.856959535234452</v>
      </c>
    </row>
    <row r="53" spans="1:4" ht="16.5" hidden="1" thickBot="1" x14ac:dyDescent="0.3">
      <c r="A53" s="225">
        <v>2000</v>
      </c>
      <c r="B53" s="447" t="s">
        <v>16</v>
      </c>
      <c r="C53" s="289">
        <v>1.3</v>
      </c>
      <c r="D53" s="446">
        <f t="shared" si="3"/>
        <v>16.765177626913008</v>
      </c>
    </row>
    <row r="54" spans="1:4" ht="16.5" hidden="1" thickBot="1" x14ac:dyDescent="0.3">
      <c r="A54" s="225">
        <v>2000</v>
      </c>
      <c r="B54" s="447" t="s">
        <v>17</v>
      </c>
      <c r="C54" s="289">
        <v>1.49</v>
      </c>
      <c r="D54" s="446">
        <f t="shared" si="3"/>
        <v>19.420539844210882</v>
      </c>
    </row>
    <row r="55" spans="1:4" ht="16.5" hidden="1" thickBot="1" x14ac:dyDescent="0.3">
      <c r="A55" s="225">
        <v>2000</v>
      </c>
      <c r="B55" s="447" t="s">
        <v>18</v>
      </c>
      <c r="C55" s="289">
        <v>1.39</v>
      </c>
      <c r="D55" s="446">
        <f t="shared" si="3"/>
        <v>18.016159228567098</v>
      </c>
    </row>
    <row r="56" spans="1:4" ht="16.5" hidden="1" thickBot="1" x14ac:dyDescent="0.3">
      <c r="A56" s="225">
        <v>2000</v>
      </c>
      <c r="B56" s="447" t="s">
        <v>19</v>
      </c>
      <c r="C56" s="289">
        <v>1.31</v>
      </c>
      <c r="D56" s="446">
        <f t="shared" si="3"/>
        <v>16.903572803833168</v>
      </c>
    </row>
    <row r="57" spans="1:4" ht="16.5" hidden="1" thickBot="1" x14ac:dyDescent="0.3">
      <c r="A57" s="225">
        <v>2000</v>
      </c>
      <c r="B57" s="447" t="s">
        <v>20</v>
      </c>
      <c r="C57" s="289">
        <v>1.41</v>
      </c>
      <c r="D57" s="446">
        <f t="shared" si="3"/>
        <v>18.29581824385642</v>
      </c>
    </row>
    <row r="58" spans="1:4" ht="16.5" hidden="1" thickBot="1" x14ac:dyDescent="0.3">
      <c r="A58" s="225">
        <v>2000</v>
      </c>
      <c r="B58" s="447" t="s">
        <v>21</v>
      </c>
      <c r="C58" s="289">
        <v>1.22</v>
      </c>
      <c r="D58" s="446">
        <f t="shared" si="3"/>
        <v>15.663410959937174</v>
      </c>
    </row>
    <row r="59" spans="1:4" ht="16.5" hidden="1" thickBot="1" x14ac:dyDescent="0.3">
      <c r="A59" s="225">
        <v>2000</v>
      </c>
      <c r="B59" s="447" t="s">
        <v>22</v>
      </c>
      <c r="C59" s="289">
        <v>1.38</v>
      </c>
      <c r="D59" s="446">
        <f t="shared" si="3"/>
        <v>17.876557104592884</v>
      </c>
    </row>
    <row r="60" spans="1:4" ht="16.5" hidden="1" thickBot="1" x14ac:dyDescent="0.3">
      <c r="A60" s="225">
        <v>2000</v>
      </c>
      <c r="B60" s="447" t="s">
        <v>23</v>
      </c>
      <c r="C60" s="289">
        <v>1.39</v>
      </c>
      <c r="D60" s="446">
        <f t="shared" si="3"/>
        <v>18.016159228567098</v>
      </c>
    </row>
    <row r="61" spans="1:4" ht="16.5" hidden="1" thickBot="1" x14ac:dyDescent="0.3">
      <c r="A61" s="225">
        <v>2000</v>
      </c>
      <c r="B61" s="447" t="s">
        <v>12</v>
      </c>
      <c r="C61" s="289">
        <v>1.6</v>
      </c>
      <c r="D61" s="446">
        <f t="shared" si="3"/>
        <v>20.98304065090819</v>
      </c>
    </row>
    <row r="62" spans="1:4" ht="16.5" hidden="1" thickBot="1" x14ac:dyDescent="0.3">
      <c r="A62" s="225"/>
      <c r="B62" s="447"/>
      <c r="C62" s="289"/>
      <c r="D62" s="446"/>
    </row>
    <row r="63" spans="1:4" ht="16.5" hidden="1" thickBot="1" x14ac:dyDescent="0.3">
      <c r="A63" s="225">
        <v>2001</v>
      </c>
      <c r="B63" s="447" t="s">
        <v>13</v>
      </c>
      <c r="C63" s="289">
        <v>1.27</v>
      </c>
      <c r="D63" s="446">
        <f t="shared" ref="D63:D126" si="4">100*((1+C63/100)^12-1)</f>
        <v>16.350892700314201</v>
      </c>
    </row>
    <row r="64" spans="1:4" ht="16.5" hidden="1" thickBot="1" x14ac:dyDescent="0.3">
      <c r="A64" s="225">
        <v>2001</v>
      </c>
      <c r="B64" s="447" t="s">
        <v>14</v>
      </c>
      <c r="C64" s="289">
        <v>1.02</v>
      </c>
      <c r="D64" s="446">
        <f t="shared" si="4"/>
        <v>12.950555229212203</v>
      </c>
    </row>
    <row r="65" spans="1:4" ht="16.5" hidden="1" thickBot="1" x14ac:dyDescent="0.3">
      <c r="A65" s="225">
        <v>2001</v>
      </c>
      <c r="B65" s="447" t="s">
        <v>15</v>
      </c>
      <c r="C65" s="289">
        <v>1.26</v>
      </c>
      <c r="D65" s="446">
        <f t="shared" si="4"/>
        <v>16.213097432586608</v>
      </c>
    </row>
    <row r="66" spans="1:4" ht="16.5" hidden="1" thickBot="1" x14ac:dyDescent="0.3">
      <c r="A66" s="225">
        <v>2001</v>
      </c>
      <c r="B66" s="447" t="s">
        <v>16</v>
      </c>
      <c r="C66" s="289">
        <v>1.19</v>
      </c>
      <c r="D66" s="446">
        <f t="shared" si="4"/>
        <v>15.252711305920341</v>
      </c>
    </row>
    <row r="67" spans="1:4" ht="16.5" hidden="1" thickBot="1" x14ac:dyDescent="0.3">
      <c r="A67" s="225">
        <v>2001</v>
      </c>
      <c r="B67" s="447" t="s">
        <v>17</v>
      </c>
      <c r="C67" s="289">
        <v>1.34</v>
      </c>
      <c r="D67" s="446">
        <f t="shared" si="4"/>
        <v>17.319661015484677</v>
      </c>
    </row>
    <row r="68" spans="1:4" ht="16.5" hidden="1" thickBot="1" x14ac:dyDescent="0.3">
      <c r="A68" s="225">
        <v>2001</v>
      </c>
      <c r="B68" s="447" t="s">
        <v>18</v>
      </c>
      <c r="C68" s="289">
        <v>1.27</v>
      </c>
      <c r="D68" s="446">
        <f t="shared" si="4"/>
        <v>16.350892700314201</v>
      </c>
    </row>
    <row r="69" spans="1:4" ht="16.5" hidden="1" thickBot="1" x14ac:dyDescent="0.3">
      <c r="A69" s="225">
        <v>2001</v>
      </c>
      <c r="B69" s="447" t="s">
        <v>19</v>
      </c>
      <c r="C69" s="289">
        <v>1.5</v>
      </c>
      <c r="D69" s="446">
        <f t="shared" si="4"/>
        <v>19.561817146153327</v>
      </c>
    </row>
    <row r="70" spans="1:4" ht="16.5" hidden="1" thickBot="1" x14ac:dyDescent="0.3">
      <c r="A70" s="225">
        <v>2001</v>
      </c>
      <c r="B70" s="447" t="s">
        <v>20</v>
      </c>
      <c r="C70" s="289">
        <v>1.6</v>
      </c>
      <c r="D70" s="446">
        <f t="shared" si="4"/>
        <v>20.98304065090819</v>
      </c>
    </row>
    <row r="71" spans="1:4" ht="16.5" hidden="1" thickBot="1" x14ac:dyDescent="0.3">
      <c r="A71" s="225">
        <v>2001</v>
      </c>
      <c r="B71" s="447" t="s">
        <v>21</v>
      </c>
      <c r="C71" s="289">
        <v>1.32</v>
      </c>
      <c r="D71" s="446">
        <f t="shared" si="4"/>
        <v>17.04211832856668</v>
      </c>
    </row>
    <row r="72" spans="1:4" ht="16.5" hidden="1" thickBot="1" x14ac:dyDescent="0.3">
      <c r="A72" s="225">
        <v>2001</v>
      </c>
      <c r="B72" s="447" t="s">
        <v>22</v>
      </c>
      <c r="C72" s="289">
        <v>1.53</v>
      </c>
      <c r="D72" s="446">
        <f t="shared" si="4"/>
        <v>19.986568804493388</v>
      </c>
    </row>
    <row r="73" spans="1:4" ht="16.5" hidden="1" thickBot="1" x14ac:dyDescent="0.3">
      <c r="A73" s="225">
        <v>2001</v>
      </c>
      <c r="B73" s="447" t="s">
        <v>23</v>
      </c>
      <c r="C73" s="289">
        <v>1.39</v>
      </c>
      <c r="D73" s="446">
        <f t="shared" si="4"/>
        <v>18.016159228567098</v>
      </c>
    </row>
    <row r="74" spans="1:4" ht="16.5" hidden="1" thickBot="1" x14ac:dyDescent="0.3">
      <c r="A74" s="225">
        <v>2001</v>
      </c>
      <c r="B74" s="447" t="s">
        <v>12</v>
      </c>
      <c r="C74" s="289">
        <v>1.39</v>
      </c>
      <c r="D74" s="446">
        <f t="shared" si="4"/>
        <v>18.016159228567098</v>
      </c>
    </row>
    <row r="75" spans="1:4" ht="16.5" hidden="1" thickBot="1" x14ac:dyDescent="0.3">
      <c r="A75" s="225"/>
      <c r="B75" s="447"/>
      <c r="C75" s="289"/>
      <c r="D75" s="446"/>
    </row>
    <row r="76" spans="1:4" ht="16.5" hidden="1" thickBot="1" x14ac:dyDescent="0.3">
      <c r="A76" s="225">
        <v>2002</v>
      </c>
      <c r="B76" s="447" t="s">
        <v>13</v>
      </c>
      <c r="C76" s="289">
        <v>1.5339589999999959</v>
      </c>
      <c r="D76" s="446">
        <f t="shared" si="4"/>
        <v>20.042725059608447</v>
      </c>
    </row>
    <row r="77" spans="1:4" ht="16.5" hidden="1" thickBot="1" x14ac:dyDescent="0.3">
      <c r="A77" s="225">
        <v>2002</v>
      </c>
      <c r="B77" s="447" t="s">
        <v>14</v>
      </c>
      <c r="C77" s="289">
        <v>1.2482150000000019</v>
      </c>
      <c r="D77" s="446">
        <f t="shared" si="4"/>
        <v>16.050897746535963</v>
      </c>
    </row>
    <row r="78" spans="1:4" ht="16.5" hidden="1" thickBot="1" x14ac:dyDescent="0.3">
      <c r="A78" s="225">
        <v>2002</v>
      </c>
      <c r="B78" s="447" t="s">
        <v>15</v>
      </c>
      <c r="C78" s="289">
        <v>1.371333000000007</v>
      </c>
      <c r="D78" s="446">
        <f t="shared" si="4"/>
        <v>17.755686413595907</v>
      </c>
    </row>
    <row r="79" spans="1:4" ht="16.5" hidden="1" thickBot="1" x14ac:dyDescent="0.3">
      <c r="A79" s="225">
        <v>2002</v>
      </c>
      <c r="B79" s="447" t="s">
        <v>16</v>
      </c>
      <c r="C79" s="289">
        <v>1.4835670000000079</v>
      </c>
      <c r="D79" s="446">
        <f t="shared" si="4"/>
        <v>19.329737057593821</v>
      </c>
    </row>
    <row r="80" spans="1:4" ht="16.5" hidden="1" thickBot="1" x14ac:dyDescent="0.3">
      <c r="A80" s="225">
        <v>2002</v>
      </c>
      <c r="B80" s="447" t="s">
        <v>17</v>
      </c>
      <c r="C80" s="289">
        <v>1.4149890000000056</v>
      </c>
      <c r="D80" s="446">
        <f t="shared" si="4"/>
        <v>18.365673787131232</v>
      </c>
    </row>
    <row r="81" spans="1:4" ht="16.5" hidden="1" thickBot="1" x14ac:dyDescent="0.3">
      <c r="A81" s="225">
        <v>2002</v>
      </c>
      <c r="B81" s="447" t="s">
        <v>18</v>
      </c>
      <c r="C81" s="289">
        <v>1.3290329999999955</v>
      </c>
      <c r="D81" s="446">
        <f t="shared" si="4"/>
        <v>17.167395867376143</v>
      </c>
    </row>
    <row r="82" spans="1:4" ht="16.5" hidden="1" thickBot="1" x14ac:dyDescent="0.3">
      <c r="A82" s="225">
        <v>2002</v>
      </c>
      <c r="B82" s="447" t="s">
        <v>19</v>
      </c>
      <c r="C82" s="289">
        <v>1.5354349999999926</v>
      </c>
      <c r="D82" s="446">
        <f>100*((1+C82/100)^12-1)</f>
        <v>20.063667478995974</v>
      </c>
    </row>
    <row r="83" spans="1:4" ht="16.5" hidden="1" thickBot="1" x14ac:dyDescent="0.3">
      <c r="A83" s="225">
        <v>2002</v>
      </c>
      <c r="B83" s="447" t="s">
        <v>20</v>
      </c>
      <c r="C83" s="289">
        <v>1.443404000000001</v>
      </c>
      <c r="D83" s="446">
        <f t="shared" si="4"/>
        <v>18.764259657253234</v>
      </c>
    </row>
    <row r="84" spans="1:4" ht="16.5" hidden="1" thickBot="1" x14ac:dyDescent="0.3">
      <c r="A84" s="225">
        <v>2002</v>
      </c>
      <c r="B84" s="447" t="s">
        <v>21</v>
      </c>
      <c r="C84" s="289">
        <v>1.3812659999999966</v>
      </c>
      <c r="D84" s="446">
        <f t="shared" si="4"/>
        <v>17.894222360613512</v>
      </c>
    </row>
    <row r="85" spans="1:4" ht="16.5" hidden="1" thickBot="1" x14ac:dyDescent="0.3">
      <c r="A85" s="225">
        <v>2002</v>
      </c>
      <c r="B85" s="447" t="s">
        <v>22</v>
      </c>
      <c r="C85" s="289">
        <v>1.6459250000000054</v>
      </c>
      <c r="D85" s="446">
        <f t="shared" si="4"/>
        <v>21.640912315833138</v>
      </c>
    </row>
    <row r="86" spans="1:4" ht="16.5" hidden="1" thickBot="1" x14ac:dyDescent="0.3">
      <c r="A86" s="225">
        <v>2002</v>
      </c>
      <c r="B86" s="447" t="s">
        <v>23</v>
      </c>
      <c r="C86" s="289">
        <v>1.5409309999999863</v>
      </c>
      <c r="D86" s="446">
        <f t="shared" si="4"/>
        <v>20.141677651627042</v>
      </c>
    </row>
    <row r="87" spans="1:4" ht="16.5" hidden="1" thickBot="1" x14ac:dyDescent="0.3">
      <c r="A87" s="225">
        <v>2002</v>
      </c>
      <c r="B87" s="447" t="s">
        <v>12</v>
      </c>
      <c r="C87" s="289">
        <v>1.7424490000000077</v>
      </c>
      <c r="D87" s="446">
        <f t="shared" si="4"/>
        <v>23.034312185940141</v>
      </c>
    </row>
    <row r="88" spans="1:4" ht="16.5" hidden="1" thickBot="1" x14ac:dyDescent="0.3">
      <c r="A88" s="225">
        <v>2003</v>
      </c>
      <c r="B88" s="447" t="s">
        <v>13</v>
      </c>
      <c r="C88" s="289">
        <v>1.971266</v>
      </c>
      <c r="D88" s="446">
        <f t="shared" si="4"/>
        <v>26.39611768395018</v>
      </c>
    </row>
    <row r="89" spans="1:4" ht="16.5" hidden="1" thickBot="1" x14ac:dyDescent="0.3">
      <c r="A89" s="225">
        <v>2003</v>
      </c>
      <c r="B89" s="268" t="s">
        <v>14</v>
      </c>
      <c r="C89" s="289">
        <v>1.830379999999991</v>
      </c>
      <c r="D89" s="446">
        <f t="shared" si="4"/>
        <v>24.316385093939186</v>
      </c>
    </row>
    <row r="90" spans="1:4" ht="16.5" hidden="1" thickBot="1" x14ac:dyDescent="0.3">
      <c r="A90" s="225">
        <v>2003</v>
      </c>
      <c r="B90" s="268" t="s">
        <v>15</v>
      </c>
      <c r="C90" s="289">
        <v>1.7770189999999957</v>
      </c>
      <c r="D90" s="446">
        <f t="shared" si="4"/>
        <v>23.536905201482661</v>
      </c>
    </row>
    <row r="91" spans="1:4" ht="16.5" hidden="1" thickBot="1" x14ac:dyDescent="0.3">
      <c r="A91" s="225">
        <v>2003</v>
      </c>
      <c r="B91" s="268" t="s">
        <v>16</v>
      </c>
      <c r="C91" s="289">
        <v>1.8715949999999992</v>
      </c>
      <c r="D91" s="446">
        <f t="shared" si="4"/>
        <v>24.921523282640813</v>
      </c>
    </row>
    <row r="92" spans="1:4" ht="16.5" hidden="1" thickBot="1" x14ac:dyDescent="0.3">
      <c r="A92" s="225">
        <v>2003</v>
      </c>
      <c r="B92" s="268" t="s">
        <v>17</v>
      </c>
      <c r="C92" s="289">
        <v>1.96535200000001</v>
      </c>
      <c r="D92" s="446">
        <f t="shared" si="4"/>
        <v>26.308178999941312</v>
      </c>
    </row>
    <row r="93" spans="1:4" ht="16.5" hidden="1" thickBot="1" x14ac:dyDescent="0.3">
      <c r="A93" s="225">
        <v>2003</v>
      </c>
      <c r="B93" s="268" t="s">
        <v>18</v>
      </c>
      <c r="C93" s="289">
        <v>1.8566789999999997</v>
      </c>
      <c r="D93" s="446">
        <f t="shared" si="4"/>
        <v>24.702208414409288</v>
      </c>
    </row>
    <row r="94" spans="1:4" ht="16.5" hidden="1" thickBot="1" x14ac:dyDescent="0.3">
      <c r="A94" s="225">
        <v>2003</v>
      </c>
      <c r="B94" s="268" t="s">
        <v>19</v>
      </c>
      <c r="C94" s="289">
        <v>2.0842470000000048</v>
      </c>
      <c r="D94" s="446">
        <f t="shared" si="4"/>
        <v>28.086912113466099</v>
      </c>
    </row>
    <row r="95" spans="1:4" ht="16.5" hidden="1" thickBot="1" x14ac:dyDescent="0.3">
      <c r="A95" s="225">
        <v>2003</v>
      </c>
      <c r="B95" s="268" t="s">
        <v>20</v>
      </c>
      <c r="C95" s="289">
        <v>1.7742609999999956</v>
      </c>
      <c r="D95" s="446">
        <f t="shared" si="4"/>
        <v>23.496739276581046</v>
      </c>
    </row>
    <row r="96" spans="1:4" ht="16.5" hidden="1" thickBot="1" x14ac:dyDescent="0.3">
      <c r="A96" s="225">
        <v>2003</v>
      </c>
      <c r="B96" s="268" t="s">
        <v>21</v>
      </c>
      <c r="C96" s="289">
        <v>1.6795089999999959</v>
      </c>
      <c r="D96" s="446">
        <f t="shared" si="4"/>
        <v>22.124074259823434</v>
      </c>
    </row>
    <row r="97" spans="1:4" ht="16.5" hidden="1" thickBot="1" x14ac:dyDescent="0.3">
      <c r="A97" s="225">
        <v>2003</v>
      </c>
      <c r="B97" s="268" t="s">
        <v>22</v>
      </c>
      <c r="C97" s="289">
        <v>1.6420600000000007</v>
      </c>
      <c r="D97" s="446">
        <f t="shared" si="4"/>
        <v>21.585420412966339</v>
      </c>
    </row>
    <row r="98" spans="1:4" ht="16.5" hidden="1" thickBot="1" x14ac:dyDescent="0.3">
      <c r="A98" s="225">
        <v>2003</v>
      </c>
      <c r="B98" s="268" t="s">
        <v>23</v>
      </c>
      <c r="C98" s="289">
        <v>1.3435309999999987</v>
      </c>
      <c r="D98" s="446">
        <f t="shared" si="4"/>
        <v>17.368723788606609</v>
      </c>
    </row>
    <row r="99" spans="1:4" ht="16.5" hidden="1" thickBot="1" x14ac:dyDescent="0.3">
      <c r="A99" s="225">
        <v>2003</v>
      </c>
      <c r="B99" s="268" t="s">
        <v>12</v>
      </c>
      <c r="C99" s="289">
        <v>1.3732499999999987</v>
      </c>
      <c r="D99" s="446">
        <f t="shared" si="4"/>
        <v>17.782411262642995</v>
      </c>
    </row>
    <row r="100" spans="1:4" ht="16.5" hidden="1" thickBot="1" x14ac:dyDescent="0.3">
      <c r="A100" s="225">
        <v>2004</v>
      </c>
      <c r="B100" s="268" t="s">
        <v>13</v>
      </c>
      <c r="C100" s="289">
        <v>1.2675509999999974</v>
      </c>
      <c r="D100" s="446">
        <f t="shared" si="4"/>
        <v>16.317132798251912</v>
      </c>
    </row>
    <row r="101" spans="1:4" ht="16.5" hidden="1" thickBot="1" x14ac:dyDescent="0.3">
      <c r="A101" s="225">
        <v>2004</v>
      </c>
      <c r="B101" s="268" t="s">
        <v>14</v>
      </c>
      <c r="C101" s="289">
        <v>1.0843940000000032</v>
      </c>
      <c r="D101" s="446">
        <f t="shared" si="4"/>
        <v>13.817578628064098</v>
      </c>
    </row>
    <row r="102" spans="1:4" ht="16.5" hidden="1" thickBot="1" x14ac:dyDescent="0.3">
      <c r="A102" s="225">
        <v>2004</v>
      </c>
      <c r="B102" s="268" t="s">
        <v>15</v>
      </c>
      <c r="C102" s="289">
        <v>1.379123000000007</v>
      </c>
      <c r="D102" s="446">
        <f t="shared" si="4"/>
        <v>17.864321221123959</v>
      </c>
    </row>
    <row r="103" spans="1:4" ht="16.5" hidden="1" thickBot="1" x14ac:dyDescent="0.3">
      <c r="A103" s="225">
        <v>2004</v>
      </c>
      <c r="B103" s="268" t="s">
        <v>16</v>
      </c>
      <c r="C103" s="289">
        <v>1.1818499999999972</v>
      </c>
      <c r="D103" s="446">
        <f t="shared" si="4"/>
        <v>15.141369045045639</v>
      </c>
    </row>
    <row r="104" spans="1:4" ht="16.5" hidden="1" thickBot="1" x14ac:dyDescent="0.3">
      <c r="A104" s="225">
        <v>2004</v>
      </c>
      <c r="B104" s="268" t="s">
        <v>17</v>
      </c>
      <c r="C104" s="289">
        <v>1.2278049999999894</v>
      </c>
      <c r="D104" s="446">
        <f t="shared" si="4"/>
        <v>15.770481010838644</v>
      </c>
    </row>
    <row r="105" spans="1:4" ht="16.5" hidden="1" thickBot="1" x14ac:dyDescent="0.3">
      <c r="A105" s="225">
        <v>2004</v>
      </c>
      <c r="B105" s="268" t="s">
        <v>32</v>
      </c>
      <c r="C105" s="289">
        <v>1.229889</v>
      </c>
      <c r="D105" s="446">
        <f t="shared" si="4"/>
        <v>15.799084970324696</v>
      </c>
    </row>
    <row r="106" spans="1:4" ht="16.5" hidden="1" thickBot="1" x14ac:dyDescent="0.3">
      <c r="A106" s="225">
        <v>2004</v>
      </c>
      <c r="B106" s="268" t="s">
        <v>33</v>
      </c>
      <c r="C106" s="289">
        <v>1.2868890000000022</v>
      </c>
      <c r="D106" s="446">
        <f t="shared" si="4"/>
        <v>16.583955245619663</v>
      </c>
    </row>
    <row r="107" spans="1:4" ht="16.5" hidden="1" thickBot="1" x14ac:dyDescent="0.3">
      <c r="A107" s="225">
        <v>2004</v>
      </c>
      <c r="B107" s="268" t="s">
        <v>20</v>
      </c>
      <c r="C107" s="289">
        <v>1.2935860000000048</v>
      </c>
      <c r="D107" s="446">
        <f t="shared" si="4"/>
        <v>16.676490034315215</v>
      </c>
    </row>
    <row r="108" spans="1:4" ht="16.5" hidden="1" thickBot="1" x14ac:dyDescent="0.3">
      <c r="A108" s="225">
        <v>2004</v>
      </c>
      <c r="B108" s="268" t="s">
        <v>21</v>
      </c>
      <c r="C108" s="289">
        <v>1.2513269999999892</v>
      </c>
      <c r="D108" s="446">
        <f t="shared" si="4"/>
        <v>16.093708747497516</v>
      </c>
    </row>
    <row r="109" spans="1:4" ht="16.5" hidden="1" thickBot="1" x14ac:dyDescent="0.3">
      <c r="A109" s="225">
        <v>2004</v>
      </c>
      <c r="B109" s="268" t="s">
        <v>22</v>
      </c>
      <c r="C109" s="289">
        <v>1.2132239999999967</v>
      </c>
      <c r="D109" s="446">
        <f t="shared" si="4"/>
        <v>15.570530488681422</v>
      </c>
    </row>
    <row r="110" spans="1:4" ht="16.5" hidden="1" thickBot="1" x14ac:dyDescent="0.3">
      <c r="A110" s="225">
        <v>2004</v>
      </c>
      <c r="B110" s="268" t="s">
        <v>23</v>
      </c>
      <c r="C110" s="289">
        <v>1.2509859999999975</v>
      </c>
      <c r="D110" s="446">
        <f t="shared" si="4"/>
        <v>16.08901699015659</v>
      </c>
    </row>
    <row r="111" spans="1:4" ht="16.5" hidden="1" thickBot="1" x14ac:dyDescent="0.3">
      <c r="A111" s="225">
        <v>2004</v>
      </c>
      <c r="B111" s="268" t="s">
        <v>12</v>
      </c>
      <c r="C111" s="289">
        <v>1.4828229999999962</v>
      </c>
      <c r="D111" s="446">
        <f t="shared" si="4"/>
        <v>19.319239467026783</v>
      </c>
    </row>
    <row r="112" spans="1:4" ht="16.5" hidden="1" thickBot="1" x14ac:dyDescent="0.3">
      <c r="A112" s="225">
        <v>2005</v>
      </c>
      <c r="B112" s="268" t="s">
        <v>13</v>
      </c>
      <c r="C112" s="289">
        <v>1.3838819999999856</v>
      </c>
      <c r="D112" s="446">
        <f>100*((1+C112/100)^12-1)</f>
        <v>17.930732663308071</v>
      </c>
    </row>
    <row r="113" spans="1:4" ht="16.5" hidden="1" thickBot="1" x14ac:dyDescent="0.3">
      <c r="A113" s="225">
        <v>2005</v>
      </c>
      <c r="B113" s="268" t="s">
        <v>14</v>
      </c>
      <c r="C113" s="289">
        <v>1.2181860000000029</v>
      </c>
      <c r="D113" s="446">
        <f t="shared" si="4"/>
        <v>15.638539264864804</v>
      </c>
    </row>
    <row r="114" spans="1:4" ht="16.5" hidden="1" thickBot="1" x14ac:dyDescent="0.3">
      <c r="A114" s="225">
        <v>2005</v>
      </c>
      <c r="B114" s="268" t="s">
        <v>15</v>
      </c>
      <c r="C114" s="289">
        <v>1.5281779999999969</v>
      </c>
      <c r="D114" s="446">
        <f t="shared" si="4"/>
        <v>19.960732820765493</v>
      </c>
    </row>
    <row r="115" spans="1:4" ht="16.5" hidden="1" thickBot="1" x14ac:dyDescent="0.3">
      <c r="A115" s="225">
        <v>2005</v>
      </c>
      <c r="B115" s="268" t="s">
        <v>16</v>
      </c>
      <c r="C115" s="289">
        <v>1.4115289999999874</v>
      </c>
      <c r="D115" s="446">
        <f t="shared" si="4"/>
        <v>18.317223151378425</v>
      </c>
    </row>
    <row r="116" spans="1:4" ht="16.5" hidden="1" thickBot="1" x14ac:dyDescent="0.3">
      <c r="A116" s="225">
        <v>2005</v>
      </c>
      <c r="B116" s="268" t="s">
        <v>17</v>
      </c>
      <c r="C116" s="289">
        <v>1.5030649999999923</v>
      </c>
      <c r="D116" s="446">
        <f t="shared" si="4"/>
        <v>19.60514930436732</v>
      </c>
    </row>
    <row r="117" spans="1:4" ht="16.5" hidden="1" thickBot="1" x14ac:dyDescent="0.3">
      <c r="A117" s="225">
        <v>2005</v>
      </c>
      <c r="B117" s="268" t="s">
        <v>18</v>
      </c>
      <c r="C117" s="289">
        <v>1.5856029999999919</v>
      </c>
      <c r="D117" s="446">
        <f t="shared" si="4"/>
        <v>20.777477345640239</v>
      </c>
    </row>
    <row r="118" spans="1:4" ht="16.5" hidden="1" thickBot="1" x14ac:dyDescent="0.3">
      <c r="A118" s="225">
        <v>2005</v>
      </c>
      <c r="B118" s="268" t="s">
        <v>19</v>
      </c>
      <c r="C118" s="289">
        <v>1.5113450000000057</v>
      </c>
      <c r="D118" s="446">
        <f t="shared" si="4"/>
        <v>19.722281736802927</v>
      </c>
    </row>
    <row r="119" spans="1:4" ht="16.5" hidden="1" thickBot="1" x14ac:dyDescent="0.3">
      <c r="A119" s="225">
        <v>2005</v>
      </c>
      <c r="B119" s="268" t="s">
        <v>20</v>
      </c>
      <c r="C119" s="289">
        <v>1.6584830000000039</v>
      </c>
      <c r="D119" s="446">
        <f t="shared" si="4"/>
        <v>21.821374640696224</v>
      </c>
    </row>
    <row r="120" spans="1:4" ht="16.5" hidden="1" thickBot="1" x14ac:dyDescent="0.3">
      <c r="A120" s="225">
        <v>2005</v>
      </c>
      <c r="B120" s="268" t="s">
        <v>21</v>
      </c>
      <c r="C120" s="289">
        <v>1.503136000000012</v>
      </c>
      <c r="D120" s="446">
        <f>100*((1+C120/100)^12-1)</f>
        <v>19.606153254142189</v>
      </c>
    </row>
    <row r="121" spans="1:4" ht="16.5" hidden="1" thickBot="1" x14ac:dyDescent="0.3">
      <c r="A121" s="225">
        <v>2005</v>
      </c>
      <c r="B121" s="268" t="s">
        <v>35</v>
      </c>
      <c r="C121" s="289">
        <v>1.4071640000000087</v>
      </c>
      <c r="D121" s="446">
        <f t="shared" si="4"/>
        <v>18.256125667935329</v>
      </c>
    </row>
    <row r="122" spans="1:4" ht="16.5" hidden="1" thickBot="1" x14ac:dyDescent="0.3">
      <c r="A122" s="225">
        <v>2005</v>
      </c>
      <c r="B122" s="268" t="s">
        <v>23</v>
      </c>
      <c r="C122" s="289">
        <v>1.3810410000000104</v>
      </c>
      <c r="D122" s="446">
        <f t="shared" si="4"/>
        <v>17.891082623584566</v>
      </c>
    </row>
    <row r="123" spans="1:4" ht="16.5" hidden="1" thickBot="1" x14ac:dyDescent="0.3">
      <c r="A123" s="225">
        <v>2005</v>
      </c>
      <c r="B123" s="268" t="s">
        <v>26</v>
      </c>
      <c r="C123" s="289">
        <v>1.4735720000000043</v>
      </c>
      <c r="D123" s="446">
        <f t="shared" si="4"/>
        <v>19.18878164224531</v>
      </c>
    </row>
    <row r="124" spans="1:4" ht="16.5" hidden="1" thickBot="1" x14ac:dyDescent="0.3">
      <c r="A124" s="225">
        <v>2006</v>
      </c>
      <c r="B124" s="268" t="s">
        <v>27</v>
      </c>
      <c r="C124" s="289">
        <v>1.4293169999999975</v>
      </c>
      <c r="D124" s="446">
        <f t="shared" si="4"/>
        <v>18.566503487243313</v>
      </c>
    </row>
    <row r="125" spans="1:4" ht="16.5" hidden="1" thickBot="1" x14ac:dyDescent="0.3">
      <c r="A125" s="225">
        <v>2006</v>
      </c>
      <c r="B125" s="268" t="s">
        <v>14</v>
      </c>
      <c r="C125" s="289">
        <v>1.1450629999999933</v>
      </c>
      <c r="D125" s="446">
        <f t="shared" si="4"/>
        <v>14.64002467999126</v>
      </c>
    </row>
    <row r="126" spans="1:4" ht="16.5" hidden="1" thickBot="1" x14ac:dyDescent="0.3">
      <c r="A126" s="225">
        <v>2006</v>
      </c>
      <c r="B126" s="268" t="s">
        <v>15</v>
      </c>
      <c r="C126" s="289">
        <v>1.422302000000002</v>
      </c>
      <c r="D126" s="446">
        <f t="shared" si="4"/>
        <v>18.468138115100817</v>
      </c>
    </row>
    <row r="127" spans="1:4" ht="16.5" hidden="1" thickBot="1" x14ac:dyDescent="0.3">
      <c r="A127" s="225">
        <v>2006</v>
      </c>
      <c r="B127" s="268" t="s">
        <v>30</v>
      </c>
      <c r="C127" s="289">
        <v>1.0778780000000125</v>
      </c>
      <c r="D127" s="446">
        <f t="shared" ref="D127:D190" si="5">100*((1+C127/100)^12-1)</f>
        <v>13.729568311122486</v>
      </c>
    </row>
    <row r="128" spans="1:4" ht="16.5" hidden="1" thickBot="1" x14ac:dyDescent="0.3">
      <c r="A128" s="225">
        <v>2006</v>
      </c>
      <c r="B128" s="268" t="s">
        <v>31</v>
      </c>
      <c r="C128" s="289">
        <v>1.2813659999999913</v>
      </c>
      <c r="D128" s="446">
        <f t="shared" si="5"/>
        <v>16.507692647078144</v>
      </c>
    </row>
    <row r="129" spans="1:4" ht="16.5" hidden="1" thickBot="1" x14ac:dyDescent="0.3">
      <c r="A129" s="225">
        <v>2006</v>
      </c>
      <c r="B129" s="268" t="s">
        <v>32</v>
      </c>
      <c r="C129" s="289">
        <v>1.1843940000000117</v>
      </c>
      <c r="D129" s="446">
        <f t="shared" si="5"/>
        <v>15.176113634456122</v>
      </c>
    </row>
    <row r="130" spans="1:4" ht="16.5" hidden="1" thickBot="1" x14ac:dyDescent="0.3">
      <c r="A130" s="225">
        <v>2006</v>
      </c>
      <c r="B130" s="268" t="s">
        <v>33</v>
      </c>
      <c r="C130" s="289">
        <v>1.1699659999999881</v>
      </c>
      <c r="D130" s="446">
        <f t="shared" si="5"/>
        <v>14.979190972832956</v>
      </c>
    </row>
    <row r="131" spans="1:4" ht="16.5" hidden="1" thickBot="1" x14ac:dyDescent="0.3">
      <c r="A131" s="225">
        <v>2006</v>
      </c>
      <c r="B131" s="268" t="s">
        <v>34</v>
      </c>
      <c r="C131" s="289">
        <v>1.2562649999999991</v>
      </c>
      <c r="D131" s="446">
        <f t="shared" si="5"/>
        <v>16.16166928248084</v>
      </c>
    </row>
    <row r="132" spans="1:4" ht="16.5" hidden="1" thickBot="1" x14ac:dyDescent="0.3">
      <c r="A132" s="225">
        <v>2006</v>
      </c>
      <c r="B132" s="268" t="s">
        <v>36</v>
      </c>
      <c r="C132" s="289">
        <v>1.0573100000000011</v>
      </c>
      <c r="D132" s="446">
        <f t="shared" si="5"/>
        <v>13.452169503512845</v>
      </c>
    </row>
    <row r="133" spans="1:4" ht="16.5" hidden="1" thickBot="1" x14ac:dyDescent="0.3">
      <c r="A133" s="225">
        <v>2006</v>
      </c>
      <c r="B133" s="268" t="s">
        <v>35</v>
      </c>
      <c r="C133" s="289">
        <v>1.0942440000000033</v>
      </c>
      <c r="D133" s="446">
        <f t="shared" si="5"/>
        <v>13.950739145818169</v>
      </c>
    </row>
    <row r="134" spans="1:4" ht="16.5" hidden="1" thickBot="1" x14ac:dyDescent="0.3">
      <c r="A134" s="225">
        <v>2006</v>
      </c>
      <c r="B134" s="268" t="s">
        <v>25</v>
      </c>
      <c r="C134" s="289">
        <v>1.0206050000000033</v>
      </c>
      <c r="D134" s="446">
        <f t="shared" si="5"/>
        <v>12.958672909297398</v>
      </c>
    </row>
    <row r="135" spans="1:4" ht="16.5" hidden="1" thickBot="1" x14ac:dyDescent="0.3">
      <c r="A135" s="225">
        <v>2006</v>
      </c>
      <c r="B135" s="268" t="s">
        <v>12</v>
      </c>
      <c r="C135" s="289">
        <v>0.98788599999998894</v>
      </c>
      <c r="D135" s="446">
        <f t="shared" si="5"/>
        <v>12.52042748166058</v>
      </c>
    </row>
    <row r="136" spans="1:4" ht="16.5" hidden="1" thickBot="1" x14ac:dyDescent="0.3">
      <c r="A136" s="225">
        <v>2007</v>
      </c>
      <c r="B136" s="268" t="s">
        <v>27</v>
      </c>
      <c r="C136" s="289">
        <v>1.0828030000000126</v>
      </c>
      <c r="D136" s="446">
        <f t="shared" si="5"/>
        <v>13.796083548298954</v>
      </c>
    </row>
    <row r="137" spans="1:4" ht="16.5" hidden="1" thickBot="1" x14ac:dyDescent="0.3">
      <c r="A137" s="225">
        <v>2007</v>
      </c>
      <c r="B137" s="268" t="s">
        <v>14</v>
      </c>
      <c r="C137" s="289">
        <v>0.87248400000000004</v>
      </c>
      <c r="D137" s="446">
        <f t="shared" si="5"/>
        <v>10.987121089993423</v>
      </c>
    </row>
    <row r="138" spans="1:4" ht="16.5" hidden="1" thickBot="1" x14ac:dyDescent="0.3">
      <c r="A138" s="225">
        <v>2007</v>
      </c>
      <c r="B138" s="268" t="s">
        <v>29</v>
      </c>
      <c r="C138" s="289">
        <v>1.0522230000000121</v>
      </c>
      <c r="D138" s="446">
        <f t="shared" si="5"/>
        <v>13.383657318121124</v>
      </c>
    </row>
    <row r="139" spans="1:4" ht="16.5" hidden="1" thickBot="1" x14ac:dyDescent="0.3">
      <c r="A139" s="225">
        <v>2007</v>
      </c>
      <c r="B139" s="268" t="s">
        <v>30</v>
      </c>
      <c r="C139" s="289">
        <v>0.94482299999999952</v>
      </c>
      <c r="D139" s="446">
        <f t="shared" si="5"/>
        <v>11.946007783387881</v>
      </c>
    </row>
    <row r="140" spans="1:4" ht="16.5" hidden="1" thickBot="1" x14ac:dyDescent="0.3">
      <c r="A140" s="225">
        <v>2007</v>
      </c>
      <c r="B140" s="268" t="s">
        <v>31</v>
      </c>
      <c r="C140" s="289">
        <v>1.0280770000000103</v>
      </c>
      <c r="D140" s="446">
        <f t="shared" si="5"/>
        <v>13.058973711781817</v>
      </c>
    </row>
    <row r="141" spans="1:4" ht="16.5" hidden="1" thickBot="1" x14ac:dyDescent="0.3">
      <c r="A141" s="225">
        <v>2007</v>
      </c>
      <c r="B141" s="268" t="s">
        <v>32</v>
      </c>
      <c r="C141" s="289">
        <v>0.90562899999999047</v>
      </c>
      <c r="D141" s="446">
        <f t="shared" si="5"/>
        <v>11.425534824116546</v>
      </c>
    </row>
    <row r="142" spans="1:4" ht="16.5" hidden="1" thickBot="1" x14ac:dyDescent="0.3">
      <c r="A142" s="225">
        <v>2007</v>
      </c>
      <c r="B142" s="268" t="s">
        <v>33</v>
      </c>
      <c r="C142" s="289">
        <v>0.97263299999998765</v>
      </c>
      <c r="D142" s="446">
        <f t="shared" si="5"/>
        <v>12.316658597018538</v>
      </c>
    </row>
    <row r="143" spans="1:4" ht="16.5" hidden="1" thickBot="1" x14ac:dyDescent="0.3">
      <c r="A143" s="225">
        <v>2007</v>
      </c>
      <c r="B143" s="268" t="s">
        <v>34</v>
      </c>
      <c r="C143" s="289">
        <v>0.99263499999999283</v>
      </c>
      <c r="D143" s="446">
        <f t="shared" si="5"/>
        <v>12.5839397811637</v>
      </c>
    </row>
    <row r="144" spans="1:4" ht="16.5" hidden="1" thickBot="1" x14ac:dyDescent="0.3">
      <c r="A144" s="225">
        <v>2007</v>
      </c>
      <c r="B144" s="268" t="s">
        <v>36</v>
      </c>
      <c r="C144" s="289">
        <v>0.80496100000000581</v>
      </c>
      <c r="D144" s="446">
        <f t="shared" si="5"/>
        <v>10.098872444666851</v>
      </c>
    </row>
    <row r="145" spans="1:4" ht="16.5" hidden="1" thickBot="1" x14ac:dyDescent="0.3">
      <c r="A145" s="225">
        <v>2007</v>
      </c>
      <c r="B145" s="268" t="s">
        <v>35</v>
      </c>
      <c r="C145" s="289">
        <v>0.9294930000000079</v>
      </c>
      <c r="D145" s="446">
        <f t="shared" si="5"/>
        <v>11.7421697388002</v>
      </c>
    </row>
    <row r="146" spans="1:4" ht="16.5" hidden="1" thickBot="1" x14ac:dyDescent="0.3">
      <c r="A146" s="225">
        <v>2007</v>
      </c>
      <c r="B146" s="268" t="s">
        <v>25</v>
      </c>
      <c r="C146" s="289">
        <v>0.84466999999999359</v>
      </c>
      <c r="D146" s="446">
        <f t="shared" si="5"/>
        <v>10.620442081067516</v>
      </c>
    </row>
    <row r="147" spans="1:4" ht="16.5" hidden="1" thickBot="1" x14ac:dyDescent="0.3">
      <c r="A147" s="225">
        <v>2007</v>
      </c>
      <c r="B147" s="268" t="s">
        <v>26</v>
      </c>
      <c r="C147" s="289">
        <v>0.84466999999999359</v>
      </c>
      <c r="D147" s="446">
        <f t="shared" si="5"/>
        <v>10.620442081067516</v>
      </c>
    </row>
    <row r="148" spans="1:4" ht="16.5" hidden="1" thickBot="1" x14ac:dyDescent="0.3">
      <c r="A148" s="225">
        <v>2008</v>
      </c>
      <c r="B148" s="268" t="s">
        <v>27</v>
      </c>
      <c r="C148" s="289">
        <v>0.92938399999999888</v>
      </c>
      <c r="D148" s="446">
        <f t="shared" si="5"/>
        <v>11.740721620063654</v>
      </c>
    </row>
    <row r="149" spans="1:4" ht="16.5" hidden="1" thickBot="1" x14ac:dyDescent="0.3">
      <c r="A149" s="225">
        <v>2008</v>
      </c>
      <c r="B149" s="268" t="s">
        <v>28</v>
      </c>
      <c r="C149" s="289">
        <v>0.80223200000000361</v>
      </c>
      <c r="D149" s="446">
        <f t="shared" si="5"/>
        <v>10.063110503600491</v>
      </c>
    </row>
    <row r="150" spans="1:4" ht="16.5" hidden="1" thickBot="1" x14ac:dyDescent="0.3">
      <c r="A150" s="225">
        <v>2008</v>
      </c>
      <c r="B150" s="268" t="s">
        <v>29</v>
      </c>
      <c r="C150" s="289">
        <v>0.84459800000000484</v>
      </c>
      <c r="D150" s="446">
        <f t="shared" si="5"/>
        <v>10.619494329573854</v>
      </c>
    </row>
    <row r="151" spans="1:4" ht="16.5" hidden="1" thickBot="1" x14ac:dyDescent="0.3">
      <c r="A151" s="225">
        <v>2008</v>
      </c>
      <c r="B151" s="268" t="s">
        <v>30</v>
      </c>
      <c r="C151" s="289">
        <v>0.90142600000000073</v>
      </c>
      <c r="D151" s="446">
        <f t="shared" si="5"/>
        <v>11.369853381427685</v>
      </c>
    </row>
    <row r="152" spans="1:4" ht="16.5" hidden="1" thickBot="1" x14ac:dyDescent="0.3">
      <c r="A152" s="225">
        <v>2008</v>
      </c>
      <c r="B152" s="268" t="s">
        <v>31</v>
      </c>
      <c r="C152" s="289">
        <v>0.8767830000000032</v>
      </c>
      <c r="D152" s="446">
        <f t="shared" si="5"/>
        <v>11.043895203679256</v>
      </c>
    </row>
    <row r="153" spans="1:4" ht="16.5" hidden="1" thickBot="1" x14ac:dyDescent="0.3">
      <c r="A153" s="225">
        <v>2008</v>
      </c>
      <c r="B153" s="268" t="s">
        <v>32</v>
      </c>
      <c r="C153" s="289">
        <v>0.95559199999999578</v>
      </c>
      <c r="D153" s="446">
        <f t="shared" si="5"/>
        <v>12.089403448010238</v>
      </c>
    </row>
    <row r="154" spans="1:4" ht="16.5" hidden="1" thickBot="1" x14ac:dyDescent="0.3">
      <c r="A154" s="225">
        <v>2008</v>
      </c>
      <c r="B154" s="268" t="s">
        <v>33</v>
      </c>
      <c r="C154" s="289">
        <v>1.0696709999999996</v>
      </c>
      <c r="D154" s="446">
        <f t="shared" si="5"/>
        <v>13.618806762331094</v>
      </c>
    </row>
    <row r="155" spans="1:4" ht="16.5" hidden="1" thickBot="1" x14ac:dyDescent="0.3">
      <c r="A155" s="225">
        <v>2008</v>
      </c>
      <c r="B155" s="268" t="s">
        <v>34</v>
      </c>
      <c r="C155" s="289">
        <v>1.0176569999999998</v>
      </c>
      <c r="D155" s="446">
        <f t="shared" si="5"/>
        <v>12.91912271351876</v>
      </c>
    </row>
    <row r="156" spans="1:4" ht="16.5" hidden="1" thickBot="1" x14ac:dyDescent="0.3">
      <c r="A156" s="225">
        <v>2008</v>
      </c>
      <c r="B156" s="268" t="s">
        <v>36</v>
      </c>
      <c r="C156" s="289">
        <v>1.1030909999999921</v>
      </c>
      <c r="D156" s="446">
        <f t="shared" si="5"/>
        <v>14.070461992751792</v>
      </c>
    </row>
    <row r="157" spans="1:4" ht="16.5" hidden="1" thickBot="1" x14ac:dyDescent="0.3">
      <c r="A157" s="225">
        <v>2008</v>
      </c>
      <c r="B157" s="268" t="s">
        <v>35</v>
      </c>
      <c r="C157" s="289">
        <v>1.1758769999999856</v>
      </c>
      <c r="D157" s="446">
        <f t="shared" si="5"/>
        <v>15.059830767475813</v>
      </c>
    </row>
    <row r="158" spans="1:4" ht="16.5" hidden="1" thickBot="1" x14ac:dyDescent="0.3">
      <c r="A158" s="225">
        <v>2008</v>
      </c>
      <c r="B158" s="268" t="s">
        <v>25</v>
      </c>
      <c r="C158" s="289">
        <v>1.0199690000000032</v>
      </c>
      <c r="D158" s="446">
        <f t="shared" si="5"/>
        <v>12.950139296370921</v>
      </c>
    </row>
    <row r="159" spans="1:4" ht="16.5" hidden="1" thickBot="1" x14ac:dyDescent="0.3">
      <c r="A159" s="225">
        <v>2008</v>
      </c>
      <c r="B159" s="268" t="s">
        <v>26</v>
      </c>
      <c r="C159" s="289">
        <v>1.124093000000002</v>
      </c>
      <c r="D159" s="446">
        <f t="shared" si="5"/>
        <v>14.35513540818485</v>
      </c>
    </row>
    <row r="160" spans="1:4" ht="16.5" hidden="1" thickBot="1" x14ac:dyDescent="0.3">
      <c r="A160" s="225">
        <v>2009</v>
      </c>
      <c r="B160" s="268" t="s">
        <v>27</v>
      </c>
      <c r="C160" s="289">
        <v>1.0478070000000059</v>
      </c>
      <c r="D160" s="446">
        <f t="shared" si="5"/>
        <v>13.324212976676474</v>
      </c>
    </row>
    <row r="161" spans="1:4" ht="16.5" hidden="1" thickBot="1" x14ac:dyDescent="0.3">
      <c r="A161" s="225">
        <v>2009</v>
      </c>
      <c r="B161" s="268" t="s">
        <v>14</v>
      </c>
      <c r="C161" s="289">
        <v>0.85508600000000001</v>
      </c>
      <c r="D161" s="446">
        <f t="shared" si="5"/>
        <v>10.757628584611201</v>
      </c>
    </row>
    <row r="162" spans="1:4" ht="16.5" hidden="1" thickBot="1" x14ac:dyDescent="0.3">
      <c r="A162" s="225">
        <v>2009</v>
      </c>
      <c r="B162" s="268" t="s">
        <v>15</v>
      </c>
      <c r="C162" s="289">
        <v>0.97088400000001229</v>
      </c>
      <c r="D162" s="446">
        <f t="shared" si="5"/>
        <v>12.293314871127702</v>
      </c>
    </row>
    <row r="163" spans="1:4" ht="16.5" hidden="1" thickBot="1" x14ac:dyDescent="0.3">
      <c r="A163" s="225">
        <v>2009</v>
      </c>
      <c r="B163" s="268" t="s">
        <v>16</v>
      </c>
      <c r="C163" s="289">
        <v>0.83956700000000239</v>
      </c>
      <c r="D163" s="446">
        <f t="shared" si="5"/>
        <v>10.553288621970115</v>
      </c>
    </row>
    <row r="164" spans="1:4" ht="16.5" hidden="1" thickBot="1" x14ac:dyDescent="0.3">
      <c r="A164" s="225">
        <v>2009</v>
      </c>
      <c r="B164" s="268" t="s">
        <v>17</v>
      </c>
      <c r="C164" s="289">
        <v>0.77089300000000094</v>
      </c>
      <c r="D164" s="446">
        <f t="shared" si="5"/>
        <v>9.6531938743254173</v>
      </c>
    </row>
    <row r="165" spans="1:4" ht="16.5" hidden="1" thickBot="1" x14ac:dyDescent="0.3">
      <c r="A165" s="225">
        <v>2009</v>
      </c>
      <c r="B165" s="268" t="s">
        <v>32</v>
      </c>
      <c r="C165" s="289">
        <v>0.7621819999999957</v>
      </c>
      <c r="D165" s="446">
        <f t="shared" si="5"/>
        <v>9.5395021199710541</v>
      </c>
    </row>
    <row r="166" spans="1:4" ht="16.5" hidden="1" thickBot="1" x14ac:dyDescent="0.3">
      <c r="A166" s="225">
        <v>2009</v>
      </c>
      <c r="B166" s="268" t="s">
        <v>33</v>
      </c>
      <c r="C166" s="289">
        <v>0.79014300000000048</v>
      </c>
      <c r="D166" s="446">
        <f t="shared" si="5"/>
        <v>9.9048192876302501</v>
      </c>
    </row>
    <row r="167" spans="1:4" ht="16.5" hidden="1" thickBot="1" x14ac:dyDescent="0.3">
      <c r="A167" s="225">
        <v>2009</v>
      </c>
      <c r="B167" s="268" t="s">
        <v>34</v>
      </c>
      <c r="C167" s="289">
        <v>0.69374900000001105</v>
      </c>
      <c r="D167" s="446">
        <f t="shared" si="5"/>
        <v>8.6500994518709398</v>
      </c>
    </row>
    <row r="168" spans="1:4" ht="16.5" hidden="1" thickBot="1" x14ac:dyDescent="0.3">
      <c r="A168" s="225">
        <v>2009</v>
      </c>
      <c r="B168" s="268" t="s">
        <v>36</v>
      </c>
      <c r="C168" s="289">
        <v>0.69374900000001105</v>
      </c>
      <c r="D168" s="446">
        <f t="shared" si="5"/>
        <v>8.6500994518709398</v>
      </c>
    </row>
    <row r="169" spans="1:4" ht="16.5" hidden="1" thickBot="1" x14ac:dyDescent="0.3">
      <c r="A169" s="225">
        <v>2009</v>
      </c>
      <c r="B169" s="268" t="s">
        <v>35</v>
      </c>
      <c r="C169" s="289">
        <v>0.69374900000001105</v>
      </c>
      <c r="D169" s="446">
        <f t="shared" si="5"/>
        <v>8.6500994518709398</v>
      </c>
    </row>
    <row r="170" spans="1:4" ht="16.5" hidden="1" thickBot="1" x14ac:dyDescent="0.3">
      <c r="A170" s="225">
        <v>2009</v>
      </c>
      <c r="B170" s="268" t="s">
        <v>25</v>
      </c>
      <c r="C170" s="289">
        <v>0.66060400000000641</v>
      </c>
      <c r="D170" s="446">
        <f t="shared" si="5"/>
        <v>8.2217080115880812</v>
      </c>
    </row>
    <row r="171" spans="1:4" ht="16.5" hidden="1" thickBot="1" x14ac:dyDescent="0.3">
      <c r="A171" s="225">
        <v>2009</v>
      </c>
      <c r="B171" s="268" t="s">
        <v>12</v>
      </c>
      <c r="C171" s="289">
        <v>0.7268669999999986</v>
      </c>
      <c r="D171" s="446">
        <f t="shared" si="5"/>
        <v>9.0796939680345634</v>
      </c>
    </row>
    <row r="172" spans="1:4" ht="16.5" hidden="1" thickBot="1" x14ac:dyDescent="0.3">
      <c r="A172" s="225">
        <v>2010</v>
      </c>
      <c r="B172" s="268" t="s">
        <v>27</v>
      </c>
      <c r="C172" s="289">
        <v>0.66056699999998614</v>
      </c>
      <c r="D172" s="446">
        <f t="shared" si="5"/>
        <v>8.2212306615690132</v>
      </c>
    </row>
    <row r="173" spans="1:4" ht="16.5" hidden="1" thickBot="1" x14ac:dyDescent="0.3">
      <c r="A173" s="225">
        <v>2010</v>
      </c>
      <c r="B173" s="268" t="s">
        <v>14</v>
      </c>
      <c r="C173" s="289">
        <v>0.59434799999999655</v>
      </c>
      <c r="D173" s="446">
        <f t="shared" si="5"/>
        <v>7.3700020294843904</v>
      </c>
    </row>
    <row r="174" spans="1:4" ht="16.5" hidden="1" thickBot="1" x14ac:dyDescent="0.3">
      <c r="A174" s="225">
        <v>2010</v>
      </c>
      <c r="B174" s="268" t="s">
        <v>29</v>
      </c>
      <c r="C174" s="289">
        <v>0.76006999999999891</v>
      </c>
      <c r="D174" s="446">
        <f t="shared" si="5"/>
        <v>9.5119535986065262</v>
      </c>
    </row>
    <row r="175" spans="1:4" ht="16.5" hidden="1" thickBot="1" x14ac:dyDescent="0.3">
      <c r="A175" s="225">
        <v>2010</v>
      </c>
      <c r="B175" s="268" t="s">
        <v>30</v>
      </c>
      <c r="C175" s="289">
        <v>0.66591300000000331</v>
      </c>
      <c r="D175" s="446">
        <f t="shared" si="5"/>
        <v>8.2902212990618729</v>
      </c>
    </row>
    <row r="176" spans="1:4" ht="16.5" hidden="1" thickBot="1" x14ac:dyDescent="0.3">
      <c r="A176" s="225">
        <v>2010</v>
      </c>
      <c r="B176" s="268" t="s">
        <v>31</v>
      </c>
      <c r="C176" s="289">
        <v>0.75136399999999526</v>
      </c>
      <c r="D176" s="446">
        <f t="shared" si="5"/>
        <v>9.3984612454885763</v>
      </c>
    </row>
    <row r="177" spans="1:4" ht="16.5" hidden="1" thickBot="1" x14ac:dyDescent="0.3">
      <c r="A177" s="225">
        <v>2010</v>
      </c>
      <c r="B177" s="268" t="s">
        <v>32</v>
      </c>
      <c r="C177" s="289">
        <v>0.79257599999999684</v>
      </c>
      <c r="D177" s="446">
        <f t="shared" si="5"/>
        <v>9.9366597738085325</v>
      </c>
    </row>
    <row r="178" spans="1:4" ht="16.5" hidden="1" thickBot="1" x14ac:dyDescent="0.3">
      <c r="A178" s="225">
        <v>2010</v>
      </c>
      <c r="B178" s="268" t="s">
        <v>33</v>
      </c>
      <c r="C178" s="289">
        <v>0.86102999999999952</v>
      </c>
      <c r="D178" s="446">
        <f t="shared" si="5"/>
        <v>10.835985381064361</v>
      </c>
    </row>
    <row r="179" spans="1:4" ht="16.5" hidden="1" thickBot="1" x14ac:dyDescent="0.3">
      <c r="A179" s="225">
        <v>2010</v>
      </c>
      <c r="B179" s="268" t="s">
        <v>34</v>
      </c>
      <c r="C179" s="289">
        <v>0.88820999999998662</v>
      </c>
      <c r="D179" s="446">
        <f t="shared" si="5"/>
        <v>11.1949336571604</v>
      </c>
    </row>
    <row r="180" spans="1:4" ht="16.5" hidden="1" thickBot="1" x14ac:dyDescent="0.3">
      <c r="A180" s="225">
        <v>2010</v>
      </c>
      <c r="B180" s="268" t="s">
        <v>21</v>
      </c>
      <c r="C180" s="289">
        <v>0.84766599999998959</v>
      </c>
      <c r="D180" s="446">
        <f t="shared" si="5"/>
        <v>10.659885673310621</v>
      </c>
    </row>
    <row r="181" spans="1:4" ht="16.5" hidden="1" thickBot="1" x14ac:dyDescent="0.3">
      <c r="A181" s="225">
        <v>2010</v>
      </c>
      <c r="B181" s="268" t="s">
        <v>22</v>
      </c>
      <c r="C181" s="289">
        <v>0.80713800000000901</v>
      </c>
      <c r="D181" s="446">
        <f t="shared" si="5"/>
        <v>10.127408387484781</v>
      </c>
    </row>
    <row r="182" spans="1:4" ht="16.5" hidden="1" thickBot="1" x14ac:dyDescent="0.3">
      <c r="A182" s="225">
        <v>2010</v>
      </c>
      <c r="B182" s="268" t="s">
        <v>23</v>
      </c>
      <c r="C182" s="289">
        <v>0.80713800000000901</v>
      </c>
      <c r="D182" s="446">
        <f t="shared" si="5"/>
        <v>10.127408387484781</v>
      </c>
    </row>
    <row r="183" spans="1:4" ht="16.5" hidden="1" thickBot="1" x14ac:dyDescent="0.3">
      <c r="A183" s="225">
        <v>2010</v>
      </c>
      <c r="B183" s="268" t="s">
        <v>12</v>
      </c>
      <c r="C183" s="289">
        <v>0.92887900000000911</v>
      </c>
      <c r="D183" s="446">
        <f t="shared" si="5"/>
        <v>11.73401267057972</v>
      </c>
    </row>
    <row r="184" spans="1:4" x14ac:dyDescent="0.25">
      <c r="A184" s="269">
        <v>2011</v>
      </c>
      <c r="B184" s="270" t="s">
        <v>13</v>
      </c>
      <c r="C184" s="449">
        <v>0.86231999999999687</v>
      </c>
      <c r="D184" s="450">
        <f t="shared" si="5"/>
        <v>10.85299751896811</v>
      </c>
    </row>
    <row r="185" spans="1:4" x14ac:dyDescent="0.25">
      <c r="A185" s="242">
        <v>2011</v>
      </c>
      <c r="B185" s="273" t="s">
        <v>14</v>
      </c>
      <c r="C185" s="451">
        <v>0.84390799999999899</v>
      </c>
      <c r="D185" s="452">
        <f t="shared" si="5"/>
        <v>10.610412088545452</v>
      </c>
    </row>
    <row r="186" spans="1:4" x14ac:dyDescent="0.25">
      <c r="A186" s="242">
        <v>2011</v>
      </c>
      <c r="B186" s="273" t="s">
        <v>15</v>
      </c>
      <c r="C186" s="451">
        <v>0.92045799999999645</v>
      </c>
      <c r="D186" s="452">
        <f t="shared" si="5"/>
        <v>11.622193678122938</v>
      </c>
    </row>
    <row r="187" spans="1:4" x14ac:dyDescent="0.25">
      <c r="A187" s="242">
        <v>2011</v>
      </c>
      <c r="B187" s="273" t="s">
        <v>16</v>
      </c>
      <c r="C187" s="451">
        <v>0.84015500000000998</v>
      </c>
      <c r="D187" s="452">
        <f t="shared" si="5"/>
        <v>10.561024563777789</v>
      </c>
    </row>
    <row r="188" spans="1:4" x14ac:dyDescent="0.25">
      <c r="A188" s="242">
        <v>2011</v>
      </c>
      <c r="B188" s="273" t="s">
        <v>17</v>
      </c>
      <c r="C188" s="451">
        <v>0.98798499999999478</v>
      </c>
      <c r="D188" s="452">
        <f t="shared" si="5"/>
        <v>12.521751155161255</v>
      </c>
    </row>
    <row r="189" spans="1:4" x14ac:dyDescent="0.25">
      <c r="A189" s="242">
        <v>2011</v>
      </c>
      <c r="B189" s="273" t="s">
        <v>18</v>
      </c>
      <c r="C189" s="451">
        <v>0.95627599999998836</v>
      </c>
      <c r="D189" s="452">
        <f t="shared" si="5"/>
        <v>12.098517000711428</v>
      </c>
    </row>
    <row r="190" spans="1:4" x14ac:dyDescent="0.25">
      <c r="A190" s="242">
        <v>2011</v>
      </c>
      <c r="B190" s="273" t="s">
        <v>19</v>
      </c>
      <c r="C190" s="451">
        <v>0.96788499999999544</v>
      </c>
      <c r="D190" s="452">
        <f t="shared" si="5"/>
        <v>12.253297872636182</v>
      </c>
    </row>
    <row r="191" spans="1:4" x14ac:dyDescent="0.25">
      <c r="A191" s="242">
        <v>2011</v>
      </c>
      <c r="B191" s="273" t="s">
        <v>20</v>
      </c>
      <c r="C191" s="451">
        <v>1.0740629999999953</v>
      </c>
      <c r="D191" s="452">
        <f t="shared" ref="D191:D254" si="6">100*((1+C191/100)^12-1)</f>
        <v>13.67806882316389</v>
      </c>
    </row>
    <row r="192" spans="1:4" x14ac:dyDescent="0.25">
      <c r="A192" s="242">
        <v>2011</v>
      </c>
      <c r="B192" s="273" t="s">
        <v>21</v>
      </c>
      <c r="C192" s="451">
        <v>0.94176100000001384</v>
      </c>
      <c r="D192" s="452">
        <f t="shared" si="6"/>
        <v>11.905266140452152</v>
      </c>
    </row>
    <row r="193" spans="1:4" x14ac:dyDescent="0.25">
      <c r="A193" s="242">
        <v>2011</v>
      </c>
      <c r="B193" s="273" t="s">
        <v>22</v>
      </c>
      <c r="C193" s="451">
        <v>0.88195499999999072</v>
      </c>
      <c r="D193" s="452">
        <f t="shared" si="6"/>
        <v>11.11223374352004</v>
      </c>
    </row>
    <row r="194" spans="1:4" x14ac:dyDescent="0.25">
      <c r="A194" s="242">
        <v>2011</v>
      </c>
      <c r="B194" s="273" t="s">
        <v>23</v>
      </c>
      <c r="C194" s="451">
        <v>0.86047700000000304</v>
      </c>
      <c r="D194" s="452">
        <f t="shared" si="6"/>
        <v>10.82869331375267</v>
      </c>
    </row>
    <row r="195" spans="1:4" x14ac:dyDescent="0.25">
      <c r="A195" s="242">
        <v>2011</v>
      </c>
      <c r="B195" s="273" t="s">
        <v>12</v>
      </c>
      <c r="C195" s="451">
        <v>0.90732799999999258</v>
      </c>
      <c r="D195" s="452">
        <f t="shared" si="6"/>
        <v>11.448050457943548</v>
      </c>
    </row>
    <row r="196" spans="1:4" x14ac:dyDescent="0.25">
      <c r="A196" s="242">
        <f>2012</f>
        <v>2012</v>
      </c>
      <c r="B196" s="273" t="s">
        <v>13</v>
      </c>
      <c r="C196" s="451">
        <v>0.89101599999999337</v>
      </c>
      <c r="D196" s="452">
        <f t="shared" si="6"/>
        <v>11.232051260967314</v>
      </c>
    </row>
    <row r="197" spans="1:4" x14ac:dyDescent="0.25">
      <c r="A197" s="242">
        <f>2012</f>
        <v>2012</v>
      </c>
      <c r="B197" s="273" t="s">
        <v>14</v>
      </c>
      <c r="C197" s="451">
        <v>0.74877299999999991</v>
      </c>
      <c r="D197" s="452">
        <f t="shared" si="6"/>
        <v>9.3647055149538296</v>
      </c>
    </row>
    <row r="198" spans="1:4" x14ac:dyDescent="0.25">
      <c r="A198" s="242">
        <f>2012</f>
        <v>2012</v>
      </c>
      <c r="B198" s="273" t="s">
        <v>15</v>
      </c>
      <c r="C198" s="451">
        <v>0.82113900000000228</v>
      </c>
      <c r="D198" s="452">
        <f t="shared" si="6"/>
        <v>10.311094454628101</v>
      </c>
    </row>
    <row r="199" spans="1:4" x14ac:dyDescent="0.25">
      <c r="A199" s="242">
        <f>2012</f>
        <v>2012</v>
      </c>
      <c r="B199" s="273" t="s">
        <v>16</v>
      </c>
      <c r="C199" s="451">
        <v>0.71187600000000373</v>
      </c>
      <c r="D199" s="452">
        <f t="shared" si="6"/>
        <v>8.8850437152766304</v>
      </c>
    </row>
    <row r="200" spans="1:4" x14ac:dyDescent="0.25">
      <c r="A200" s="242">
        <f>2012</f>
        <v>2012</v>
      </c>
      <c r="B200" s="273" t="s">
        <v>17</v>
      </c>
      <c r="C200" s="451">
        <v>0.74472400000000505</v>
      </c>
      <c r="D200" s="452">
        <f t="shared" si="6"/>
        <v>9.3119739754414574</v>
      </c>
    </row>
    <row r="201" spans="1:4" x14ac:dyDescent="0.25">
      <c r="A201" s="242">
        <f>2012</f>
        <v>2012</v>
      </c>
      <c r="B201" s="273" t="s">
        <v>18</v>
      </c>
      <c r="C201" s="451">
        <v>0.64150300000001437</v>
      </c>
      <c r="D201" s="452">
        <f t="shared" si="6"/>
        <v>7.9755358173498658</v>
      </c>
    </row>
    <row r="202" spans="1:4" x14ac:dyDescent="0.25">
      <c r="A202" s="242">
        <f>2012</f>
        <v>2012</v>
      </c>
      <c r="B202" s="273" t="s">
        <v>19</v>
      </c>
      <c r="C202" s="451">
        <v>0.67996500000000992</v>
      </c>
      <c r="D202" s="452">
        <f t="shared" si="6"/>
        <v>8.4717559971473335</v>
      </c>
    </row>
    <row r="203" spans="1:4" x14ac:dyDescent="0.25">
      <c r="A203" s="242">
        <f>2012</f>
        <v>2012</v>
      </c>
      <c r="B203" s="273" t="s">
        <v>20</v>
      </c>
      <c r="C203" s="451">
        <v>0.69181100000000129</v>
      </c>
      <c r="D203" s="452">
        <f t="shared" si="6"/>
        <v>8.6250085273335451</v>
      </c>
    </row>
    <row r="204" spans="1:4" x14ac:dyDescent="0.25">
      <c r="A204" s="242">
        <f>2012</f>
        <v>2012</v>
      </c>
      <c r="B204" s="273" t="s">
        <v>21</v>
      </c>
      <c r="C204" s="451">
        <v>0.5389950000000141</v>
      </c>
      <c r="D204" s="452">
        <f t="shared" si="6"/>
        <v>6.6631673449900841</v>
      </c>
    </row>
    <row r="205" spans="1:4" x14ac:dyDescent="0.25">
      <c r="A205" s="242">
        <f>2012</f>
        <v>2012</v>
      </c>
      <c r="B205" s="273" t="s">
        <v>22</v>
      </c>
      <c r="C205" s="451">
        <v>0.61133900000001518</v>
      </c>
      <c r="D205" s="452">
        <f t="shared" si="6"/>
        <v>7.5878297061461542</v>
      </c>
    </row>
    <row r="206" spans="1:4" x14ac:dyDescent="0.25">
      <c r="A206" s="242">
        <f>2012</f>
        <v>2012</v>
      </c>
      <c r="B206" s="273" t="s">
        <v>23</v>
      </c>
      <c r="C206" s="451">
        <v>0.5488459999999975</v>
      </c>
      <c r="D206" s="452">
        <f t="shared" si="6"/>
        <v>6.7886476472396984</v>
      </c>
    </row>
    <row r="207" spans="1:4" x14ac:dyDescent="0.25">
      <c r="A207" s="242">
        <f>2012</f>
        <v>2012</v>
      </c>
      <c r="B207" s="273" t="s">
        <v>12</v>
      </c>
      <c r="C207" s="451">
        <v>0.55015199999999709</v>
      </c>
      <c r="D207" s="452">
        <f t="shared" si="6"/>
        <v>6.8052934001804344</v>
      </c>
    </row>
    <row r="208" spans="1:4" x14ac:dyDescent="0.25">
      <c r="A208" s="242">
        <f>2013</f>
        <v>2013</v>
      </c>
      <c r="B208" s="273" t="s">
        <v>13</v>
      </c>
      <c r="C208" s="451">
        <v>0.60143999999999664</v>
      </c>
      <c r="D208" s="452">
        <f t="shared" si="6"/>
        <v>7.4608735429171569</v>
      </c>
    </row>
    <row r="209" spans="1:4" x14ac:dyDescent="0.25">
      <c r="A209" s="242">
        <f>2013</f>
        <v>2013</v>
      </c>
      <c r="B209" s="273" t="s">
        <v>14</v>
      </c>
      <c r="C209" s="451">
        <v>0.49275000000000091</v>
      </c>
      <c r="D209" s="452">
        <f t="shared" si="6"/>
        <v>6.0759112056028242</v>
      </c>
    </row>
    <row r="210" spans="1:4" x14ac:dyDescent="0.25">
      <c r="A210" s="242">
        <f>2013</f>
        <v>2013</v>
      </c>
      <c r="B210" s="273" t="s">
        <v>15</v>
      </c>
      <c r="C210" s="451">
        <v>0.54940400000000977</v>
      </c>
      <c r="D210" s="452">
        <f t="shared" si="6"/>
        <v>6.7957594007684641</v>
      </c>
    </row>
    <row r="211" spans="1:4" x14ac:dyDescent="0.25">
      <c r="A211" s="242">
        <f>2013</f>
        <v>2013</v>
      </c>
      <c r="B211" s="273" t="s">
        <v>16</v>
      </c>
      <c r="C211" s="451">
        <v>0.6136460000000028</v>
      </c>
      <c r="D211" s="452">
        <f t="shared" si="6"/>
        <v>7.6174370760671462</v>
      </c>
    </row>
    <row r="212" spans="1:4" x14ac:dyDescent="0.25">
      <c r="A212" s="242">
        <f>2013</f>
        <v>2013</v>
      </c>
      <c r="B212" s="273" t="s">
        <v>17</v>
      </c>
      <c r="C212" s="451">
        <v>0.59853599999999574</v>
      </c>
      <c r="D212" s="452">
        <f t="shared" si="6"/>
        <v>7.4236553675576911</v>
      </c>
    </row>
    <row r="213" spans="1:4" x14ac:dyDescent="0.25">
      <c r="A213" s="242">
        <f>2013</f>
        <v>2013</v>
      </c>
      <c r="B213" s="273" t="s">
        <v>18</v>
      </c>
      <c r="C213" s="451">
        <v>0.60527299999999684</v>
      </c>
      <c r="D213" s="452">
        <f t="shared" si="6"/>
        <v>7.5100160427817197</v>
      </c>
    </row>
    <row r="214" spans="1:4" x14ac:dyDescent="0.25">
      <c r="A214" s="242">
        <f>2013</f>
        <v>2013</v>
      </c>
      <c r="B214" s="273" t="s">
        <v>19</v>
      </c>
      <c r="C214" s="451">
        <v>0.72409200000001306</v>
      </c>
      <c r="D214" s="452">
        <f t="shared" si="6"/>
        <v>9.0436380121567961</v>
      </c>
    </row>
    <row r="215" spans="1:4" x14ac:dyDescent="0.25">
      <c r="A215" s="242">
        <f>2013</f>
        <v>2013</v>
      </c>
      <c r="B215" s="273" t="s">
        <v>20</v>
      </c>
      <c r="C215" s="451">
        <v>0.71031500000000847</v>
      </c>
      <c r="D215" s="452">
        <f t="shared" si="6"/>
        <v>8.8647932656394701</v>
      </c>
    </row>
    <row r="216" spans="1:4" x14ac:dyDescent="0.25">
      <c r="A216" s="242">
        <f>2013</f>
        <v>2013</v>
      </c>
      <c r="B216" s="273" t="s">
        <v>21</v>
      </c>
      <c r="C216" s="451">
        <v>0.71302900000000591</v>
      </c>
      <c r="D216" s="452">
        <f t="shared" si="6"/>
        <v>8.9000035034349843</v>
      </c>
    </row>
    <row r="217" spans="1:4" x14ac:dyDescent="0.25">
      <c r="A217" s="242">
        <f>2013</f>
        <v>2013</v>
      </c>
      <c r="B217" s="273" t="s">
        <v>22</v>
      </c>
      <c r="C217" s="451">
        <v>0.81051000000000784</v>
      </c>
      <c r="D217" s="452">
        <f t="shared" si="6"/>
        <v>10.171621678941234</v>
      </c>
    </row>
    <row r="218" spans="1:4" x14ac:dyDescent="0.25">
      <c r="A218" s="242">
        <f>2013</f>
        <v>2013</v>
      </c>
      <c r="B218" s="273" t="s">
        <v>23</v>
      </c>
      <c r="C218" s="451">
        <v>0.71920800000000895</v>
      </c>
      <c r="D218" s="452">
        <f t="shared" si="6"/>
        <v>8.9802060633376932</v>
      </c>
    </row>
    <row r="219" spans="1:4" x14ac:dyDescent="0.25">
      <c r="A219" s="242">
        <f>2013</f>
        <v>2013</v>
      </c>
      <c r="B219" s="273" t="s">
        <v>12</v>
      </c>
      <c r="C219" s="451">
        <v>0.78974599999999384</v>
      </c>
      <c r="D219" s="452">
        <f t="shared" si="6"/>
        <v>9.899624581076738</v>
      </c>
    </row>
    <row r="220" spans="1:4" x14ac:dyDescent="0.25">
      <c r="A220" s="242">
        <f>2014</f>
        <v>2014</v>
      </c>
      <c r="B220" s="273" t="s">
        <v>13</v>
      </c>
      <c r="C220" s="451">
        <v>0.8493440000000021</v>
      </c>
      <c r="D220" s="452">
        <f t="shared" si="6"/>
        <v>10.681982876687425</v>
      </c>
    </row>
    <row r="221" spans="1:4" x14ac:dyDescent="0.25">
      <c r="A221" s="242">
        <f>2014</f>
        <v>2014</v>
      </c>
      <c r="B221" s="273" t="s">
        <v>14</v>
      </c>
      <c r="C221" s="451">
        <v>0.79014600000000712</v>
      </c>
      <c r="D221" s="452">
        <f t="shared" si="6"/>
        <v>9.9048585431964717</v>
      </c>
    </row>
    <row r="222" spans="1:4" x14ac:dyDescent="0.25">
      <c r="A222" s="242">
        <f>2014</f>
        <v>2014</v>
      </c>
      <c r="B222" s="273" t="s">
        <v>15</v>
      </c>
      <c r="C222" s="451">
        <v>0.76595700000000022</v>
      </c>
      <c r="D222" s="452">
        <f t="shared" si="6"/>
        <v>9.5887583185401795</v>
      </c>
    </row>
    <row r="223" spans="1:4" x14ac:dyDescent="0.25">
      <c r="A223" s="242">
        <f>2014</f>
        <v>2014</v>
      </c>
      <c r="B223" s="273" t="s">
        <v>16</v>
      </c>
      <c r="C223" s="451">
        <v>0.82266799999999307</v>
      </c>
      <c r="D223" s="452">
        <f t="shared" si="6"/>
        <v>10.331171164836551</v>
      </c>
    </row>
    <row r="224" spans="1:4" x14ac:dyDescent="0.25">
      <c r="A224" s="242">
        <f>2014</f>
        <v>2014</v>
      </c>
      <c r="B224" s="273" t="s">
        <v>17</v>
      </c>
      <c r="C224" s="451">
        <v>0.86587300000000766</v>
      </c>
      <c r="D224" s="452">
        <f t="shared" si="6"/>
        <v>10.899865806441245</v>
      </c>
    </row>
    <row r="225" spans="1:5" x14ac:dyDescent="0.25">
      <c r="A225" s="242">
        <f>2014</f>
        <v>2014</v>
      </c>
      <c r="B225" s="273" t="s">
        <v>18</v>
      </c>
      <c r="C225" s="451">
        <v>0.82447200000000009</v>
      </c>
      <c r="D225" s="452">
        <f t="shared" si="6"/>
        <v>10.354863101412404</v>
      </c>
    </row>
    <row r="226" spans="1:5" x14ac:dyDescent="0.25">
      <c r="A226" s="242">
        <f>2014</f>
        <v>2014</v>
      </c>
      <c r="B226" s="273" t="s">
        <v>19</v>
      </c>
      <c r="C226" s="451">
        <v>0.94872699999999099</v>
      </c>
      <c r="D226" s="452">
        <f t="shared" si="6"/>
        <v>11.997972432075876</v>
      </c>
    </row>
    <row r="227" spans="1:5" x14ac:dyDescent="0.25">
      <c r="A227" s="242">
        <f>2014</f>
        <v>2014</v>
      </c>
      <c r="B227" s="273" t="s">
        <v>20</v>
      </c>
      <c r="C227" s="451">
        <v>0.86598200000000247</v>
      </c>
      <c r="D227" s="452">
        <f t="shared" si="6"/>
        <v>10.901303932958385</v>
      </c>
    </row>
    <row r="228" spans="1:5" x14ac:dyDescent="0.25">
      <c r="A228" s="242">
        <f>2014</f>
        <v>2014</v>
      </c>
      <c r="B228" s="273" t="s">
        <v>21</v>
      </c>
      <c r="C228" s="451">
        <v>0.90729199999999821</v>
      </c>
      <c r="D228" s="452">
        <f t="shared" si="6"/>
        <v>11.44757333240387</v>
      </c>
    </row>
    <row r="229" spans="1:5" x14ac:dyDescent="0.25">
      <c r="A229" s="242">
        <f>2014</f>
        <v>2014</v>
      </c>
      <c r="B229" s="273" t="s">
        <v>22</v>
      </c>
      <c r="C229" s="451">
        <v>0.95053199999999549</v>
      </c>
      <c r="D229" s="452">
        <f t="shared" si="6"/>
        <v>12.022005569835015</v>
      </c>
    </row>
    <row r="230" spans="1:5" x14ac:dyDescent="0.25">
      <c r="A230" s="242">
        <f>2014</f>
        <v>2014</v>
      </c>
      <c r="B230" s="273" t="s">
        <v>23</v>
      </c>
      <c r="C230" s="451">
        <v>0.8424930000000046</v>
      </c>
      <c r="D230" s="452">
        <f t="shared" si="6"/>
        <v>10.591789051256416</v>
      </c>
    </row>
    <row r="231" spans="1:5" x14ac:dyDescent="0.25">
      <c r="A231" s="242">
        <f>2014</f>
        <v>2014</v>
      </c>
      <c r="B231" s="273" t="s">
        <v>12</v>
      </c>
      <c r="C231" s="451">
        <v>0.96129499999999268</v>
      </c>
      <c r="D231" s="452">
        <f t="shared" si="6"/>
        <v>12.165410472929938</v>
      </c>
      <c r="E231" s="453"/>
    </row>
    <row r="232" spans="1:5" x14ac:dyDescent="0.25">
      <c r="A232" s="242">
        <f>2015</f>
        <v>2015</v>
      </c>
      <c r="B232" s="273" t="s">
        <v>13</v>
      </c>
      <c r="C232" s="451">
        <v>0.93507500000001187</v>
      </c>
      <c r="D232" s="452">
        <f t="shared" si="6"/>
        <v>11.816352363552385</v>
      </c>
      <c r="E232" s="454"/>
    </row>
    <row r="233" spans="1:5" x14ac:dyDescent="0.25">
      <c r="A233" s="242">
        <f>2015</f>
        <v>2015</v>
      </c>
      <c r="B233" s="273" t="s">
        <v>14</v>
      </c>
      <c r="C233" s="451">
        <v>0.82241100000000245</v>
      </c>
      <c r="D233" s="452">
        <f t="shared" si="6"/>
        <v>10.327796362638653</v>
      </c>
      <c r="E233" s="454"/>
    </row>
    <row r="234" spans="1:5" x14ac:dyDescent="0.25">
      <c r="A234" s="242">
        <f>2015</f>
        <v>2015</v>
      </c>
      <c r="B234" s="273" t="s">
        <v>15</v>
      </c>
      <c r="C234" s="451">
        <v>1.0399669999999901</v>
      </c>
      <c r="D234" s="452">
        <f t="shared" si="6"/>
        <v>13.218748109465039</v>
      </c>
      <c r="E234" s="454"/>
    </row>
    <row r="235" spans="1:5" x14ac:dyDescent="0.25">
      <c r="A235" s="242">
        <f>2015</f>
        <v>2015</v>
      </c>
      <c r="B235" s="273" t="s">
        <v>16</v>
      </c>
      <c r="C235" s="451">
        <v>0.95179199999999753</v>
      </c>
      <c r="D235" s="452">
        <f t="shared" si="6"/>
        <v>12.038784966324911</v>
      </c>
      <c r="E235" s="454"/>
    </row>
    <row r="236" spans="1:5" x14ac:dyDescent="0.25">
      <c r="A236" s="242">
        <f>2015</f>
        <v>2015</v>
      </c>
      <c r="B236" s="273" t="s">
        <v>17</v>
      </c>
      <c r="C236" s="451">
        <v>0.98532200000001069</v>
      </c>
      <c r="D236" s="452">
        <f t="shared" si="6"/>
        <v>12.486150646573414</v>
      </c>
      <c r="E236" s="454"/>
    </row>
    <row r="237" spans="1:5" x14ac:dyDescent="0.25">
      <c r="A237" s="242">
        <f>2015</f>
        <v>2015</v>
      </c>
      <c r="B237" s="273" t="s">
        <v>18</v>
      </c>
      <c r="C237" s="451">
        <v>1.0666760000000153</v>
      </c>
      <c r="D237" s="452">
        <f t="shared" si="6"/>
        <v>13.578410920419381</v>
      </c>
      <c r="E237" s="454"/>
    </row>
    <row r="238" spans="1:5" x14ac:dyDescent="0.25">
      <c r="A238" s="242">
        <f>2015</f>
        <v>2015</v>
      </c>
      <c r="B238" s="273" t="s">
        <v>19</v>
      </c>
      <c r="C238" s="451">
        <v>1.178198000000009</v>
      </c>
      <c r="D238" s="452">
        <f t="shared" si="6"/>
        <v>15.091508780725359</v>
      </c>
      <c r="E238" s="454"/>
    </row>
    <row r="239" spans="1:5" x14ac:dyDescent="0.25">
      <c r="A239" s="242">
        <f>2015</f>
        <v>2015</v>
      </c>
      <c r="B239" s="273" t="s">
        <v>20</v>
      </c>
      <c r="C239" s="451">
        <v>1.1089649999999978</v>
      </c>
      <c r="D239" s="452">
        <f t="shared" si="6"/>
        <v>14.150016123858844</v>
      </c>
      <c r="E239" s="454"/>
    </row>
    <row r="240" spans="1:5" x14ac:dyDescent="0.25">
      <c r="A240" s="242">
        <f>2015</f>
        <v>2015</v>
      </c>
      <c r="B240" s="273" t="s">
        <v>21</v>
      </c>
      <c r="C240" s="451">
        <v>1.1089649999999978</v>
      </c>
      <c r="D240" s="452">
        <f t="shared" si="6"/>
        <v>14.150016123858844</v>
      </c>
      <c r="E240" s="454"/>
    </row>
    <row r="241" spans="1:5" x14ac:dyDescent="0.25">
      <c r="A241" s="242">
        <f>2015</f>
        <v>2015</v>
      </c>
      <c r="B241" s="273" t="s">
        <v>22</v>
      </c>
      <c r="C241" s="451">
        <v>1.1089649999999978</v>
      </c>
      <c r="D241" s="452">
        <f t="shared" si="6"/>
        <v>14.150016123858844</v>
      </c>
    </row>
    <row r="242" spans="1:5" x14ac:dyDescent="0.25">
      <c r="A242" s="242">
        <f>2015</f>
        <v>2015</v>
      </c>
      <c r="B242" s="273" t="s">
        <v>23</v>
      </c>
      <c r="C242" s="451">
        <v>1.0558800000000019</v>
      </c>
      <c r="D242" s="452">
        <f t="shared" si="6"/>
        <v>13.432906298120617</v>
      </c>
    </row>
    <row r="243" spans="1:5" x14ac:dyDescent="0.25">
      <c r="A243" s="242">
        <f>2015</f>
        <v>2015</v>
      </c>
      <c r="B243" s="273" t="s">
        <v>12</v>
      </c>
      <c r="C243" s="451">
        <v>1.1620790000000056</v>
      </c>
      <c r="D243" s="452">
        <f t="shared" si="6"/>
        <v>14.871674618973007</v>
      </c>
      <c r="E243" s="454"/>
    </row>
    <row r="244" spans="1:5" x14ac:dyDescent="0.25">
      <c r="A244" s="242">
        <f>2016</f>
        <v>2016</v>
      </c>
      <c r="B244" s="273" t="s">
        <v>13</v>
      </c>
      <c r="C244" s="451">
        <v>1.0558800000000019</v>
      </c>
      <c r="D244" s="452">
        <f t="shared" si="6"/>
        <v>13.432906298120617</v>
      </c>
      <c r="E244" s="454"/>
    </row>
    <row r="245" spans="1:5" x14ac:dyDescent="0.25">
      <c r="A245" s="242">
        <f>2016</f>
        <v>2016</v>
      </c>
      <c r="B245" s="273" t="s">
        <v>14</v>
      </c>
      <c r="C245" s="451">
        <v>1.0028219999999948</v>
      </c>
      <c r="D245" s="452">
        <f t="shared" si="6"/>
        <v>12.720289812557684</v>
      </c>
      <c r="E245" s="454"/>
    </row>
    <row r="246" spans="1:5" x14ac:dyDescent="0.25">
      <c r="A246" s="242">
        <f>2016</f>
        <v>2016</v>
      </c>
      <c r="B246" s="273" t="s">
        <v>15</v>
      </c>
      <c r="C246" s="451">
        <v>1.1620790000000056</v>
      </c>
      <c r="D246" s="452">
        <f t="shared" si="6"/>
        <v>14.871674618973007</v>
      </c>
      <c r="E246" s="454"/>
    </row>
    <row r="247" spans="1:5" x14ac:dyDescent="0.25">
      <c r="A247" s="242">
        <f>2016</f>
        <v>2016</v>
      </c>
      <c r="B247" s="273" t="s">
        <v>16</v>
      </c>
      <c r="C247" s="451">
        <v>1.0558800000000019</v>
      </c>
      <c r="D247" s="452">
        <f t="shared" si="6"/>
        <v>13.432906298120617</v>
      </c>
      <c r="E247" s="454"/>
    </row>
    <row r="248" spans="1:5" x14ac:dyDescent="0.25">
      <c r="A248" s="242">
        <f>2016</f>
        <v>2016</v>
      </c>
      <c r="B248" s="273" t="s">
        <v>17</v>
      </c>
      <c r="C248" s="451">
        <v>1.1089649999999978</v>
      </c>
      <c r="D248" s="452">
        <f t="shared" si="6"/>
        <v>14.150016123858844</v>
      </c>
      <c r="E248" s="454"/>
    </row>
    <row r="249" spans="1:5" x14ac:dyDescent="0.25">
      <c r="A249" s="242">
        <f>2016</f>
        <v>2016</v>
      </c>
      <c r="B249" s="273" t="s">
        <v>18</v>
      </c>
      <c r="C249" s="451">
        <v>1.1620790000000056</v>
      </c>
      <c r="D249" s="452">
        <f t="shared" si="6"/>
        <v>14.871674618973007</v>
      </c>
      <c r="E249" s="454"/>
    </row>
    <row r="250" spans="1:5" x14ac:dyDescent="0.25">
      <c r="A250" s="242">
        <f>2016</f>
        <v>2016</v>
      </c>
      <c r="B250" s="273" t="s">
        <v>19</v>
      </c>
      <c r="C250" s="451">
        <v>1.1089649999999978</v>
      </c>
      <c r="D250" s="452">
        <f t="shared" si="6"/>
        <v>14.150016123858844</v>
      </c>
      <c r="E250" s="454"/>
    </row>
    <row r="251" spans="1:5" x14ac:dyDescent="0.25">
      <c r="A251" s="242">
        <f>2016</f>
        <v>2016</v>
      </c>
      <c r="B251" s="273" t="s">
        <v>20</v>
      </c>
      <c r="C251" s="451">
        <v>1.2152200000000022</v>
      </c>
      <c r="D251" s="452">
        <f t="shared" si="6"/>
        <v>15.597883096383992</v>
      </c>
      <c r="E251" s="454"/>
    </row>
    <row r="252" spans="1:5" x14ac:dyDescent="0.25">
      <c r="A252" s="242">
        <f>2016</f>
        <v>2016</v>
      </c>
      <c r="B252" s="273" t="s">
        <v>21</v>
      </c>
      <c r="C252" s="451">
        <v>1.1089649999999978</v>
      </c>
      <c r="D252" s="452">
        <f t="shared" si="6"/>
        <v>14.150016123858844</v>
      </c>
      <c r="E252" s="454"/>
    </row>
    <row r="253" spans="1:5" x14ac:dyDescent="0.25">
      <c r="A253" s="242">
        <f>2016</f>
        <v>2016</v>
      </c>
      <c r="B253" s="273" t="s">
        <v>22</v>
      </c>
      <c r="C253" s="451">
        <v>1.0488419999999934</v>
      </c>
      <c r="D253" s="452">
        <f t="shared" si="6"/>
        <v>13.338142680447751</v>
      </c>
      <c r="E253" s="454"/>
    </row>
    <row r="254" spans="1:5" x14ac:dyDescent="0.25">
      <c r="A254" s="242">
        <f>2016</f>
        <v>2016</v>
      </c>
      <c r="B254" s="273" t="s">
        <v>23</v>
      </c>
      <c r="C254" s="451">
        <v>1.0382859999999994</v>
      </c>
      <c r="D254" s="452">
        <f t="shared" si="6"/>
        <v>13.196146759857053</v>
      </c>
      <c r="E254" s="454"/>
    </row>
    <row r="255" spans="1:5" x14ac:dyDescent="0.25">
      <c r="A255" s="242">
        <f>2016</f>
        <v>2016</v>
      </c>
      <c r="B255" s="273" t="s">
        <v>12</v>
      </c>
      <c r="C255" s="451">
        <v>1.1233150000000052</v>
      </c>
      <c r="D255" s="452">
        <f t="shared" ref="D255:D318" si="7">100*((1+C255/100)^12-1)</f>
        <v>14.344578335799586</v>
      </c>
      <c r="E255" s="454"/>
    </row>
    <row r="256" spans="1:5" x14ac:dyDescent="0.25">
      <c r="A256" s="242">
        <f>2017</f>
        <v>2017</v>
      </c>
      <c r="B256" s="273" t="s">
        <v>13</v>
      </c>
      <c r="C256" s="451">
        <v>1.086119999999994</v>
      </c>
      <c r="D256" s="452">
        <f t="shared" si="7"/>
        <v>13.8409018236054</v>
      </c>
      <c r="E256" s="454"/>
    </row>
    <row r="257" spans="1:5" x14ac:dyDescent="0.25">
      <c r="A257" s="242">
        <f>2017</f>
        <v>2017</v>
      </c>
      <c r="B257" s="273" t="s">
        <v>14</v>
      </c>
      <c r="C257" s="451">
        <v>0.86508400000001018</v>
      </c>
      <c r="D257" s="452">
        <f t="shared" si="7"/>
        <v>10.889456391187057</v>
      </c>
      <c r="E257" s="454"/>
    </row>
    <row r="258" spans="1:5" x14ac:dyDescent="0.25">
      <c r="A258" s="242">
        <f>2017</f>
        <v>2017</v>
      </c>
      <c r="B258" s="273" t="s">
        <v>15</v>
      </c>
      <c r="C258" s="451">
        <v>1.0520560000000074</v>
      </c>
      <c r="D258" s="452">
        <f t="shared" si="7"/>
        <v>13.381408789813198</v>
      </c>
      <c r="E258" s="454"/>
    </row>
    <row r="259" spans="1:5" x14ac:dyDescent="0.25">
      <c r="A259" s="242">
        <f>2017</f>
        <v>2017</v>
      </c>
      <c r="B259" s="273" t="s">
        <v>16</v>
      </c>
      <c r="C259" s="451">
        <v>0.7865809999999982</v>
      </c>
      <c r="D259" s="452">
        <f t="shared" si="7"/>
        <v>9.8582189114629237</v>
      </c>
      <c r="E259" s="454"/>
    </row>
    <row r="260" spans="1:5" x14ac:dyDescent="0.25">
      <c r="A260" s="242">
        <f>2017</f>
        <v>2017</v>
      </c>
      <c r="B260" s="273" t="s">
        <v>17</v>
      </c>
      <c r="C260" s="451">
        <v>0.9271320000000145</v>
      </c>
      <c r="D260" s="452">
        <f t="shared" si="7"/>
        <v>11.710806538892339</v>
      </c>
      <c r="E260" s="454"/>
    </row>
    <row r="261" spans="1:5" x14ac:dyDescent="0.25">
      <c r="A261" s="242">
        <f>2017</f>
        <v>2017</v>
      </c>
      <c r="B261" s="273" t="s">
        <v>18</v>
      </c>
      <c r="C261" s="451">
        <v>0.80886899999998718</v>
      </c>
      <c r="D261" s="452">
        <f t="shared" si="7"/>
        <v>10.150103036184932</v>
      </c>
      <c r="E261" s="454"/>
    </row>
    <row r="262" spans="1:5" x14ac:dyDescent="0.25">
      <c r="A262" s="242">
        <f>2017</f>
        <v>2017</v>
      </c>
      <c r="B262" s="273" t="s">
        <v>19</v>
      </c>
      <c r="C262" s="451">
        <v>0.79792299999998306</v>
      </c>
      <c r="D262" s="452">
        <f t="shared" si="7"/>
        <v>10.006665270619397</v>
      </c>
      <c r="E262" s="454"/>
    </row>
    <row r="263" spans="1:5" x14ac:dyDescent="0.25">
      <c r="A263" s="242">
        <f>2017</f>
        <v>2017</v>
      </c>
      <c r="B263" s="273" t="s">
        <v>20</v>
      </c>
      <c r="C263" s="451">
        <v>0.8022889999999876</v>
      </c>
      <c r="D263" s="452">
        <f t="shared" si="7"/>
        <v>10.063857346207117</v>
      </c>
      <c r="E263" s="454"/>
    </row>
    <row r="264" spans="1:5" x14ac:dyDescent="0.25">
      <c r="A264" s="242">
        <f>2017</f>
        <v>2017</v>
      </c>
      <c r="B264" s="273" t="s">
        <v>21</v>
      </c>
      <c r="C264" s="451">
        <v>0.63846000000000913</v>
      </c>
      <c r="D264" s="452">
        <f t="shared" si="7"/>
        <v>7.9363653068924345</v>
      </c>
      <c r="E264" s="454"/>
    </row>
    <row r="265" spans="1:5" x14ac:dyDescent="0.25">
      <c r="A265" s="242">
        <f>2017</f>
        <v>2017</v>
      </c>
      <c r="B265" s="273" t="s">
        <v>22</v>
      </c>
      <c r="C265" s="451">
        <v>0.64392999999999745</v>
      </c>
      <c r="D265" s="452">
        <f t="shared" si="7"/>
        <v>8.0067863108023829</v>
      </c>
      <c r="E265" s="454"/>
    </row>
    <row r="266" spans="1:5" x14ac:dyDescent="0.25">
      <c r="A266" s="242">
        <f>2017</f>
        <v>2017</v>
      </c>
      <c r="B266" s="273" t="s">
        <v>23</v>
      </c>
      <c r="C266" s="451">
        <v>0.56818800000000635</v>
      </c>
      <c r="D266" s="452">
        <f t="shared" si="7"/>
        <v>7.0354163952310866</v>
      </c>
      <c r="E266" s="454"/>
    </row>
    <row r="267" spans="1:5" x14ac:dyDescent="0.25">
      <c r="A267" s="242">
        <f>2017</f>
        <v>2017</v>
      </c>
      <c r="B267" s="273" t="s">
        <v>12</v>
      </c>
      <c r="C267" s="451">
        <v>0.5842049999999972</v>
      </c>
      <c r="D267" s="452">
        <f t="shared" si="7"/>
        <v>7.2401597232678361</v>
      </c>
      <c r="E267" s="454"/>
    </row>
    <row r="268" spans="1:5" x14ac:dyDescent="0.25">
      <c r="A268" s="242">
        <f>2018</f>
        <v>2018</v>
      </c>
      <c r="B268" s="273" t="s">
        <v>13</v>
      </c>
      <c r="C268" s="451">
        <v>0.5842049999999972</v>
      </c>
      <c r="D268" s="452">
        <f t="shared" si="7"/>
        <v>7.2401597232678361</v>
      </c>
      <c r="E268" s="454"/>
    </row>
    <row r="269" spans="1:5" x14ac:dyDescent="0.25">
      <c r="A269" s="242">
        <f>2018</f>
        <v>2018</v>
      </c>
      <c r="B269" s="273" t="s">
        <v>14</v>
      </c>
      <c r="C269" s="451">
        <v>0.46560200000000407</v>
      </c>
      <c r="D269" s="452">
        <f t="shared" si="7"/>
        <v>5.7325462678980754</v>
      </c>
      <c r="E269" s="454"/>
    </row>
    <row r="270" spans="1:5" x14ac:dyDescent="0.25">
      <c r="A270" s="242">
        <f>2018</f>
        <v>2018</v>
      </c>
      <c r="B270" s="273" t="s">
        <v>15</v>
      </c>
      <c r="C270" s="451">
        <v>0.5323449999999923</v>
      </c>
      <c r="D270" s="452">
        <f t="shared" si="7"/>
        <v>6.5785372473377679</v>
      </c>
      <c r="E270" s="454"/>
    </row>
    <row r="271" spans="1:5" x14ac:dyDescent="0.25">
      <c r="A271" s="242">
        <f>2018</f>
        <v>2018</v>
      </c>
      <c r="B271" s="273" t="s">
        <v>16</v>
      </c>
      <c r="C271" s="451">
        <v>0.51829499999999484</v>
      </c>
      <c r="D271" s="452">
        <f t="shared" si="7"/>
        <v>6.3999346723511152</v>
      </c>
      <c r="E271" s="454"/>
    </row>
    <row r="272" spans="1:5" x14ac:dyDescent="0.25">
      <c r="A272" s="242">
        <f>2018</f>
        <v>2018</v>
      </c>
      <c r="B272" s="273" t="s">
        <v>17</v>
      </c>
      <c r="C272" s="451">
        <v>0.51829499999999484</v>
      </c>
      <c r="D272" s="452">
        <f t="shared" si="7"/>
        <v>6.3999346723511152</v>
      </c>
      <c r="E272" s="454"/>
    </row>
    <row r="273" spans="1:5" x14ac:dyDescent="0.25">
      <c r="A273" s="242">
        <f>2018</f>
        <v>2018</v>
      </c>
      <c r="B273" s="273" t="s">
        <v>18</v>
      </c>
      <c r="C273" s="451">
        <v>0.51829499999999484</v>
      </c>
      <c r="D273" s="452">
        <f t="shared" si="7"/>
        <v>6.3999346723511152</v>
      </c>
      <c r="E273" s="454"/>
    </row>
    <row r="274" spans="1:5" x14ac:dyDescent="0.25">
      <c r="A274" s="242">
        <f>2018</f>
        <v>2018</v>
      </c>
      <c r="B274" s="273" t="s">
        <v>19</v>
      </c>
      <c r="C274" s="451">
        <v>0.5430419999999998</v>
      </c>
      <c r="D274" s="452">
        <f t="shared" si="7"/>
        <v>6.7147009516236755</v>
      </c>
      <c r="E274" s="454"/>
    </row>
    <row r="275" spans="1:5" x14ac:dyDescent="0.25">
      <c r="A275" s="242">
        <f>2018</f>
        <v>2018</v>
      </c>
      <c r="B275" s="273" t="s">
        <v>20</v>
      </c>
      <c r="C275" s="451">
        <v>0.56779600000001551</v>
      </c>
      <c r="D275" s="452">
        <f t="shared" si="7"/>
        <v>7.0304100029031424</v>
      </c>
      <c r="E275" s="454"/>
    </row>
    <row r="276" spans="1:5" x14ac:dyDescent="0.25">
      <c r="A276" s="242">
        <f>2018</f>
        <v>2018</v>
      </c>
      <c r="B276" s="273" t="s">
        <v>21</v>
      </c>
      <c r="C276" s="451">
        <v>0.46881799999999885</v>
      </c>
      <c r="D276" s="452">
        <f t="shared" si="7"/>
        <v>5.7731686184600672</v>
      </c>
      <c r="E276" s="454"/>
    </row>
    <row r="277" spans="1:5" x14ac:dyDescent="0.25">
      <c r="A277" s="242">
        <f>2018</f>
        <v>2018</v>
      </c>
      <c r="B277" s="273" t="s">
        <v>22</v>
      </c>
      <c r="C277" s="451">
        <v>0.5430419999999998</v>
      </c>
      <c r="D277" s="452">
        <f t="shared" si="7"/>
        <v>6.7147009516236755</v>
      </c>
      <c r="E277" s="454"/>
    </row>
    <row r="278" spans="1:5" x14ac:dyDescent="0.25">
      <c r="A278" s="242">
        <f>2018</f>
        <v>2018</v>
      </c>
      <c r="B278" s="273" t="s">
        <v>23</v>
      </c>
      <c r="C278" s="451">
        <v>0.49355300000000568</v>
      </c>
      <c r="D278" s="452">
        <f t="shared" si="7"/>
        <v>6.08608300807989</v>
      </c>
      <c r="E278" s="454"/>
    </row>
    <row r="279" spans="1:5" x14ac:dyDescent="0.25">
      <c r="A279" s="242">
        <f>2018</f>
        <v>2018</v>
      </c>
      <c r="B279" s="273" t="s">
        <v>12</v>
      </c>
      <c r="C279" s="451">
        <v>0.49355300000000568</v>
      </c>
      <c r="D279" s="452">
        <f t="shared" si="7"/>
        <v>6.08608300807989</v>
      </c>
      <c r="E279" s="454"/>
    </row>
    <row r="280" spans="1:5" x14ac:dyDescent="0.25">
      <c r="A280" s="242">
        <f>2019</f>
        <v>2019</v>
      </c>
      <c r="B280" s="273" t="s">
        <v>13</v>
      </c>
      <c r="C280" s="451">
        <v>0.5430419999999998</v>
      </c>
      <c r="D280" s="452">
        <f t="shared" si="7"/>
        <v>6.7147009516236755</v>
      </c>
      <c r="E280" s="454"/>
    </row>
    <row r="281" spans="1:5" x14ac:dyDescent="0.25">
      <c r="A281" s="247">
        <f>2019</f>
        <v>2019</v>
      </c>
      <c r="B281" s="274" t="s">
        <v>14</v>
      </c>
      <c r="C281" s="455">
        <v>0.49355300000000568</v>
      </c>
      <c r="D281" s="456">
        <f t="shared" si="7"/>
        <v>6.08608300807989</v>
      </c>
      <c r="E281" s="454"/>
    </row>
    <row r="282" spans="1:5" x14ac:dyDescent="0.25">
      <c r="A282" s="247">
        <f>2019</f>
        <v>2019</v>
      </c>
      <c r="B282" s="274" t="s">
        <v>15</v>
      </c>
      <c r="C282" s="455">
        <v>0.46881799999999885</v>
      </c>
      <c r="D282" s="456">
        <f t="shared" si="7"/>
        <v>5.7731686184600672</v>
      </c>
      <c r="E282" s="454"/>
    </row>
    <row r="283" spans="1:5" x14ac:dyDescent="0.25">
      <c r="A283" s="247">
        <f>2019</f>
        <v>2019</v>
      </c>
      <c r="B283" s="274" t="s">
        <v>16</v>
      </c>
      <c r="C283" s="455">
        <v>0.51829499999999484</v>
      </c>
      <c r="D283" s="456">
        <f t="shared" si="7"/>
        <v>6.3999346723511152</v>
      </c>
      <c r="E283" s="454"/>
    </row>
    <row r="284" spans="1:5" x14ac:dyDescent="0.25">
      <c r="A284" s="247">
        <f>2019</f>
        <v>2019</v>
      </c>
      <c r="B284" s="274" t="s">
        <v>17</v>
      </c>
      <c r="C284" s="455">
        <v>0.5430419999999998</v>
      </c>
      <c r="D284" s="456">
        <f t="shared" si="7"/>
        <v>6.7147009516236755</v>
      </c>
      <c r="E284" s="454"/>
    </row>
    <row r="285" spans="1:5" x14ac:dyDescent="0.25">
      <c r="A285" s="247">
        <f>2019</f>
        <v>2019</v>
      </c>
      <c r="B285" s="274" t="s">
        <v>18</v>
      </c>
      <c r="C285" s="455">
        <v>0.46881799999999885</v>
      </c>
      <c r="D285" s="456">
        <f t="shared" si="7"/>
        <v>5.7731686184600672</v>
      </c>
      <c r="E285" s="454"/>
    </row>
    <row r="286" spans="1:5" x14ac:dyDescent="0.25">
      <c r="A286" s="247">
        <f>2019</f>
        <v>2019</v>
      </c>
      <c r="B286" s="274" t="s">
        <v>19</v>
      </c>
      <c r="C286" s="455">
        <v>0.56779600000001551</v>
      </c>
      <c r="D286" s="456">
        <f t="shared" si="7"/>
        <v>7.0304100029031424</v>
      </c>
      <c r="E286" s="454"/>
    </row>
    <row r="287" spans="1:5" x14ac:dyDescent="0.25">
      <c r="A287" s="247">
        <f>2019</f>
        <v>2019</v>
      </c>
      <c r="B287" s="274" t="s">
        <v>20</v>
      </c>
      <c r="C287" s="455">
        <v>0.50171899999999425</v>
      </c>
      <c r="D287" s="456">
        <f t="shared" si="7"/>
        <v>6.1895745698153037</v>
      </c>
      <c r="E287" s="454"/>
    </row>
    <row r="288" spans="1:5" x14ac:dyDescent="0.25">
      <c r="A288" s="247">
        <f>2019</f>
        <v>2019</v>
      </c>
      <c r="B288" s="274" t="s">
        <v>21</v>
      </c>
      <c r="C288" s="455">
        <v>0.46375999999999351</v>
      </c>
      <c r="D288" s="456">
        <f t="shared" si="7"/>
        <v>5.7092858036686067</v>
      </c>
      <c r="E288" s="454"/>
    </row>
    <row r="289" spans="1:5" x14ac:dyDescent="0.25">
      <c r="A289" s="247">
        <f>2019</f>
        <v>2019</v>
      </c>
      <c r="B289" s="274" t="s">
        <v>22</v>
      </c>
      <c r="C289" s="455">
        <v>0.47926400000000058</v>
      </c>
      <c r="D289" s="456">
        <f t="shared" si="7"/>
        <v>5.9052141944138326</v>
      </c>
      <c r="E289" s="454"/>
    </row>
    <row r="290" spans="1:5" x14ac:dyDescent="0.25">
      <c r="A290" s="247">
        <f>2019</f>
        <v>2019</v>
      </c>
      <c r="B290" s="274" t="s">
        <v>23</v>
      </c>
      <c r="C290" s="455">
        <v>0.38038600000001566</v>
      </c>
      <c r="D290" s="456">
        <f t="shared" si="7"/>
        <v>4.661351009189163</v>
      </c>
      <c r="E290" s="454"/>
    </row>
    <row r="291" spans="1:5" x14ac:dyDescent="0.25">
      <c r="A291" s="247">
        <f>2019</f>
        <v>2019</v>
      </c>
      <c r="B291" s="274" t="s">
        <v>12</v>
      </c>
      <c r="C291" s="455">
        <v>0.37</v>
      </c>
      <c r="D291" s="456">
        <f t="shared" si="7"/>
        <v>4.531477698255304</v>
      </c>
      <c r="E291" s="454"/>
    </row>
    <row r="292" spans="1:5" x14ac:dyDescent="0.25">
      <c r="A292" s="247">
        <f>2020</f>
        <v>2020</v>
      </c>
      <c r="B292" s="274" t="s">
        <v>13</v>
      </c>
      <c r="C292" s="455">
        <v>0.37663299999999822</v>
      </c>
      <c r="D292" s="456">
        <f t="shared" si="7"/>
        <v>4.6144039943732729</v>
      </c>
      <c r="E292" s="454"/>
    </row>
    <row r="293" spans="1:5" x14ac:dyDescent="0.25">
      <c r="A293" s="247">
        <f>2020</f>
        <v>2020</v>
      </c>
      <c r="B293" s="274" t="s">
        <v>14</v>
      </c>
      <c r="C293" s="455">
        <v>0.29372899999999902</v>
      </c>
      <c r="D293" s="456">
        <f t="shared" si="7"/>
        <v>3.5822518642636858</v>
      </c>
      <c r="E293" s="454"/>
    </row>
    <row r="294" spans="1:5" x14ac:dyDescent="0.25">
      <c r="A294" s="247">
        <f>2020</f>
        <v>2020</v>
      </c>
      <c r="B294" s="274" t="s">
        <v>15</v>
      </c>
      <c r="C294" s="455">
        <v>0.33836900000000014</v>
      </c>
      <c r="D294" s="456">
        <f t="shared" si="7"/>
        <v>4.1368525907423237</v>
      </c>
      <c r="E294" s="454"/>
    </row>
    <row r="295" spans="1:5" x14ac:dyDescent="0.25">
      <c r="A295" s="247">
        <f>2020</f>
        <v>2020</v>
      </c>
      <c r="B295" s="274" t="s">
        <v>16</v>
      </c>
      <c r="C295" s="455">
        <v>0.28492499999998699</v>
      </c>
      <c r="D295" s="456">
        <f t="shared" si="7"/>
        <v>3.4731924447527707</v>
      </c>
      <c r="E295" s="454"/>
    </row>
    <row r="296" spans="1:5" x14ac:dyDescent="0.25">
      <c r="A296" s="247">
        <f>2020</f>
        <v>2020</v>
      </c>
      <c r="B296" s="274" t="s">
        <v>17</v>
      </c>
      <c r="C296" s="455">
        <v>0.23580999999998653</v>
      </c>
      <c r="D296" s="456">
        <f t="shared" si="7"/>
        <v>2.8667102071559869</v>
      </c>
      <c r="E296" s="454"/>
    </row>
    <row r="297" spans="1:5" x14ac:dyDescent="0.25">
      <c r="A297" s="247">
        <f>2020</f>
        <v>2020</v>
      </c>
      <c r="B297" s="274" t="s">
        <v>18</v>
      </c>
      <c r="C297" s="455">
        <v>0.21233199999998931</v>
      </c>
      <c r="D297" s="456">
        <f t="shared" si="7"/>
        <v>2.5779516343863662</v>
      </c>
      <c r="E297" s="454"/>
    </row>
    <row r="298" spans="1:5" x14ac:dyDescent="0.25">
      <c r="A298" s="247">
        <f>2020</f>
        <v>2020</v>
      </c>
      <c r="B298" s="274" t="s">
        <v>19</v>
      </c>
      <c r="C298" s="455">
        <v>0.19434599999999591</v>
      </c>
      <c r="D298" s="456">
        <f t="shared" si="7"/>
        <v>2.3572426424980142</v>
      </c>
      <c r="E298" s="454"/>
    </row>
    <row r="299" spans="1:5" x14ac:dyDescent="0.25">
      <c r="A299" s="247">
        <f>2020</f>
        <v>2020</v>
      </c>
      <c r="B299" s="274" t="s">
        <v>20</v>
      </c>
      <c r="C299" s="455">
        <v>0.15989000000000431</v>
      </c>
      <c r="D299" s="456">
        <f t="shared" si="7"/>
        <v>1.9356430265990543</v>
      </c>
      <c r="E299" s="454"/>
    </row>
    <row r="300" spans="1:5" x14ac:dyDescent="0.25">
      <c r="A300" s="247">
        <f>2020</f>
        <v>2020</v>
      </c>
      <c r="B300" s="274" t="s">
        <v>21</v>
      </c>
      <c r="C300" s="455">
        <v>0.15696599999999705</v>
      </c>
      <c r="D300" s="456">
        <f t="shared" si="7"/>
        <v>1.8999386781927807</v>
      </c>
      <c r="E300" s="454"/>
    </row>
    <row r="301" spans="1:5" x14ac:dyDescent="0.25">
      <c r="A301" s="247">
        <f>2020</f>
        <v>2020</v>
      </c>
      <c r="B301" s="274" t="s">
        <v>22</v>
      </c>
      <c r="C301" s="455">
        <v>0.15696599999999705</v>
      </c>
      <c r="D301" s="456">
        <f t="shared" si="7"/>
        <v>1.8999386781927807</v>
      </c>
      <c r="E301" s="454"/>
    </row>
    <row r="302" spans="1:5" x14ac:dyDescent="0.25">
      <c r="A302" s="247">
        <f>2020</f>
        <v>2020</v>
      </c>
      <c r="B302" s="274" t="s">
        <v>23</v>
      </c>
      <c r="C302" s="455">
        <v>0.14948599999999601</v>
      </c>
      <c r="D302" s="456">
        <f t="shared" si="7"/>
        <v>1.8086541394607414</v>
      </c>
      <c r="E302" s="454"/>
    </row>
    <row r="303" spans="1:5" x14ac:dyDescent="0.25">
      <c r="A303" s="247">
        <f>2020</f>
        <v>2020</v>
      </c>
      <c r="B303" s="274" t="s">
        <v>12</v>
      </c>
      <c r="C303" s="455">
        <v>0.16444699999999557</v>
      </c>
      <c r="D303" s="456">
        <f t="shared" si="7"/>
        <v>1.9913104578070939</v>
      </c>
      <c r="E303" s="454"/>
    </row>
    <row r="304" spans="1:5" x14ac:dyDescent="0.25">
      <c r="A304" s="247">
        <f>2021</f>
        <v>2021</v>
      </c>
      <c r="B304" s="274" t="s">
        <v>13</v>
      </c>
      <c r="C304" s="455">
        <v>0.14948599999999601</v>
      </c>
      <c r="D304" s="456">
        <f t="shared" si="7"/>
        <v>1.8086541394607414</v>
      </c>
      <c r="E304" s="454"/>
    </row>
    <row r="305" spans="1:5" x14ac:dyDescent="0.25">
      <c r="A305" s="247">
        <f>2021</f>
        <v>2021</v>
      </c>
      <c r="B305" s="274" t="s">
        <v>14</v>
      </c>
      <c r="C305" s="455">
        <v>0.13452700000000561</v>
      </c>
      <c r="D305" s="456">
        <f t="shared" si="7"/>
        <v>1.6263220828261815</v>
      </c>
      <c r="E305" s="454"/>
    </row>
    <row r="306" spans="1:5" x14ac:dyDescent="0.25">
      <c r="A306" s="247">
        <f>2021</f>
        <v>2021</v>
      </c>
      <c r="B306" s="274" t="s">
        <v>15</v>
      </c>
      <c r="C306" s="455">
        <v>0.20108000000000459</v>
      </c>
      <c r="D306" s="456">
        <f t="shared" si="7"/>
        <v>2.4398255683042436</v>
      </c>
      <c r="E306" s="454"/>
    </row>
    <row r="307" spans="1:5" x14ac:dyDescent="0.25">
      <c r="A307" s="247">
        <f>2021</f>
        <v>2021</v>
      </c>
      <c r="B307" s="274" t="s">
        <v>16</v>
      </c>
      <c r="C307" s="455">
        <v>0.20778500000000122</v>
      </c>
      <c r="D307" s="456">
        <f t="shared" si="7"/>
        <v>2.52211352866889</v>
      </c>
      <c r="E307" s="454"/>
    </row>
    <row r="308" spans="1:5" x14ac:dyDescent="0.25">
      <c r="A308" s="247">
        <f>2021</f>
        <v>2021</v>
      </c>
      <c r="B308" s="274" t="s">
        <v>17</v>
      </c>
      <c r="C308" s="455">
        <v>0.27032600000001139</v>
      </c>
      <c r="D308" s="456">
        <f t="shared" si="7"/>
        <v>3.2925795077834774</v>
      </c>
      <c r="E308" s="457"/>
    </row>
    <row r="309" spans="1:5" x14ac:dyDescent="0.25">
      <c r="A309" s="247">
        <f>2021</f>
        <v>2021</v>
      </c>
      <c r="B309" s="274" t="s">
        <v>18</v>
      </c>
      <c r="C309" s="455">
        <v>0.30777900000001068</v>
      </c>
      <c r="D309" s="456">
        <f t="shared" si="7"/>
        <v>3.7565143020195979</v>
      </c>
      <c r="E309" s="457"/>
    </row>
    <row r="310" spans="1:5" x14ac:dyDescent="0.25">
      <c r="A310" s="247">
        <f>2021</f>
        <v>2021</v>
      </c>
      <c r="B310" s="274" t="s">
        <v>19</v>
      </c>
      <c r="C310" s="455">
        <v>0.35561599999999771</v>
      </c>
      <c r="D310" s="456">
        <f t="shared" si="7"/>
        <v>4.3518547575382094</v>
      </c>
      <c r="E310" s="457"/>
    </row>
    <row r="311" spans="1:5" x14ac:dyDescent="0.25">
      <c r="A311" s="247">
        <f>2021</f>
        <v>2021</v>
      </c>
      <c r="B311" s="274" t="s">
        <v>20</v>
      </c>
      <c r="C311" s="455">
        <v>0.42795200000000477</v>
      </c>
      <c r="D311" s="456">
        <f t="shared" si="7"/>
        <v>5.2580393209338494</v>
      </c>
      <c r="E311" s="457"/>
    </row>
    <row r="312" spans="1:5" x14ac:dyDescent="0.25">
      <c r="A312" s="247">
        <f>2021</f>
        <v>2021</v>
      </c>
      <c r="B312" s="274" t="s">
        <v>21</v>
      </c>
      <c r="C312" s="455">
        <v>0.44199899999999559</v>
      </c>
      <c r="D312" s="456">
        <f t="shared" si="7"/>
        <v>5.4348463900416366</v>
      </c>
      <c r="E312" s="457"/>
    </row>
    <row r="313" spans="1:5" x14ac:dyDescent="0.25">
      <c r="A313" s="247">
        <f>2021</f>
        <v>2021</v>
      </c>
      <c r="B313" s="274" t="s">
        <v>22</v>
      </c>
      <c r="C313" s="455">
        <v>0.48599600000001431</v>
      </c>
      <c r="D313" s="456">
        <f t="shared" si="7"/>
        <v>5.9903919695813324</v>
      </c>
      <c r="E313" s="457"/>
    </row>
    <row r="314" spans="1:5" x14ac:dyDescent="0.25">
      <c r="A314" s="247">
        <f>2021</f>
        <v>2021</v>
      </c>
      <c r="B314" s="274" t="s">
        <v>23</v>
      </c>
      <c r="C314" s="455">
        <v>0.58674899999999752</v>
      </c>
      <c r="D314" s="456">
        <f t="shared" si="7"/>
        <v>7.2727123795008453</v>
      </c>
      <c r="E314" s="457"/>
    </row>
    <row r="315" spans="1:5" x14ac:dyDescent="0.25">
      <c r="A315" s="247">
        <f>2021</f>
        <v>2021</v>
      </c>
      <c r="B315" s="274" t="s">
        <v>12</v>
      </c>
      <c r="C315" s="455">
        <v>0.76908300000000906</v>
      </c>
      <c r="D315" s="456">
        <f t="shared" si="7"/>
        <v>9.6295617318196349</v>
      </c>
      <c r="E315" s="457"/>
    </row>
    <row r="316" spans="1:5" x14ac:dyDescent="0.25">
      <c r="A316" s="247">
        <f>2022</f>
        <v>2022</v>
      </c>
      <c r="B316" s="274" t="s">
        <v>13</v>
      </c>
      <c r="C316" s="455">
        <v>0.73227000000000153</v>
      </c>
      <c r="D316" s="456">
        <f t="shared" si="7"/>
        <v>9.1499272443530835</v>
      </c>
      <c r="E316" s="457"/>
    </row>
    <row r="317" spans="1:5" x14ac:dyDescent="0.25">
      <c r="A317" s="247">
        <f>2022</f>
        <v>2022</v>
      </c>
      <c r="B317" s="274" t="s">
        <v>14</v>
      </c>
      <c r="C317" s="455">
        <v>0.75504099999998964</v>
      </c>
      <c r="D317" s="456">
        <f t="shared" si="7"/>
        <v>9.446381854779883</v>
      </c>
      <c r="E317" s="457"/>
    </row>
    <row r="318" spans="1:5" x14ac:dyDescent="0.25">
      <c r="A318" s="247">
        <f>2022</f>
        <v>2022</v>
      </c>
      <c r="B318" s="274" t="s">
        <v>15</v>
      </c>
      <c r="C318" s="455">
        <v>0.92705399999999383</v>
      </c>
      <c r="D318" s="456">
        <f t="shared" si="7"/>
        <v>11.709770535308062</v>
      </c>
      <c r="E318" s="457"/>
    </row>
    <row r="319" spans="1:5" x14ac:dyDescent="0.25">
      <c r="A319" s="247">
        <f>2022</f>
        <v>2022</v>
      </c>
      <c r="B319" s="274" t="s">
        <v>16</v>
      </c>
      <c r="C319" s="455">
        <v>0.83432100000000453</v>
      </c>
      <c r="D319" s="456">
        <f t="shared" ref="D319:D352" si="8">100*((1+C319/100)^12-1)</f>
        <v>10.484292295855834</v>
      </c>
      <c r="E319" s="457"/>
    </row>
    <row r="320" spans="1:5" x14ac:dyDescent="0.25">
      <c r="A320" s="247">
        <f>2022</f>
        <v>2022</v>
      </c>
      <c r="B320" s="274" t="s">
        <v>17</v>
      </c>
      <c r="C320" s="455">
        <v>1.0345920000000008</v>
      </c>
      <c r="D320" s="456">
        <f t="shared" si="8"/>
        <v>13.146494789963326</v>
      </c>
      <c r="E320" s="457"/>
    </row>
    <row r="321" spans="1:5" x14ac:dyDescent="0.25">
      <c r="A321" s="247">
        <f>2022</f>
        <v>2022</v>
      </c>
      <c r="B321" s="274" t="s">
        <v>18</v>
      </c>
      <c r="C321" s="455">
        <v>1.0153159999999994</v>
      </c>
      <c r="D321" s="456">
        <f t="shared" si="8"/>
        <v>12.887725037029485</v>
      </c>
      <c r="E321" s="457"/>
    </row>
    <row r="322" spans="1:5" x14ac:dyDescent="0.25">
      <c r="A322" s="247">
        <f>2022</f>
        <v>2022</v>
      </c>
      <c r="B322" s="274" t="s">
        <v>19</v>
      </c>
      <c r="C322" s="455">
        <v>1.0348419999999914</v>
      </c>
      <c r="D322" s="456">
        <f t="shared" si="8"/>
        <v>13.149854472000566</v>
      </c>
      <c r="E322" s="457"/>
    </row>
    <row r="323" spans="1:5" x14ac:dyDescent="0.25">
      <c r="A323" s="242">
        <f>2022</f>
        <v>2022</v>
      </c>
      <c r="B323" s="273" t="s">
        <v>20</v>
      </c>
      <c r="C323" s="451">
        <v>1.1693610000000021</v>
      </c>
      <c r="D323" s="452">
        <f t="shared" si="8"/>
        <v>14.970940288317159</v>
      </c>
      <c r="E323" s="457"/>
    </row>
    <row r="324" spans="1:5" x14ac:dyDescent="0.25">
      <c r="A324" s="242">
        <f>2022</f>
        <v>2022</v>
      </c>
      <c r="B324" s="273" t="s">
        <v>21</v>
      </c>
      <c r="C324" s="451">
        <v>1.0719820000000047</v>
      </c>
      <c r="D324" s="452">
        <f t="shared" si="8"/>
        <v>13.649985977636181</v>
      </c>
      <c r="E324" s="457"/>
    </row>
    <row r="325" spans="1:5" x14ac:dyDescent="0.25">
      <c r="A325" s="247">
        <f>2022</f>
        <v>2022</v>
      </c>
      <c r="B325" s="274" t="s">
        <v>22</v>
      </c>
      <c r="C325" s="455">
        <v>1.0206759999999981</v>
      </c>
      <c r="D325" s="456">
        <f t="shared" si="8"/>
        <v>12.959625597724834</v>
      </c>
      <c r="E325" s="457"/>
    </row>
    <row r="326" spans="1:5" x14ac:dyDescent="0.25">
      <c r="A326" s="247">
        <f>2022</f>
        <v>2022</v>
      </c>
      <c r="B326" s="274" t="s">
        <v>23</v>
      </c>
      <c r="C326" s="455">
        <v>1.0206759999999981</v>
      </c>
      <c r="D326" s="456">
        <f t="shared" si="8"/>
        <v>12.959625597724834</v>
      </c>
      <c r="E326" s="457"/>
    </row>
    <row r="327" spans="1:5" x14ac:dyDescent="0.25">
      <c r="A327" s="247">
        <f>2022</f>
        <v>2022</v>
      </c>
      <c r="B327" s="274" t="s">
        <v>12</v>
      </c>
      <c r="C327" s="455">
        <v>1.1233150000000025</v>
      </c>
      <c r="D327" s="456">
        <f t="shared" si="8"/>
        <v>14.344578335799586</v>
      </c>
      <c r="E327" s="457"/>
    </row>
    <row r="328" spans="1:5" x14ac:dyDescent="0.25">
      <c r="A328" s="247">
        <f>2023</f>
        <v>2023</v>
      </c>
      <c r="B328" s="274" t="s">
        <v>13</v>
      </c>
      <c r="C328" s="455">
        <v>1.1233150000000025</v>
      </c>
      <c r="D328" s="456">
        <f t="shared" si="8"/>
        <v>14.344578335799586</v>
      </c>
      <c r="E328" s="457"/>
    </row>
    <row r="329" spans="1:5" x14ac:dyDescent="0.25">
      <c r="A329" s="247">
        <f>2023</f>
        <v>2023</v>
      </c>
      <c r="B329" s="274" t="s">
        <v>14</v>
      </c>
      <c r="C329" s="455">
        <v>0.91814100000000565</v>
      </c>
      <c r="D329" s="456">
        <f t="shared" si="8"/>
        <v>11.591445188949812</v>
      </c>
      <c r="E329" s="457"/>
    </row>
    <row r="330" spans="1:5" x14ac:dyDescent="0.25">
      <c r="A330" s="247">
        <f>2023</f>
        <v>2023</v>
      </c>
      <c r="B330" s="274" t="s">
        <v>15</v>
      </c>
      <c r="C330" s="455">
        <v>1.1746730000000039</v>
      </c>
      <c r="D330" s="456">
        <f t="shared" si="8"/>
        <v>15.043401202595174</v>
      </c>
      <c r="E330" s="457"/>
    </row>
    <row r="331" spans="1:5" x14ac:dyDescent="0.25">
      <c r="A331" s="247">
        <f>2023</f>
        <v>2023</v>
      </c>
      <c r="B331" s="274" t="s">
        <v>16</v>
      </c>
      <c r="C331" s="455">
        <v>0.91814100000000565</v>
      </c>
      <c r="D331" s="456">
        <f t="shared" si="8"/>
        <v>11.591445188949812</v>
      </c>
      <c r="E331" s="457"/>
    </row>
    <row r="332" spans="1:5" x14ac:dyDescent="0.25">
      <c r="A332" s="247">
        <f>2023</f>
        <v>2023</v>
      </c>
      <c r="B332" s="274" t="s">
        <v>17</v>
      </c>
      <c r="C332" s="455">
        <v>1.1233150000000025</v>
      </c>
      <c r="D332" s="456">
        <f t="shared" si="8"/>
        <v>14.344578335799586</v>
      </c>
      <c r="E332" s="457"/>
    </row>
    <row r="333" spans="1:5" x14ac:dyDescent="0.25">
      <c r="A333" s="247">
        <f>2023</f>
        <v>2023</v>
      </c>
      <c r="B333" s="274" t="s">
        <v>18</v>
      </c>
      <c r="C333" s="455">
        <v>1.0719820000000047</v>
      </c>
      <c r="D333" s="456">
        <f t="shared" si="8"/>
        <v>13.649985977636181</v>
      </c>
      <c r="E333" s="457"/>
    </row>
    <row r="334" spans="1:5" x14ac:dyDescent="0.25">
      <c r="A334" s="247">
        <f>2023</f>
        <v>2023</v>
      </c>
      <c r="B334" s="274" t="s">
        <v>19</v>
      </c>
      <c r="C334" s="455">
        <v>1.0719820000000047</v>
      </c>
      <c r="D334" s="456">
        <f t="shared" si="8"/>
        <v>13.649985977636181</v>
      </c>
      <c r="E334" s="457"/>
    </row>
    <row r="335" spans="1:5" x14ac:dyDescent="0.25">
      <c r="A335" s="247">
        <f>2023</f>
        <v>2023</v>
      </c>
      <c r="B335" s="274" t="s">
        <v>20</v>
      </c>
      <c r="C335" s="455">
        <v>1.1374959999999934</v>
      </c>
      <c r="D335" s="456">
        <f t="shared" si="8"/>
        <v>14.537147780060655</v>
      </c>
      <c r="E335" s="457"/>
    </row>
    <row r="336" spans="1:5" x14ac:dyDescent="0.25">
      <c r="A336" s="247">
        <f>2023</f>
        <v>2023</v>
      </c>
      <c r="B336" s="274" t="s">
        <v>21</v>
      </c>
      <c r="C336" s="455">
        <v>0.97290199999999771</v>
      </c>
      <c r="D336" s="456">
        <f t="shared" si="8"/>
        <v>12.320249307447838</v>
      </c>
      <c r="E336" s="457"/>
    </row>
    <row r="337" spans="1:7" x14ac:dyDescent="0.25">
      <c r="A337" s="247">
        <f>2023</f>
        <v>2023</v>
      </c>
      <c r="B337" s="274" t="s">
        <v>22</v>
      </c>
      <c r="C337" s="455">
        <v>0.9975669999999992</v>
      </c>
      <c r="D337" s="456">
        <f t="shared" si="8"/>
        <v>12.649934275408192</v>
      </c>
      <c r="E337" s="457"/>
    </row>
    <row r="338" spans="1:7" x14ac:dyDescent="0.25">
      <c r="A338" s="247">
        <f>2023</f>
        <v>2023</v>
      </c>
      <c r="B338" s="274" t="s">
        <v>23</v>
      </c>
      <c r="C338" s="455">
        <v>0.91598799999998981</v>
      </c>
      <c r="D338" s="456">
        <f t="shared" si="8"/>
        <v>11.562880073898096</v>
      </c>
      <c r="E338" s="457"/>
    </row>
    <row r="339" spans="1:7" x14ac:dyDescent="0.25">
      <c r="A339" s="247">
        <f>2023</f>
        <v>2023</v>
      </c>
      <c r="B339" s="274" t="s">
        <v>12</v>
      </c>
      <c r="C339" s="455">
        <v>0.89452500000000157</v>
      </c>
      <c r="D339" s="456">
        <f t="shared" si="8"/>
        <v>11.278484089806806</v>
      </c>
      <c r="E339" s="457"/>
    </row>
    <row r="340" spans="1:7" x14ac:dyDescent="0.25">
      <c r="A340" s="247">
        <f>2024</f>
        <v>2024</v>
      </c>
      <c r="B340" s="274" t="s">
        <v>13</v>
      </c>
      <c r="C340" s="455">
        <v>0.96668999999999983</v>
      </c>
      <c r="D340" s="456">
        <f t="shared" si="8"/>
        <v>12.237356095590135</v>
      </c>
      <c r="E340" s="457"/>
    </row>
    <row r="341" spans="1:7" x14ac:dyDescent="0.25">
      <c r="A341" s="247">
        <f>2024</f>
        <v>2024</v>
      </c>
      <c r="B341" s="274" t="s">
        <v>14</v>
      </c>
      <c r="C341" s="455">
        <v>0.8002000000000038</v>
      </c>
      <c r="D341" s="456">
        <f t="shared" si="8"/>
        <v>10.036489254237235</v>
      </c>
      <c r="E341" s="457"/>
    </row>
    <row r="342" spans="1:7" x14ac:dyDescent="0.25">
      <c r="A342" s="247">
        <f>2024</f>
        <v>2024</v>
      </c>
      <c r="B342" s="274" t="s">
        <v>15</v>
      </c>
      <c r="C342" s="455">
        <v>0.83167399999999247</v>
      </c>
      <c r="D342" s="456">
        <f t="shared" si="8"/>
        <v>10.449493465674674</v>
      </c>
      <c r="E342" s="457"/>
    </row>
    <row r="343" spans="1:7" x14ac:dyDescent="0.25">
      <c r="A343" s="247">
        <f>2024</f>
        <v>2024</v>
      </c>
      <c r="B343" s="274" t="s">
        <v>16</v>
      </c>
      <c r="C343" s="455">
        <v>0.88743300000000147</v>
      </c>
      <c r="D343" s="456">
        <f t="shared" si="8"/>
        <v>11.184657554078225</v>
      </c>
      <c r="E343" s="457"/>
    </row>
    <row r="344" spans="1:7" x14ac:dyDescent="0.25">
      <c r="A344" s="247">
        <f>2024</f>
        <v>2024</v>
      </c>
      <c r="B344" s="274" t="s">
        <v>17</v>
      </c>
      <c r="C344" s="455">
        <v>0.83244200000001456</v>
      </c>
      <c r="D344" s="456">
        <f t="shared" si="8"/>
        <v>10.459588955852151</v>
      </c>
      <c r="E344" s="457"/>
    </row>
    <row r="345" spans="1:7" x14ac:dyDescent="0.25">
      <c r="A345" s="247">
        <f>2024</f>
        <v>2024</v>
      </c>
      <c r="B345" s="274" t="s">
        <v>18</v>
      </c>
      <c r="C345" s="455">
        <v>0.78833700000001272</v>
      </c>
      <c r="D345" s="456">
        <f t="shared" si="8"/>
        <v>9.8811897693896977</v>
      </c>
      <c r="E345" s="457"/>
    </row>
    <row r="346" spans="1:7" x14ac:dyDescent="0.25">
      <c r="A346" s="247">
        <f>2024</f>
        <v>2024</v>
      </c>
      <c r="B346" s="274" t="s">
        <v>19</v>
      </c>
      <c r="C346" s="455">
        <v>0.90712200000000109</v>
      </c>
      <c r="D346" s="456">
        <f t="shared" si="8"/>
        <v>11.445320264875658</v>
      </c>
      <c r="E346" s="457"/>
    </row>
    <row r="347" spans="1:7" x14ac:dyDescent="0.25">
      <c r="A347" s="247">
        <f>2024</f>
        <v>2024</v>
      </c>
      <c r="B347" s="274" t="s">
        <v>20</v>
      </c>
      <c r="C347" s="455">
        <v>0.86751199999999073</v>
      </c>
      <c r="D347" s="456">
        <f t="shared" si="8"/>
        <v>10.921492283670919</v>
      </c>
      <c r="E347" s="457"/>
    </row>
    <row r="348" spans="1:7" x14ac:dyDescent="0.25">
      <c r="A348" s="247">
        <f>2024</f>
        <v>2024</v>
      </c>
      <c r="B348" s="274" t="s">
        <v>21</v>
      </c>
      <c r="C348" s="455">
        <v>0.83515700000000948</v>
      </c>
      <c r="D348" s="456">
        <f t="shared" si="8"/>
        <v>10.495284872116461</v>
      </c>
      <c r="E348" s="457"/>
    </row>
    <row r="349" spans="1:7" x14ac:dyDescent="0.2">
      <c r="A349" s="247">
        <f>2024</f>
        <v>2024</v>
      </c>
      <c r="B349" s="274" t="s">
        <v>22</v>
      </c>
      <c r="C349" s="455">
        <v>0.92795800000000384</v>
      </c>
      <c r="D349" s="456">
        <f t="shared" si="8"/>
        <v>11.721778091688284</v>
      </c>
      <c r="E349" s="457"/>
      <c r="G349" s="458"/>
    </row>
    <row r="350" spans="1:7" x14ac:dyDescent="0.2">
      <c r="A350" s="247">
        <f>2024</f>
        <v>2024</v>
      </c>
      <c r="B350" s="274" t="s">
        <v>23</v>
      </c>
      <c r="C350" s="455">
        <v>0.79298999999999342</v>
      </c>
      <c r="D350" s="456">
        <f t="shared" si="8"/>
        <v>9.9420786021189311</v>
      </c>
      <c r="E350" s="457"/>
      <c r="G350" s="458"/>
    </row>
    <row r="351" spans="1:7" x14ac:dyDescent="0.2">
      <c r="A351" s="247">
        <f>2024</f>
        <v>2024</v>
      </c>
      <c r="B351" s="274" t="s">
        <v>12</v>
      </c>
      <c r="C351" s="455">
        <v>0.93143099999999368</v>
      </c>
      <c r="D351" s="456">
        <f t="shared" si="8"/>
        <v>11.767919896476497</v>
      </c>
      <c r="E351" s="457"/>
      <c r="G351" s="458"/>
    </row>
    <row r="352" spans="1:7" x14ac:dyDescent="0.2">
      <c r="A352" s="247">
        <f>2025</f>
        <v>2025</v>
      </c>
      <c r="B352" s="274" t="s">
        <v>13</v>
      </c>
      <c r="C352" s="455">
        <v>1.01</v>
      </c>
      <c r="D352" s="456">
        <f t="shared" si="8"/>
        <v>12.816456143923505</v>
      </c>
      <c r="E352" s="457"/>
      <c r="G352" s="458"/>
    </row>
    <row r="353" spans="1:7" x14ac:dyDescent="0.2">
      <c r="A353" s="247">
        <f>2025</f>
        <v>2025</v>
      </c>
      <c r="B353" s="274" t="s">
        <v>14</v>
      </c>
      <c r="C353" s="455">
        <v>0.99</v>
      </c>
      <c r="D353" s="456">
        <f>100*((1+C353/100)^12-1)</f>
        <v>12.548695692601797</v>
      </c>
      <c r="E353" s="457"/>
      <c r="G353" s="458"/>
    </row>
    <row r="354" spans="1:7" x14ac:dyDescent="0.2">
      <c r="A354" s="247">
        <f>2025</f>
        <v>2025</v>
      </c>
      <c r="B354" s="274" t="s">
        <v>15</v>
      </c>
      <c r="C354" s="455">
        <v>0.96</v>
      </c>
      <c r="D354" s="456">
        <f>100*((1+C354/100)^12-1)</f>
        <v>12.148147149224521</v>
      </c>
      <c r="E354" s="457"/>
      <c r="G354" s="458"/>
    </row>
    <row r="355" spans="1:7" ht="16.5" thickBot="1" x14ac:dyDescent="0.25">
      <c r="A355" s="253">
        <f>2025</f>
        <v>2025</v>
      </c>
      <c r="B355" s="275" t="s">
        <v>16</v>
      </c>
      <c r="C355" s="459">
        <v>1.06</v>
      </c>
      <c r="D355" s="460">
        <f>100*((1+C355/100)^12-1)</f>
        <v>13.488414009111604</v>
      </c>
      <c r="E355" s="457"/>
      <c r="G355" s="458"/>
    </row>
    <row r="356" spans="1:7" x14ac:dyDescent="0.25">
      <c r="A356" s="461" t="s">
        <v>512</v>
      </c>
      <c r="C356" s="462"/>
      <c r="D356" s="462"/>
      <c r="E356" s="463"/>
    </row>
    <row r="357" spans="1:7" x14ac:dyDescent="0.25">
      <c r="A357" s="263" t="s">
        <v>513</v>
      </c>
    </row>
    <row r="358" spans="1:7" x14ac:dyDescent="0.25">
      <c r="A358" s="263" t="s">
        <v>514</v>
      </c>
    </row>
    <row r="359" spans="1:7" x14ac:dyDescent="0.25">
      <c r="A359" s="464" t="s">
        <v>515</v>
      </c>
    </row>
    <row r="362" spans="1:7" x14ac:dyDescent="0.25">
      <c r="A362" s="439">
        <v>4390</v>
      </c>
    </row>
  </sheetData>
  <mergeCells count="3">
    <mergeCell ref="A2:D2"/>
    <mergeCell ref="A3:D3"/>
    <mergeCell ref="A1:D1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0D66-299C-49D0-A6A2-F359D4226902}">
  <dimension ref="A1:Y53"/>
  <sheetViews>
    <sheetView showGridLines="0" workbookViewId="0">
      <selection activeCell="A5" sqref="A5"/>
    </sheetView>
  </sheetViews>
  <sheetFormatPr defaultColWidth="10.140625" defaultRowHeight="15" x14ac:dyDescent="0.25"/>
  <cols>
    <col min="1" max="1" width="12.85546875" style="465" customWidth="1"/>
    <col min="2" max="25" width="7.42578125" style="465" customWidth="1"/>
    <col min="26" max="16384" width="10.140625" style="465"/>
  </cols>
  <sheetData>
    <row r="1" spans="1:25" ht="30" customHeight="1" x14ac:dyDescent="0.25">
      <c r="A1" s="765" t="s">
        <v>516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</row>
    <row r="2" spans="1:25" ht="22.5" customHeight="1" x14ac:dyDescent="0.25">
      <c r="A2" s="765"/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5"/>
      <c r="V2" s="765"/>
      <c r="W2" s="765"/>
      <c r="X2" s="765"/>
    </row>
    <row r="3" spans="1:25" ht="16.5" customHeight="1" x14ac:dyDescent="0.25">
      <c r="A3" s="766" t="s">
        <v>595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U3" s="767"/>
      <c r="V3" s="767"/>
      <c r="W3" s="767"/>
      <c r="X3" s="767"/>
      <c r="Y3" s="767"/>
    </row>
    <row r="4" spans="1:25" ht="16.5" customHeight="1" x14ac:dyDescent="0.25">
      <c r="A4" s="766"/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  <c r="U4" s="767"/>
      <c r="V4" s="767"/>
      <c r="W4" s="767"/>
      <c r="X4" s="767"/>
      <c r="Y4" s="767"/>
    </row>
    <row r="5" spans="1:25" ht="30" customHeight="1" thickBot="1" x14ac:dyDescent="0.3">
      <c r="A5" s="466" t="s">
        <v>517</v>
      </c>
      <c r="B5" s="467">
        <v>2002</v>
      </c>
      <c r="C5" s="467">
        <v>2003</v>
      </c>
      <c r="D5" s="467">
        <v>2004</v>
      </c>
      <c r="E5" s="467">
        <v>2005</v>
      </c>
      <c r="F5" s="467">
        <v>2006</v>
      </c>
      <c r="G5" s="467">
        <v>2007</v>
      </c>
      <c r="H5" s="467">
        <v>2008</v>
      </c>
      <c r="I5" s="467">
        <v>2009</v>
      </c>
      <c r="J5" s="467">
        <v>2010</v>
      </c>
      <c r="K5" s="467">
        <v>2011</v>
      </c>
      <c r="L5" s="467">
        <v>2012</v>
      </c>
      <c r="M5" s="468">
        <v>2013</v>
      </c>
      <c r="N5" s="469">
        <v>2014</v>
      </c>
      <c r="O5" s="469">
        <v>2015</v>
      </c>
      <c r="P5" s="470">
        <v>2016</v>
      </c>
      <c r="Q5" s="471">
        <v>2017</v>
      </c>
      <c r="R5" s="469">
        <v>2018</v>
      </c>
      <c r="S5" s="470">
        <v>2019</v>
      </c>
      <c r="T5" s="470">
        <v>2020</v>
      </c>
      <c r="U5" s="472">
        <v>2021</v>
      </c>
      <c r="V5" s="472">
        <v>2022</v>
      </c>
      <c r="W5" s="469">
        <v>2023</v>
      </c>
      <c r="X5" s="469">
        <v>2024</v>
      </c>
      <c r="Y5" s="664">
        <v>2025</v>
      </c>
    </row>
    <row r="6" spans="1:25" ht="22.5" customHeight="1" x14ac:dyDescent="0.25">
      <c r="A6" s="473" t="s">
        <v>518</v>
      </c>
      <c r="B6" s="474">
        <v>257.39999999999998</v>
      </c>
      <c r="C6" s="475">
        <v>239.3</v>
      </c>
      <c r="D6" s="475">
        <v>218.84</v>
      </c>
      <c r="E6" s="475">
        <v>203.59</v>
      </c>
      <c r="F6" s="475">
        <v>185.98</v>
      </c>
      <c r="G6" s="475">
        <v>172.2</v>
      </c>
      <c r="H6" s="475">
        <v>161.1</v>
      </c>
      <c r="I6" s="475">
        <v>149.16</v>
      </c>
      <c r="J6" s="475">
        <v>140.05000000000001</v>
      </c>
      <c r="K6" s="475">
        <v>130.47999999999999</v>
      </c>
      <c r="L6" s="475">
        <v>119.41</v>
      </c>
      <c r="M6" s="476">
        <v>111.53</v>
      </c>
      <c r="N6" s="477">
        <v>103.36</v>
      </c>
      <c r="O6" s="478">
        <v>92.87</v>
      </c>
      <c r="P6" s="479">
        <v>80.209999999999994</v>
      </c>
      <c r="Q6" s="480">
        <v>66.98</v>
      </c>
      <c r="R6" s="481">
        <v>57.96</v>
      </c>
      <c r="S6" s="482">
        <v>51.76</v>
      </c>
      <c r="T6" s="483">
        <v>46.13</v>
      </c>
      <c r="U6" s="484">
        <v>43.64</v>
      </c>
      <c r="V6" s="485">
        <v>38.71</v>
      </c>
      <c r="W6" s="477">
        <v>26.59</v>
      </c>
      <c r="X6" s="658">
        <v>14.43</v>
      </c>
      <c r="Y6" s="661">
        <v>4.01</v>
      </c>
    </row>
    <row r="7" spans="1:25" ht="22.5" customHeight="1" x14ac:dyDescent="0.25">
      <c r="A7" s="486" t="s">
        <v>519</v>
      </c>
      <c r="B7" s="487">
        <v>256.14999999999998</v>
      </c>
      <c r="C7" s="488">
        <v>237.47</v>
      </c>
      <c r="D7" s="488">
        <v>217.76</v>
      </c>
      <c r="E7" s="488">
        <v>202.37</v>
      </c>
      <c r="F7" s="488">
        <v>184.83</v>
      </c>
      <c r="G7" s="488">
        <v>171.33</v>
      </c>
      <c r="H7" s="488">
        <v>160.30000000000001</v>
      </c>
      <c r="I7" s="488">
        <v>148.30000000000001</v>
      </c>
      <c r="J7" s="488">
        <v>139.46</v>
      </c>
      <c r="K7" s="488">
        <v>129.63999999999999</v>
      </c>
      <c r="L7" s="488">
        <v>118.66</v>
      </c>
      <c r="M7" s="489">
        <v>111.04</v>
      </c>
      <c r="N7" s="490">
        <v>102.57</v>
      </c>
      <c r="O7" s="491">
        <v>92.05</v>
      </c>
      <c r="P7" s="492">
        <v>79.209999999999994</v>
      </c>
      <c r="Q7" s="493">
        <v>66.11</v>
      </c>
      <c r="R7" s="494">
        <v>57.49</v>
      </c>
      <c r="S7" s="495">
        <v>51.27</v>
      </c>
      <c r="T7" s="496">
        <v>45.84</v>
      </c>
      <c r="U7" s="487">
        <v>43.51</v>
      </c>
      <c r="V7" s="488">
        <v>37.950000000000003</v>
      </c>
      <c r="W7" s="490">
        <v>25.67</v>
      </c>
      <c r="X7" s="659">
        <v>13.63</v>
      </c>
      <c r="Y7" s="662">
        <v>3.02</v>
      </c>
    </row>
    <row r="8" spans="1:25" ht="22.5" customHeight="1" x14ac:dyDescent="0.25">
      <c r="A8" s="486" t="s">
        <v>520</v>
      </c>
      <c r="B8" s="487">
        <v>254.78</v>
      </c>
      <c r="C8" s="488">
        <v>235.69</v>
      </c>
      <c r="D8" s="488">
        <v>216.38</v>
      </c>
      <c r="E8" s="488">
        <v>200.84</v>
      </c>
      <c r="F8" s="488">
        <v>183.41</v>
      </c>
      <c r="G8" s="488">
        <v>170.28</v>
      </c>
      <c r="H8" s="488">
        <v>159.46</v>
      </c>
      <c r="I8" s="488">
        <v>147.33000000000001</v>
      </c>
      <c r="J8" s="488">
        <v>138.69999999999999</v>
      </c>
      <c r="K8" s="488">
        <v>128.72</v>
      </c>
      <c r="L8" s="488">
        <v>117.84</v>
      </c>
      <c r="M8" s="489">
        <v>110.49</v>
      </c>
      <c r="N8" s="490">
        <v>101.8</v>
      </c>
      <c r="O8" s="491">
        <v>91.01</v>
      </c>
      <c r="P8" s="492">
        <v>78.05</v>
      </c>
      <c r="Q8" s="493">
        <v>65.06</v>
      </c>
      <c r="R8" s="494">
        <v>56.96</v>
      </c>
      <c r="S8" s="495">
        <v>50.8</v>
      </c>
      <c r="T8" s="496">
        <v>45.5</v>
      </c>
      <c r="U8" s="487">
        <v>43.31</v>
      </c>
      <c r="V8" s="488">
        <v>37.020000000000003</v>
      </c>
      <c r="W8" s="490">
        <v>24.5</v>
      </c>
      <c r="X8" s="659">
        <v>12.8</v>
      </c>
      <c r="Y8" s="662">
        <v>2.06</v>
      </c>
    </row>
    <row r="9" spans="1:25" ht="22.5" customHeight="1" x14ac:dyDescent="0.25">
      <c r="A9" s="486" t="s">
        <v>521</v>
      </c>
      <c r="B9" s="487">
        <v>253.3</v>
      </c>
      <c r="C9" s="488">
        <v>233.82</v>
      </c>
      <c r="D9" s="488">
        <v>215.2</v>
      </c>
      <c r="E9" s="488">
        <v>199.43</v>
      </c>
      <c r="F9" s="488">
        <v>182.33</v>
      </c>
      <c r="G9" s="488">
        <v>169.34</v>
      </c>
      <c r="H9" s="488">
        <v>158.56</v>
      </c>
      <c r="I9" s="488">
        <v>146.49</v>
      </c>
      <c r="J9" s="488">
        <v>138.03</v>
      </c>
      <c r="K9" s="488">
        <v>127.88</v>
      </c>
      <c r="L9" s="488">
        <v>117.13</v>
      </c>
      <c r="M9" s="489">
        <v>109.88</v>
      </c>
      <c r="N9" s="490">
        <v>100.98</v>
      </c>
      <c r="O9" s="491">
        <v>90.06</v>
      </c>
      <c r="P9" s="492">
        <v>76.989999999999995</v>
      </c>
      <c r="Q9" s="493">
        <v>64.27</v>
      </c>
      <c r="R9" s="494">
        <v>56.44</v>
      </c>
      <c r="S9" s="495">
        <v>50.28</v>
      </c>
      <c r="T9" s="496">
        <v>45.22</v>
      </c>
      <c r="U9" s="487">
        <v>43.1</v>
      </c>
      <c r="V9" s="488">
        <v>36.19</v>
      </c>
      <c r="W9" s="490">
        <v>23.58</v>
      </c>
      <c r="X9" s="659">
        <v>11.91</v>
      </c>
      <c r="Y9" s="662">
        <v>1</v>
      </c>
    </row>
    <row r="10" spans="1:25" ht="22.5" customHeight="1" x14ac:dyDescent="0.25">
      <c r="A10" s="486" t="s">
        <v>522</v>
      </c>
      <c r="B10" s="487">
        <v>251.89</v>
      </c>
      <c r="C10" s="488">
        <v>231.85</v>
      </c>
      <c r="D10" s="488">
        <v>213.97</v>
      </c>
      <c r="E10" s="488">
        <v>197.93</v>
      </c>
      <c r="F10" s="488">
        <v>181.05</v>
      </c>
      <c r="G10" s="488">
        <v>168.31</v>
      </c>
      <c r="H10" s="488">
        <v>157.68</v>
      </c>
      <c r="I10" s="488">
        <v>145.72</v>
      </c>
      <c r="J10" s="488">
        <v>137.28</v>
      </c>
      <c r="K10" s="488">
        <v>126.89</v>
      </c>
      <c r="L10" s="488">
        <v>116.39</v>
      </c>
      <c r="M10" s="489">
        <v>109.28</v>
      </c>
      <c r="N10" s="490">
        <v>100.11</v>
      </c>
      <c r="O10" s="491">
        <v>89.07</v>
      </c>
      <c r="P10" s="492">
        <v>75.88</v>
      </c>
      <c r="Q10" s="493">
        <v>63.34</v>
      </c>
      <c r="R10" s="494">
        <v>55.92</v>
      </c>
      <c r="S10" s="495">
        <v>49.74</v>
      </c>
      <c r="T10" s="496">
        <v>44.98</v>
      </c>
      <c r="U10" s="487">
        <v>42.83</v>
      </c>
      <c r="V10" s="488">
        <v>35.159999999999997</v>
      </c>
      <c r="W10" s="490">
        <v>22.46</v>
      </c>
      <c r="X10" s="659">
        <v>11.08</v>
      </c>
      <c r="Y10" s="662"/>
    </row>
    <row r="11" spans="1:25" ht="22.5" customHeight="1" x14ac:dyDescent="0.25">
      <c r="A11" s="486" t="s">
        <v>523</v>
      </c>
      <c r="B11" s="487">
        <v>250.56</v>
      </c>
      <c r="C11" s="488">
        <v>229.99</v>
      </c>
      <c r="D11" s="488">
        <v>212.74</v>
      </c>
      <c r="E11" s="488">
        <v>196.34</v>
      </c>
      <c r="F11" s="488">
        <v>179.87</v>
      </c>
      <c r="G11" s="488">
        <v>167.4</v>
      </c>
      <c r="H11" s="488">
        <v>156.72</v>
      </c>
      <c r="I11" s="488">
        <v>144.96</v>
      </c>
      <c r="J11" s="488">
        <v>136.49</v>
      </c>
      <c r="K11" s="488">
        <v>125.93</v>
      </c>
      <c r="L11" s="488">
        <v>115.75</v>
      </c>
      <c r="M11" s="489">
        <v>108.67</v>
      </c>
      <c r="N11" s="490">
        <v>99.29</v>
      </c>
      <c r="O11" s="491">
        <v>88</v>
      </c>
      <c r="P11" s="492">
        <v>74.72</v>
      </c>
      <c r="Q11" s="493">
        <v>62.53</v>
      </c>
      <c r="R11" s="494">
        <v>55.4</v>
      </c>
      <c r="S11" s="495">
        <v>49.27</v>
      </c>
      <c r="T11" s="496">
        <v>44.77</v>
      </c>
      <c r="U11" s="487">
        <v>42.52</v>
      </c>
      <c r="V11" s="488">
        <v>34.14</v>
      </c>
      <c r="W11" s="490">
        <v>21.39</v>
      </c>
      <c r="X11" s="659">
        <v>10.29</v>
      </c>
      <c r="Y11" s="662"/>
    </row>
    <row r="12" spans="1:25" ht="22.5" customHeight="1" x14ac:dyDescent="0.25">
      <c r="A12" s="486" t="s">
        <v>524</v>
      </c>
      <c r="B12" s="487">
        <v>249.02</v>
      </c>
      <c r="C12" s="488">
        <v>227.91</v>
      </c>
      <c r="D12" s="488">
        <v>211.45</v>
      </c>
      <c r="E12" s="488">
        <v>194.83</v>
      </c>
      <c r="F12" s="488">
        <v>178.7</v>
      </c>
      <c r="G12" s="488">
        <v>166.43</v>
      </c>
      <c r="H12" s="488">
        <v>155.65</v>
      </c>
      <c r="I12" s="488">
        <v>144.16999999999999</v>
      </c>
      <c r="J12" s="488">
        <v>135.63</v>
      </c>
      <c r="K12" s="488">
        <v>124.96</v>
      </c>
      <c r="L12" s="488">
        <v>115.07</v>
      </c>
      <c r="M12" s="489">
        <v>107.95</v>
      </c>
      <c r="N12" s="490">
        <v>98.34</v>
      </c>
      <c r="O12" s="491">
        <v>86.82</v>
      </c>
      <c r="P12" s="492">
        <v>73.61</v>
      </c>
      <c r="Q12" s="493">
        <v>61.73</v>
      </c>
      <c r="R12" s="494">
        <v>54.86</v>
      </c>
      <c r="S12" s="495">
        <v>48.7</v>
      </c>
      <c r="T12" s="496">
        <v>44.58</v>
      </c>
      <c r="U12" s="487">
        <v>42.16</v>
      </c>
      <c r="V12" s="488">
        <v>33.11</v>
      </c>
      <c r="W12" s="490">
        <v>20.32</v>
      </c>
      <c r="X12" s="659">
        <v>9.3800000000000008</v>
      </c>
      <c r="Y12" s="662"/>
    </row>
    <row r="13" spans="1:25" ht="22.5" customHeight="1" x14ac:dyDescent="0.25">
      <c r="A13" s="486" t="s">
        <v>525</v>
      </c>
      <c r="B13" s="487">
        <v>247.58</v>
      </c>
      <c r="C13" s="488">
        <v>226.14</v>
      </c>
      <c r="D13" s="488">
        <v>210.16</v>
      </c>
      <c r="E13" s="488">
        <v>193.17</v>
      </c>
      <c r="F13" s="488">
        <v>177.44</v>
      </c>
      <c r="G13" s="488">
        <v>165.44</v>
      </c>
      <c r="H13" s="488">
        <v>154.63</v>
      </c>
      <c r="I13" s="488">
        <v>143.47999999999999</v>
      </c>
      <c r="J13" s="488">
        <v>134.74</v>
      </c>
      <c r="K13" s="488">
        <v>123.89</v>
      </c>
      <c r="L13" s="488">
        <v>114.38</v>
      </c>
      <c r="M13" s="489">
        <v>107.24</v>
      </c>
      <c r="N13" s="490">
        <v>97.47</v>
      </c>
      <c r="O13" s="491">
        <v>85.71</v>
      </c>
      <c r="P13" s="492">
        <v>72.39</v>
      </c>
      <c r="Q13" s="493">
        <v>60.93</v>
      </c>
      <c r="R13" s="494">
        <v>54.29</v>
      </c>
      <c r="S13" s="495">
        <v>48.2</v>
      </c>
      <c r="T13" s="496">
        <v>44.42</v>
      </c>
      <c r="U13" s="487">
        <v>41.73</v>
      </c>
      <c r="V13" s="488">
        <v>31.94</v>
      </c>
      <c r="W13" s="490">
        <v>19.18</v>
      </c>
      <c r="X13" s="659">
        <v>8.51</v>
      </c>
      <c r="Y13" s="662"/>
    </row>
    <row r="14" spans="1:25" ht="22.5" customHeight="1" x14ac:dyDescent="0.25">
      <c r="A14" s="486" t="s">
        <v>526</v>
      </c>
      <c r="B14" s="487">
        <v>246.2</v>
      </c>
      <c r="C14" s="488">
        <v>224.46</v>
      </c>
      <c r="D14" s="488">
        <v>208.91</v>
      </c>
      <c r="E14" s="488">
        <v>191.67</v>
      </c>
      <c r="F14" s="488">
        <v>176.38</v>
      </c>
      <c r="G14" s="488">
        <v>164.64</v>
      </c>
      <c r="H14" s="488">
        <v>153.53</v>
      </c>
      <c r="I14" s="488">
        <v>142.79</v>
      </c>
      <c r="J14" s="488">
        <v>133.88999999999999</v>
      </c>
      <c r="K14" s="488">
        <v>122.95</v>
      </c>
      <c r="L14" s="488">
        <v>113.84</v>
      </c>
      <c r="M14" s="489">
        <v>106.53</v>
      </c>
      <c r="N14" s="490">
        <v>96.56</v>
      </c>
      <c r="O14" s="491">
        <v>84.6</v>
      </c>
      <c r="P14" s="492">
        <v>71.28</v>
      </c>
      <c r="Q14" s="493">
        <v>60.29</v>
      </c>
      <c r="R14" s="494">
        <v>53.82</v>
      </c>
      <c r="S14" s="495">
        <v>47.74</v>
      </c>
      <c r="T14" s="496">
        <v>44.26</v>
      </c>
      <c r="U14" s="487">
        <v>41.29</v>
      </c>
      <c r="V14" s="488">
        <v>30.87</v>
      </c>
      <c r="W14" s="490">
        <v>18.21</v>
      </c>
      <c r="X14" s="659">
        <v>7.67</v>
      </c>
      <c r="Y14" s="662"/>
    </row>
    <row r="15" spans="1:25" ht="22.5" customHeight="1" x14ac:dyDescent="0.25">
      <c r="A15" s="486" t="s">
        <v>527</v>
      </c>
      <c r="B15" s="487">
        <v>244.55</v>
      </c>
      <c r="C15" s="488">
        <v>222.82</v>
      </c>
      <c r="D15" s="488">
        <v>207.7</v>
      </c>
      <c r="E15" s="488">
        <v>190.26</v>
      </c>
      <c r="F15" s="488">
        <v>175.29</v>
      </c>
      <c r="G15" s="488">
        <v>163.71</v>
      </c>
      <c r="H15" s="488">
        <v>152.35</v>
      </c>
      <c r="I15" s="488">
        <v>142.1</v>
      </c>
      <c r="J15" s="488">
        <v>133.08000000000001</v>
      </c>
      <c r="K15" s="488">
        <v>122.07</v>
      </c>
      <c r="L15" s="488">
        <v>113.23</v>
      </c>
      <c r="M15" s="489">
        <v>105.72</v>
      </c>
      <c r="N15" s="490">
        <v>95.61</v>
      </c>
      <c r="O15" s="491">
        <v>83.49</v>
      </c>
      <c r="P15" s="492">
        <v>70.23</v>
      </c>
      <c r="Q15" s="493">
        <v>59.65</v>
      </c>
      <c r="R15" s="494">
        <v>53.28</v>
      </c>
      <c r="S15" s="495">
        <v>47.26</v>
      </c>
      <c r="T15" s="496">
        <v>44.1</v>
      </c>
      <c r="U15" s="487">
        <v>40.799999999999997</v>
      </c>
      <c r="V15" s="488">
        <v>29.85</v>
      </c>
      <c r="W15" s="490">
        <v>17.21</v>
      </c>
      <c r="X15" s="659">
        <v>6.74</v>
      </c>
      <c r="Y15" s="662"/>
    </row>
    <row r="16" spans="1:25" ht="22.5" customHeight="1" x14ac:dyDescent="0.25">
      <c r="A16" s="486" t="s">
        <v>528</v>
      </c>
      <c r="B16" s="487">
        <v>243.01</v>
      </c>
      <c r="C16" s="488">
        <v>221.48</v>
      </c>
      <c r="D16" s="488">
        <v>206.45</v>
      </c>
      <c r="E16" s="488">
        <v>188.88</v>
      </c>
      <c r="F16" s="488">
        <v>174.27</v>
      </c>
      <c r="G16" s="488">
        <v>162.87</v>
      </c>
      <c r="H16" s="488">
        <v>151.33000000000001</v>
      </c>
      <c r="I16" s="488">
        <v>141.44</v>
      </c>
      <c r="J16" s="488">
        <v>132.27000000000001</v>
      </c>
      <c r="K16" s="488">
        <v>121.21</v>
      </c>
      <c r="L16" s="488">
        <v>112.68</v>
      </c>
      <c r="M16" s="489">
        <v>105</v>
      </c>
      <c r="N16" s="490">
        <v>94.77</v>
      </c>
      <c r="O16" s="491">
        <v>82.43</v>
      </c>
      <c r="P16" s="492">
        <v>69.19</v>
      </c>
      <c r="Q16" s="493">
        <v>59.08</v>
      </c>
      <c r="R16" s="494">
        <v>52.79</v>
      </c>
      <c r="S16" s="495">
        <v>46.88</v>
      </c>
      <c r="T16" s="496">
        <v>43.95</v>
      </c>
      <c r="U16" s="487">
        <v>40.21</v>
      </c>
      <c r="V16" s="488">
        <v>28.83</v>
      </c>
      <c r="W16" s="490">
        <v>16.29</v>
      </c>
      <c r="X16" s="659">
        <v>5.95</v>
      </c>
      <c r="Y16" s="662"/>
    </row>
    <row r="17" spans="1:25" ht="22.5" customHeight="1" thickBot="1" x14ac:dyDescent="0.3">
      <c r="A17" s="497" t="s">
        <v>529</v>
      </c>
      <c r="B17" s="498">
        <v>241.27</v>
      </c>
      <c r="C17" s="499">
        <v>220.11</v>
      </c>
      <c r="D17" s="499">
        <v>204.97</v>
      </c>
      <c r="E17" s="499">
        <v>187.41</v>
      </c>
      <c r="F17" s="499">
        <v>173.28</v>
      </c>
      <c r="G17" s="499">
        <v>162.03</v>
      </c>
      <c r="H17" s="499">
        <v>150.21</v>
      </c>
      <c r="I17" s="499">
        <v>140.71</v>
      </c>
      <c r="J17" s="499">
        <v>131.34</v>
      </c>
      <c r="K17" s="499">
        <v>120.3</v>
      </c>
      <c r="L17" s="499">
        <v>112.13</v>
      </c>
      <c r="M17" s="499">
        <v>104.21</v>
      </c>
      <c r="N17" s="500">
        <v>93.81</v>
      </c>
      <c r="O17" s="501">
        <v>81.27</v>
      </c>
      <c r="P17" s="502">
        <v>68.069999999999993</v>
      </c>
      <c r="Q17" s="503">
        <v>58.54</v>
      </c>
      <c r="R17" s="504">
        <v>52.3</v>
      </c>
      <c r="S17" s="505">
        <v>46.51</v>
      </c>
      <c r="T17" s="506">
        <v>43.79</v>
      </c>
      <c r="U17" s="498">
        <v>39.44</v>
      </c>
      <c r="V17" s="499">
        <v>27.71</v>
      </c>
      <c r="W17" s="500">
        <v>15.4</v>
      </c>
      <c r="X17" s="660">
        <v>5.0199999999999996</v>
      </c>
      <c r="Y17" s="663"/>
    </row>
    <row r="18" spans="1:25" ht="26.25" customHeight="1" x14ac:dyDescent="0.25">
      <c r="A18" s="507" t="s">
        <v>530</v>
      </c>
      <c r="D18" s="508"/>
      <c r="I18" s="508"/>
      <c r="L18" s="508"/>
      <c r="V18" s="509"/>
      <c r="W18" s="510"/>
      <c r="Y18" s="510"/>
    </row>
    <row r="19" spans="1:25" ht="26.25" customHeight="1" x14ac:dyDescent="0.25">
      <c r="A19" s="511"/>
      <c r="B19" s="512"/>
      <c r="D19" s="508"/>
      <c r="I19" s="508"/>
      <c r="L19" s="508"/>
      <c r="S19" s="513"/>
      <c r="T19" s="513"/>
      <c r="W19" s="514"/>
      <c r="Y19" s="514"/>
    </row>
    <row r="20" spans="1:25" ht="26.25" customHeight="1" x14ac:dyDescent="0.25">
      <c r="A20" s="515"/>
      <c r="D20" s="508"/>
      <c r="I20" s="508"/>
      <c r="L20" s="508"/>
      <c r="S20" s="513"/>
      <c r="T20" s="513"/>
      <c r="W20" s="516"/>
      <c r="Y20" s="516"/>
    </row>
    <row r="21" spans="1:25" ht="26.25" customHeight="1" x14ac:dyDescent="0.25">
      <c r="A21" s="515"/>
      <c r="D21" s="508"/>
      <c r="I21" s="508"/>
      <c r="L21" s="508"/>
      <c r="S21" s="513"/>
      <c r="T21" s="513"/>
      <c r="W21" s="516"/>
      <c r="Y21" s="516"/>
    </row>
    <row r="22" spans="1:25" ht="26.25" customHeight="1" x14ac:dyDescent="0.25">
      <c r="A22" s="515"/>
      <c r="D22" s="508"/>
      <c r="I22" s="508"/>
      <c r="L22" s="508"/>
      <c r="S22" s="513"/>
      <c r="T22" s="513"/>
      <c r="W22" s="516"/>
      <c r="Y22" s="516"/>
    </row>
    <row r="23" spans="1:25" ht="26.25" customHeight="1" x14ac:dyDescent="0.25">
      <c r="A23" s="515"/>
      <c r="D23" s="508"/>
      <c r="I23" s="508"/>
      <c r="L23" s="508"/>
      <c r="S23" s="513"/>
      <c r="T23" s="513"/>
      <c r="W23" s="516"/>
      <c r="Y23" s="516"/>
    </row>
    <row r="24" spans="1:25" ht="26.25" customHeight="1" x14ac:dyDescent="0.25">
      <c r="A24" s="515"/>
      <c r="D24" s="508"/>
      <c r="I24" s="508"/>
      <c r="L24" s="508"/>
      <c r="S24" s="513"/>
      <c r="T24" s="513"/>
      <c r="W24" s="516"/>
      <c r="Y24" s="516"/>
    </row>
    <row r="25" spans="1:25" ht="26.25" customHeight="1" x14ac:dyDescent="0.25">
      <c r="A25" s="515"/>
      <c r="D25" s="508"/>
      <c r="I25" s="508"/>
      <c r="L25" s="508"/>
      <c r="S25" s="513"/>
      <c r="T25" s="513"/>
      <c r="W25" s="516"/>
      <c r="Y25" s="516"/>
    </row>
    <row r="26" spans="1:25" ht="26.25" customHeight="1" x14ac:dyDescent="0.25">
      <c r="A26" s="515"/>
      <c r="B26" s="517"/>
      <c r="D26" s="508"/>
      <c r="I26" s="508"/>
      <c r="L26" s="508"/>
      <c r="S26" s="513"/>
      <c r="T26" s="513"/>
      <c r="W26" s="516"/>
      <c r="Y26" s="516"/>
    </row>
    <row r="27" spans="1:25" ht="26.25" customHeight="1" x14ac:dyDescent="0.25">
      <c r="A27" s="515"/>
      <c r="B27" s="517"/>
      <c r="D27" s="508"/>
      <c r="I27" s="508"/>
      <c r="L27" s="508"/>
      <c r="S27" s="513"/>
      <c r="T27" s="513"/>
      <c r="W27" s="516"/>
      <c r="Y27" s="516"/>
    </row>
    <row r="28" spans="1:25" ht="26.25" customHeight="1" x14ac:dyDescent="0.25">
      <c r="A28" s="515"/>
      <c r="B28" s="517"/>
      <c r="D28" s="508"/>
      <c r="I28" s="508"/>
      <c r="L28" s="508"/>
      <c r="S28" s="513"/>
      <c r="T28" s="513"/>
      <c r="W28" s="516"/>
      <c r="Y28" s="516"/>
    </row>
    <row r="29" spans="1:25" ht="26.25" customHeight="1" x14ac:dyDescent="0.25">
      <c r="A29" s="515"/>
      <c r="B29" s="517"/>
      <c r="D29" s="508"/>
      <c r="I29" s="508"/>
      <c r="L29" s="508"/>
      <c r="S29" s="513"/>
      <c r="T29" s="513"/>
      <c r="W29" s="516"/>
      <c r="Y29" s="516"/>
    </row>
    <row r="30" spans="1:25" ht="26.25" customHeight="1" x14ac:dyDescent="0.25">
      <c r="A30" s="515"/>
      <c r="B30" s="517"/>
      <c r="D30" s="508"/>
      <c r="I30" s="508"/>
      <c r="L30" s="508"/>
      <c r="S30" s="513"/>
      <c r="T30" s="513"/>
      <c r="W30" s="516"/>
      <c r="Y30" s="516"/>
    </row>
    <row r="31" spans="1:25" ht="26.25" customHeight="1" x14ac:dyDescent="0.25">
      <c r="A31" s="515"/>
      <c r="B31" s="517"/>
      <c r="D31" s="508"/>
      <c r="I31" s="508"/>
      <c r="L31" s="508"/>
      <c r="W31" s="516"/>
      <c r="Y31" s="516"/>
    </row>
    <row r="32" spans="1:25" ht="26.25" customHeight="1" x14ac:dyDescent="0.25">
      <c r="A32" s="518"/>
      <c r="D32" s="508"/>
      <c r="I32" s="508"/>
      <c r="L32" s="508"/>
      <c r="W32" s="516"/>
      <c r="Y32" s="516"/>
    </row>
    <row r="33" spans="1:18" ht="26.25" customHeight="1" x14ac:dyDescent="0.25">
      <c r="A33" s="518"/>
      <c r="D33" s="508"/>
      <c r="I33" s="508"/>
      <c r="L33" s="508"/>
    </row>
    <row r="34" spans="1:18" ht="26.25" customHeight="1" x14ac:dyDescent="0.25">
      <c r="F34" s="519"/>
      <c r="G34" s="520"/>
      <c r="H34" s="520"/>
      <c r="I34" s="520"/>
      <c r="J34" s="520"/>
      <c r="K34" s="520"/>
      <c r="L34" s="520"/>
      <c r="M34" s="520"/>
      <c r="N34" s="520"/>
      <c r="O34" s="520"/>
    </row>
    <row r="35" spans="1:18" ht="26.25" customHeight="1" x14ac:dyDescent="0.25">
      <c r="A35" s="521" t="s">
        <v>517</v>
      </c>
      <c r="B35" s="522">
        <v>2002</v>
      </c>
      <c r="C35" s="522">
        <v>2003</v>
      </c>
      <c r="D35" s="522">
        <v>2004</v>
      </c>
      <c r="E35" s="522">
        <v>2005</v>
      </c>
      <c r="F35" s="522">
        <v>2006</v>
      </c>
      <c r="G35" s="522">
        <v>2007</v>
      </c>
      <c r="H35" s="522">
        <v>2008</v>
      </c>
      <c r="I35" s="522">
        <v>2009</v>
      </c>
      <c r="J35" s="522">
        <v>2010</v>
      </c>
      <c r="K35" s="522">
        <v>2011</v>
      </c>
      <c r="L35" s="522">
        <v>2012</v>
      </c>
      <c r="M35" s="523"/>
      <c r="N35" s="524"/>
      <c r="O35" s="524"/>
    </row>
    <row r="36" spans="1:18" s="530" customFormat="1" ht="16.5" customHeight="1" x14ac:dyDescent="0.2">
      <c r="A36" s="525" t="s">
        <v>518</v>
      </c>
      <c r="B36" s="526">
        <f>(139.75)</f>
        <v>139.75</v>
      </c>
      <c r="C36" s="526">
        <f>121.65</f>
        <v>121.65</v>
      </c>
      <c r="D36" s="526">
        <f>101.19</f>
        <v>101.19</v>
      </c>
      <c r="E36" s="526">
        <f>85.94</f>
        <v>85.94</v>
      </c>
      <c r="F36" s="526">
        <f>68.33</f>
        <v>68.33</v>
      </c>
      <c r="G36" s="526">
        <f>54.55</f>
        <v>54.55</v>
      </c>
      <c r="H36" s="526">
        <f>43.45</f>
        <v>43.45</v>
      </c>
      <c r="I36" s="526">
        <f>31.51</f>
        <v>31.51</v>
      </c>
      <c r="J36" s="526">
        <f>22.4</f>
        <v>22.4</v>
      </c>
      <c r="K36" s="526">
        <f>12.83</f>
        <v>12.83</v>
      </c>
      <c r="L36" s="526" t="e">
        <f>1.76+(1*#REF!)+1*#REF!+(1*#REF!)+(1*#REF!)</f>
        <v>#REF!</v>
      </c>
      <c r="M36" s="523"/>
      <c r="N36" s="527"/>
      <c r="O36" s="528"/>
      <c r="P36" s="529"/>
      <c r="Q36" s="529"/>
      <c r="R36" s="529"/>
    </row>
    <row r="37" spans="1:18" s="530" customFormat="1" ht="16.5" customHeight="1" x14ac:dyDescent="0.2">
      <c r="A37" s="525" t="s">
        <v>519</v>
      </c>
      <c r="B37" s="526">
        <f>(138.5)</f>
        <v>138.5</v>
      </c>
      <c r="C37" s="526">
        <f>119.82</f>
        <v>119.82</v>
      </c>
      <c r="D37" s="526">
        <f>100.11</f>
        <v>100.11</v>
      </c>
      <c r="E37" s="526">
        <f>84.72</f>
        <v>84.72</v>
      </c>
      <c r="F37" s="526">
        <f>67.18</f>
        <v>67.180000000000007</v>
      </c>
      <c r="G37" s="526">
        <f>53.68</f>
        <v>53.68</v>
      </c>
      <c r="H37" s="526">
        <f>42.65</f>
        <v>42.65</v>
      </c>
      <c r="I37" s="526">
        <f>30.65</f>
        <v>30.65</v>
      </c>
      <c r="J37" s="526">
        <f>21.81</f>
        <v>21.81</v>
      </c>
      <c r="K37" s="526">
        <f>11.99</f>
        <v>11.99</v>
      </c>
      <c r="L37" s="526" t="e">
        <f>1.82+(1*#REF!)+(1*#REF!)+(1*#REF!)</f>
        <v>#REF!</v>
      </c>
      <c r="M37" s="530" t="e">
        <f>L37-1</f>
        <v>#REF!</v>
      </c>
      <c r="N37" s="527"/>
      <c r="O37" s="528"/>
      <c r="P37" s="529"/>
      <c r="Q37" s="529"/>
      <c r="R37" s="529"/>
    </row>
    <row r="38" spans="1:18" s="530" customFormat="1" ht="16.5" customHeight="1" x14ac:dyDescent="0.25">
      <c r="A38" s="525" t="s">
        <v>520</v>
      </c>
      <c r="B38" s="526">
        <f>137.13</f>
        <v>137.13</v>
      </c>
      <c r="C38" s="526">
        <f>118.04</f>
        <v>118.04</v>
      </c>
      <c r="D38" s="526">
        <f>98.73</f>
        <v>98.73</v>
      </c>
      <c r="E38" s="526">
        <f>83.19</f>
        <v>83.19</v>
      </c>
      <c r="F38" s="526">
        <f>65.76</f>
        <v>65.760000000000005</v>
      </c>
      <c r="G38" s="526">
        <f>52.63</f>
        <v>52.63</v>
      </c>
      <c r="H38" s="526">
        <f>41.81</f>
        <v>41.81</v>
      </c>
      <c r="I38" s="526">
        <f>29.68</f>
        <v>29.68</v>
      </c>
      <c r="J38" s="526">
        <f>21.05</f>
        <v>21.05</v>
      </c>
      <c r="K38" s="526">
        <f>11.07</f>
        <v>11.07</v>
      </c>
      <c r="L38" s="526" t="e">
        <f>(#REF!)</f>
        <v>#REF!</v>
      </c>
      <c r="O38" s="528"/>
      <c r="P38" s="529"/>
      <c r="Q38" s="529"/>
      <c r="R38" s="529"/>
    </row>
    <row r="39" spans="1:18" s="530" customFormat="1" ht="16.5" customHeight="1" x14ac:dyDescent="0.25">
      <c r="A39" s="525" t="s">
        <v>521</v>
      </c>
      <c r="B39" s="526">
        <f>135.65</f>
        <v>135.65</v>
      </c>
      <c r="C39" s="526">
        <f>116.17</f>
        <v>116.17</v>
      </c>
      <c r="D39" s="526">
        <f>97.55</f>
        <v>97.55</v>
      </c>
      <c r="E39" s="526">
        <f>81.78</f>
        <v>81.78</v>
      </c>
      <c r="F39" s="526">
        <f>64.68</f>
        <v>64.680000000000007</v>
      </c>
      <c r="G39" s="526">
        <f>51.69</f>
        <v>51.69</v>
      </c>
      <c r="H39" s="526">
        <f>40.91</f>
        <v>40.909999999999997</v>
      </c>
      <c r="I39" s="526">
        <f>28.84</f>
        <v>28.84</v>
      </c>
      <c r="J39" s="526">
        <f>20.38</f>
        <v>20.38</v>
      </c>
      <c r="K39" s="526">
        <f>10.23</f>
        <v>10.23</v>
      </c>
      <c r="L39" s="526" t="e">
        <f>(#REF!)</f>
        <v>#REF!</v>
      </c>
      <c r="O39" s="528"/>
      <c r="P39" s="529"/>
      <c r="Q39" s="529"/>
      <c r="R39" s="529"/>
    </row>
    <row r="40" spans="1:18" s="530" customFormat="1" ht="16.5" customHeight="1" x14ac:dyDescent="0.25">
      <c r="A40" s="525" t="s">
        <v>522</v>
      </c>
      <c r="B40" s="526">
        <f>134.24</f>
        <v>134.24</v>
      </c>
      <c r="C40" s="526">
        <f>114.2</f>
        <v>114.2</v>
      </c>
      <c r="D40" s="526">
        <f>96.32</f>
        <v>96.32</v>
      </c>
      <c r="E40" s="526">
        <f>80.28</f>
        <v>80.28</v>
      </c>
      <c r="F40" s="526">
        <f>63.4</f>
        <v>63.4</v>
      </c>
      <c r="G40" s="526">
        <f>50.66</f>
        <v>50.66</v>
      </c>
      <c r="H40" s="526">
        <f>40.03</f>
        <v>40.03</v>
      </c>
      <c r="I40" s="526">
        <f>28.07</f>
        <v>28.07</v>
      </c>
      <c r="J40" s="526">
        <f>19.63</f>
        <v>19.63</v>
      </c>
      <c r="K40" s="526">
        <f>9.24</f>
        <v>9.24</v>
      </c>
      <c r="L40" s="526" t="e">
        <f>(#REF!)+0.01</f>
        <v>#REF!</v>
      </c>
      <c r="O40" s="528"/>
      <c r="P40" s="529"/>
      <c r="Q40" s="529"/>
      <c r="R40" s="529"/>
    </row>
    <row r="41" spans="1:18" s="530" customFormat="1" ht="16.5" customHeight="1" x14ac:dyDescent="0.25">
      <c r="A41" s="525" t="s">
        <v>523</v>
      </c>
      <c r="B41" s="526">
        <f>132.9</f>
        <v>132.9</v>
      </c>
      <c r="C41" s="526">
        <f>112.34</f>
        <v>112.34</v>
      </c>
      <c r="D41" s="526">
        <f>95.09</f>
        <v>95.09</v>
      </c>
      <c r="E41" s="526">
        <f>78.69</f>
        <v>78.69</v>
      </c>
      <c r="F41" s="526">
        <f>62.22</f>
        <v>62.22</v>
      </c>
      <c r="G41" s="526">
        <f>49.75</f>
        <v>49.75</v>
      </c>
      <c r="H41" s="526">
        <f>39.07</f>
        <v>39.07</v>
      </c>
      <c r="I41" s="526">
        <f>27.31</f>
        <v>27.31</v>
      </c>
      <c r="J41" s="526">
        <f>18.84</f>
        <v>18.84</v>
      </c>
      <c r="K41" s="526">
        <f>8.28</f>
        <v>8.2799999999999994</v>
      </c>
      <c r="L41" s="526" t="e">
        <f>(#REF!)+0.01</f>
        <v>#REF!</v>
      </c>
      <c r="O41" s="528"/>
      <c r="P41" s="529"/>
      <c r="Q41" s="529"/>
      <c r="R41" s="529"/>
    </row>
    <row r="42" spans="1:18" s="530" customFormat="1" ht="16.5" customHeight="1" x14ac:dyDescent="0.25">
      <c r="A42" s="525" t="s">
        <v>524</v>
      </c>
      <c r="B42" s="526">
        <f>131.37</f>
        <v>131.37</v>
      </c>
      <c r="C42" s="526">
        <f>110.26</f>
        <v>110.26</v>
      </c>
      <c r="D42" s="526">
        <f>93.8</f>
        <v>93.8</v>
      </c>
      <c r="E42" s="526">
        <f>77.18</f>
        <v>77.180000000000007</v>
      </c>
      <c r="F42" s="526">
        <f>61.05</f>
        <v>61.05</v>
      </c>
      <c r="G42" s="526">
        <f>48.78</f>
        <v>48.78</v>
      </c>
      <c r="H42" s="526">
        <f>38</f>
        <v>38</v>
      </c>
      <c r="I42" s="526">
        <f>26.52</f>
        <v>26.52</v>
      </c>
      <c r="J42" s="526">
        <f>17.98</f>
        <v>17.98</v>
      </c>
      <c r="K42" s="526">
        <f>7.31</f>
        <v>7.31</v>
      </c>
      <c r="L42" s="526" t="e">
        <f>(#REF!)+0.01</f>
        <v>#REF!</v>
      </c>
      <c r="O42" s="528"/>
      <c r="P42" s="529"/>
      <c r="Q42" s="529"/>
      <c r="R42" s="529"/>
    </row>
    <row r="43" spans="1:18" s="530" customFormat="1" ht="16.5" customHeight="1" x14ac:dyDescent="0.25">
      <c r="A43" s="525" t="s">
        <v>525</v>
      </c>
      <c r="B43" s="526">
        <f>129.93</f>
        <v>129.93</v>
      </c>
      <c r="C43" s="526">
        <f>108.49</f>
        <v>108.49</v>
      </c>
      <c r="D43" s="526">
        <f>92.51</f>
        <v>92.51</v>
      </c>
      <c r="E43" s="526">
        <f>75.52</f>
        <v>75.52</v>
      </c>
      <c r="F43" s="526">
        <f>59.79</f>
        <v>59.79</v>
      </c>
      <c r="G43" s="526">
        <f>47.79</f>
        <v>47.79</v>
      </c>
      <c r="H43" s="526">
        <f>36.98</f>
        <v>36.979999999999997</v>
      </c>
      <c r="I43" s="526">
        <f>25.83</f>
        <v>25.83</v>
      </c>
      <c r="J43" s="526">
        <f>17.09</f>
        <v>17.09</v>
      </c>
      <c r="K43" s="526">
        <f>6.24</f>
        <v>6.24</v>
      </c>
      <c r="L43" s="526" t="e">
        <f>(#REF!)+0.01</f>
        <v>#REF!</v>
      </c>
      <c r="O43" s="528"/>
      <c r="P43" s="529"/>
      <c r="Q43" s="529"/>
      <c r="R43" s="529"/>
    </row>
    <row r="44" spans="1:18" s="530" customFormat="1" ht="16.5" customHeight="1" x14ac:dyDescent="0.25">
      <c r="A44" s="525" t="s">
        <v>526</v>
      </c>
      <c r="B44" s="526">
        <f>128.55</f>
        <v>128.55000000000001</v>
      </c>
      <c r="C44" s="526">
        <f>106.81</f>
        <v>106.81</v>
      </c>
      <c r="D44" s="526">
        <f>91.26</f>
        <v>91.26</v>
      </c>
      <c r="E44" s="526">
        <f>74.02</f>
        <v>74.02</v>
      </c>
      <c r="F44" s="526">
        <f>58.73</f>
        <v>58.73</v>
      </c>
      <c r="G44" s="526">
        <f>46.99</f>
        <v>46.99</v>
      </c>
      <c r="H44" s="526">
        <f>35.88</f>
        <v>35.880000000000003</v>
      </c>
      <c r="I44" s="526">
        <f>25.14</f>
        <v>25.14</v>
      </c>
      <c r="J44" s="526">
        <f>16.24</f>
        <v>16.239999999999998</v>
      </c>
      <c r="K44" s="526">
        <f>5.3</f>
        <v>5.3</v>
      </c>
      <c r="L44" s="526" t="e">
        <f>(#REF!)+0.01</f>
        <v>#REF!</v>
      </c>
      <c r="O44" s="528"/>
      <c r="P44" s="529"/>
      <c r="Q44" s="529"/>
      <c r="R44" s="529"/>
    </row>
    <row r="45" spans="1:18" s="530" customFormat="1" ht="16.5" customHeight="1" x14ac:dyDescent="0.25">
      <c r="A45" s="525" t="s">
        <v>527</v>
      </c>
      <c r="B45" s="526">
        <f>126.9</f>
        <v>126.9</v>
      </c>
      <c r="C45" s="526">
        <f>105.17</f>
        <v>105.17</v>
      </c>
      <c r="D45" s="526">
        <f>90.05</f>
        <v>90.05</v>
      </c>
      <c r="E45" s="526">
        <f>72.61</f>
        <v>72.61</v>
      </c>
      <c r="F45" s="526">
        <f>57.64</f>
        <v>57.64</v>
      </c>
      <c r="G45" s="526">
        <f>46.06</f>
        <v>46.06</v>
      </c>
      <c r="H45" s="526">
        <f>34.7</f>
        <v>34.700000000000003</v>
      </c>
      <c r="I45" s="526">
        <f>24.45</f>
        <v>24.45</v>
      </c>
      <c r="J45" s="526">
        <f>15.43</f>
        <v>15.43</v>
      </c>
      <c r="K45" s="526">
        <f>4.42</f>
        <v>4.42</v>
      </c>
      <c r="L45" s="526" t="e">
        <f>(#REF!)+0.01</f>
        <v>#REF!</v>
      </c>
      <c r="O45" s="528"/>
      <c r="P45" s="529"/>
      <c r="Q45" s="529"/>
      <c r="R45" s="529"/>
    </row>
    <row r="46" spans="1:18" s="530" customFormat="1" ht="16.5" customHeight="1" x14ac:dyDescent="0.25">
      <c r="A46" s="525" t="s">
        <v>528</v>
      </c>
      <c r="B46" s="526">
        <f>125.36</f>
        <v>125.36</v>
      </c>
      <c r="C46" s="526">
        <f>103.83</f>
        <v>103.83</v>
      </c>
      <c r="D46" s="526">
        <f>88.8</f>
        <v>88.8</v>
      </c>
      <c r="E46" s="526">
        <f>71.23</f>
        <v>71.23</v>
      </c>
      <c r="F46" s="526">
        <f>56.62</f>
        <v>56.62</v>
      </c>
      <c r="G46" s="526">
        <f>45.22</f>
        <v>45.22</v>
      </c>
      <c r="H46" s="526">
        <f>33.68</f>
        <v>33.68</v>
      </c>
      <c r="I46" s="526">
        <f>23.79</f>
        <v>23.79</v>
      </c>
      <c r="J46" s="526">
        <f>14.62</f>
        <v>14.62</v>
      </c>
      <c r="K46" s="526">
        <f>3.56</f>
        <v>3.56</v>
      </c>
      <c r="L46" s="526" t="e">
        <f>(#REF!)+0.01</f>
        <v>#REF!</v>
      </c>
      <c r="O46" s="528"/>
      <c r="P46" s="529"/>
      <c r="Q46" s="529"/>
      <c r="R46" s="529"/>
    </row>
    <row r="47" spans="1:18" s="530" customFormat="1" ht="16.5" customHeight="1" x14ac:dyDescent="0.25">
      <c r="A47" s="525" t="s">
        <v>529</v>
      </c>
      <c r="B47" s="526">
        <f>123.62</f>
        <v>123.62</v>
      </c>
      <c r="C47" s="526">
        <f>102.46</f>
        <v>102.46</v>
      </c>
      <c r="D47" s="526">
        <f>87.32</f>
        <v>87.32</v>
      </c>
      <c r="E47" s="526">
        <f>69.76</f>
        <v>69.760000000000005</v>
      </c>
      <c r="F47" s="526">
        <f>55.63</f>
        <v>55.63</v>
      </c>
      <c r="G47" s="526">
        <f>44.38</f>
        <v>44.38</v>
      </c>
      <c r="H47" s="526">
        <f>32.56</f>
        <v>32.56</v>
      </c>
      <c r="I47" s="526">
        <f>23.06</f>
        <v>23.06</v>
      </c>
      <c r="J47" s="526">
        <f>13.69</f>
        <v>13.69</v>
      </c>
      <c r="K47" s="526">
        <f>2.65</f>
        <v>2.65</v>
      </c>
      <c r="L47" s="526" t="e">
        <f>(#REF!)+0.01</f>
        <v>#REF!</v>
      </c>
      <c r="O47" s="528"/>
      <c r="P47" s="529"/>
      <c r="Q47" s="529"/>
      <c r="R47" s="529"/>
    </row>
    <row r="48" spans="1:18" s="530" customFormat="1" ht="16.5" customHeight="1" x14ac:dyDescent="0.25">
      <c r="A48" s="465"/>
      <c r="B48" s="465"/>
      <c r="C48" s="531"/>
      <c r="D48" s="532"/>
      <c r="E48" s="531"/>
      <c r="F48" s="533"/>
      <c r="G48" s="55"/>
      <c r="H48" s="55"/>
      <c r="I48" s="55"/>
      <c r="J48" s="55"/>
      <c r="K48" s="55"/>
      <c r="L48" s="534"/>
    </row>
    <row r="49" spans="1:18" s="530" customFormat="1" ht="16.5" customHeight="1" x14ac:dyDescent="0.25">
      <c r="A49" s="465"/>
      <c r="B49" s="465"/>
      <c r="C49" s="531"/>
      <c r="D49" s="532"/>
      <c r="E49" s="531"/>
      <c r="F49" s="532"/>
      <c r="G49" s="532"/>
      <c r="H49" s="532"/>
      <c r="I49" s="532"/>
      <c r="J49" s="532"/>
      <c r="K49" s="532"/>
      <c r="L49" s="534"/>
    </row>
    <row r="50" spans="1:18" s="530" customFormat="1" ht="16.5" customHeight="1" x14ac:dyDescent="0.25">
      <c r="A50" s="465"/>
      <c r="B50" s="465"/>
      <c r="C50" s="531"/>
      <c r="D50" s="532"/>
      <c r="E50" s="531"/>
      <c r="F50" s="532"/>
      <c r="G50" s="532"/>
      <c r="H50" s="532"/>
      <c r="I50" s="532"/>
      <c r="J50" s="532"/>
      <c r="K50" s="532"/>
      <c r="L50" s="532"/>
      <c r="M50" s="532"/>
      <c r="N50" s="535"/>
      <c r="O50" s="465"/>
      <c r="P50" s="465"/>
      <c r="Q50" s="465"/>
      <c r="R50" s="465"/>
    </row>
    <row r="51" spans="1:18" s="530" customFormat="1" ht="15.75" x14ac:dyDescent="0.25">
      <c r="A51" s="465"/>
      <c r="B51" s="465"/>
      <c r="C51" s="531"/>
      <c r="D51" s="532"/>
      <c r="E51" s="531"/>
      <c r="F51" s="532"/>
      <c r="G51" s="532"/>
      <c r="H51" s="532"/>
      <c r="I51" s="532"/>
      <c r="J51" s="532"/>
      <c r="K51" s="532"/>
      <c r="L51" s="532"/>
      <c r="M51" s="532"/>
      <c r="N51" s="536"/>
      <c r="O51" s="465"/>
      <c r="P51" s="465"/>
      <c r="Q51" s="465"/>
      <c r="R51" s="465"/>
    </row>
    <row r="52" spans="1:18" s="530" customFormat="1" ht="16.5" customHeight="1" x14ac:dyDescent="0.25">
      <c r="C52" s="537"/>
      <c r="D52" s="538"/>
      <c r="E52" s="537"/>
      <c r="F52" s="538"/>
      <c r="G52" s="538"/>
      <c r="H52" s="538"/>
      <c r="I52" s="538"/>
      <c r="J52" s="538"/>
      <c r="K52" s="538"/>
      <c r="L52" s="538"/>
      <c r="M52" s="538"/>
      <c r="N52" s="539"/>
    </row>
    <row r="53" spans="1:18" s="530" customFormat="1" ht="16.5" customHeight="1" x14ac:dyDescent="0.25"/>
  </sheetData>
  <mergeCells count="2">
    <mergeCell ref="A1:X2"/>
    <mergeCell ref="A3:Y4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2710-BEEB-4C63-AC18-D09093624915}">
  <dimension ref="A1:E354"/>
  <sheetViews>
    <sheetView showGridLines="0" workbookViewId="0">
      <pane ySplit="2670" topLeftCell="A336" activePane="bottomLeft"/>
      <selection pane="bottomLeft" activeCell="A349" sqref="A349:D349"/>
    </sheetView>
  </sheetViews>
  <sheetFormatPr defaultColWidth="11.42578125" defaultRowHeight="15.75" x14ac:dyDescent="0.25"/>
  <cols>
    <col min="1" max="1" width="11.42578125" style="55"/>
    <col min="2" max="2" width="14.85546875" style="55" customWidth="1"/>
    <col min="3" max="4" width="16.42578125" style="55" customWidth="1"/>
    <col min="5" max="7" width="13.85546875" style="55" customWidth="1"/>
    <col min="8" max="16384" width="11.42578125" style="55"/>
  </cols>
  <sheetData>
    <row r="1" spans="1:4" ht="21" customHeight="1" x14ac:dyDescent="0.25">
      <c r="A1" s="723" t="s">
        <v>539</v>
      </c>
      <c r="B1" s="723"/>
      <c r="C1" s="723"/>
      <c r="D1" s="723"/>
    </row>
    <row r="2" spans="1:4" ht="15.75" customHeight="1" x14ac:dyDescent="0.25">
      <c r="A2" s="723"/>
      <c r="B2" s="723"/>
      <c r="C2" s="723"/>
      <c r="D2" s="723"/>
    </row>
    <row r="3" spans="1:4" ht="15" customHeight="1" thickBot="1" x14ac:dyDescent="0.3">
      <c r="A3" s="724"/>
      <c r="B3" s="724"/>
      <c r="C3" s="724"/>
      <c r="D3" s="724"/>
    </row>
    <row r="4" spans="1:4" ht="16.5" thickBot="1" x14ac:dyDescent="0.3">
      <c r="A4" s="768" t="s">
        <v>531</v>
      </c>
      <c r="B4" s="769"/>
      <c r="C4" s="769"/>
      <c r="D4" s="770"/>
    </row>
    <row r="5" spans="1:4" ht="16.5" thickBot="1" x14ac:dyDescent="0.3">
      <c r="A5" s="771" t="s">
        <v>532</v>
      </c>
      <c r="B5" s="772"/>
      <c r="C5" s="772"/>
      <c r="D5" s="773"/>
    </row>
    <row r="6" spans="1:4" ht="18" thickBot="1" x14ac:dyDescent="0.35">
      <c r="A6" s="540" t="s">
        <v>6</v>
      </c>
      <c r="B6" s="541" t="s">
        <v>7</v>
      </c>
      <c r="C6" s="541" t="s">
        <v>533</v>
      </c>
      <c r="D6" s="542" t="s">
        <v>510</v>
      </c>
    </row>
    <row r="7" spans="1:4" ht="16.5" hidden="1" thickBot="1" x14ac:dyDescent="0.3">
      <c r="A7" s="543"/>
      <c r="B7" s="544"/>
      <c r="C7" s="544"/>
      <c r="D7" s="545"/>
    </row>
    <row r="8" spans="1:4" ht="16.5" hidden="1" thickBot="1" x14ac:dyDescent="0.3">
      <c r="A8" s="546">
        <v>1994</v>
      </c>
      <c r="B8" s="547" t="s">
        <v>106</v>
      </c>
      <c r="C8" s="547">
        <v>26.01</v>
      </c>
      <c r="D8" s="548">
        <f>100*((1+C8/100)^0.0833333333-1)</f>
        <v>1.9452709075661989</v>
      </c>
    </row>
    <row r="9" spans="1:4" ht="16.5" hidden="1" thickBot="1" x14ac:dyDescent="0.3">
      <c r="A9" s="546"/>
      <c r="B9" s="547"/>
      <c r="C9" s="547"/>
      <c r="D9" s="548"/>
    </row>
    <row r="10" spans="1:4" ht="16.5" hidden="1" thickBot="1" x14ac:dyDescent="0.3">
      <c r="A10" s="546">
        <v>1995</v>
      </c>
      <c r="B10" s="547" t="s">
        <v>106</v>
      </c>
      <c r="C10" s="547">
        <v>17.72</v>
      </c>
      <c r="D10" s="548">
        <f t="shared" ref="D10:D73" si="0">100*((1+C10/100)^0.0833333333-1)</f>
        <v>1.3687725555856289</v>
      </c>
    </row>
    <row r="11" spans="1:4" ht="16.5" hidden="1" thickBot="1" x14ac:dyDescent="0.3">
      <c r="A11" s="546"/>
      <c r="B11" s="547"/>
      <c r="C11" s="547"/>
      <c r="D11" s="548"/>
    </row>
    <row r="12" spans="1:4" ht="16.5" hidden="1" thickBot="1" x14ac:dyDescent="0.3">
      <c r="A12" s="546">
        <v>1996</v>
      </c>
      <c r="B12" s="547" t="s">
        <v>106</v>
      </c>
      <c r="C12" s="547">
        <v>11.02</v>
      </c>
      <c r="D12" s="548">
        <f t="shared" si="0"/>
        <v>0.8749738734443735</v>
      </c>
    </row>
    <row r="13" spans="1:4" ht="16.5" hidden="1" thickBot="1" x14ac:dyDescent="0.3">
      <c r="A13" s="546"/>
      <c r="B13" s="547"/>
      <c r="C13" s="547"/>
      <c r="D13" s="548"/>
    </row>
    <row r="14" spans="1:4" ht="16.5" hidden="1" thickBot="1" x14ac:dyDescent="0.3">
      <c r="A14" s="546">
        <v>1997</v>
      </c>
      <c r="B14" s="547" t="s">
        <v>106</v>
      </c>
      <c r="C14" s="547">
        <v>9.89</v>
      </c>
      <c r="D14" s="548">
        <f t="shared" si="0"/>
        <v>0.78901040570726888</v>
      </c>
    </row>
    <row r="15" spans="1:4" ht="16.5" hidden="1" thickBot="1" x14ac:dyDescent="0.3">
      <c r="A15" s="546"/>
      <c r="B15" s="547"/>
      <c r="C15" s="547"/>
      <c r="D15" s="548"/>
    </row>
    <row r="16" spans="1:4" ht="16.5" hidden="1" thickBot="1" x14ac:dyDescent="0.3">
      <c r="A16" s="546">
        <v>1998</v>
      </c>
      <c r="B16" s="549" t="s">
        <v>13</v>
      </c>
      <c r="C16" s="547"/>
      <c r="D16" s="548"/>
    </row>
    <row r="17" spans="1:4" ht="16.5" hidden="1" thickBot="1" x14ac:dyDescent="0.3">
      <c r="A17" s="546">
        <v>1998</v>
      </c>
      <c r="B17" s="549" t="s">
        <v>14</v>
      </c>
      <c r="C17" s="547"/>
      <c r="D17" s="548"/>
    </row>
    <row r="18" spans="1:4" ht="16.5" hidden="1" thickBot="1" x14ac:dyDescent="0.3">
      <c r="A18" s="546">
        <v>1998</v>
      </c>
      <c r="B18" s="549" t="s">
        <v>15</v>
      </c>
      <c r="C18" s="547">
        <v>11.77</v>
      </c>
      <c r="D18" s="548">
        <f>100*((1+C18/100)^0.0833333333-1)</f>
        <v>0.93158753383404402</v>
      </c>
    </row>
    <row r="19" spans="1:4" ht="16.5" hidden="1" thickBot="1" x14ac:dyDescent="0.3">
      <c r="A19" s="546">
        <v>1998</v>
      </c>
      <c r="B19" s="549" t="s">
        <v>16</v>
      </c>
      <c r="C19" s="547">
        <v>11.77</v>
      </c>
      <c r="D19" s="548">
        <f t="shared" si="0"/>
        <v>0.93158753383404402</v>
      </c>
    </row>
    <row r="20" spans="1:4" ht="16.5" hidden="1" thickBot="1" x14ac:dyDescent="0.3">
      <c r="A20" s="546">
        <v>1998</v>
      </c>
      <c r="B20" s="549" t="s">
        <v>17</v>
      </c>
      <c r="C20" s="547">
        <v>11.77</v>
      </c>
      <c r="D20" s="548">
        <f t="shared" si="0"/>
        <v>0.93158753383404402</v>
      </c>
    </row>
    <row r="21" spans="1:4" ht="16.5" hidden="1" thickBot="1" x14ac:dyDescent="0.3">
      <c r="A21" s="546">
        <v>1998</v>
      </c>
      <c r="B21" s="549" t="s">
        <v>18</v>
      </c>
      <c r="C21" s="547">
        <v>10.63</v>
      </c>
      <c r="D21" s="548">
        <f t="shared" si="0"/>
        <v>0.84539607628957292</v>
      </c>
    </row>
    <row r="22" spans="1:4" ht="16.5" hidden="1" thickBot="1" x14ac:dyDescent="0.3">
      <c r="A22" s="546">
        <v>1998</v>
      </c>
      <c r="B22" s="549" t="s">
        <v>19</v>
      </c>
      <c r="C22" s="547">
        <v>10.63</v>
      </c>
      <c r="D22" s="548">
        <f t="shared" si="0"/>
        <v>0.84539607628957292</v>
      </c>
    </row>
    <row r="23" spans="1:4" ht="16.5" hidden="1" thickBot="1" x14ac:dyDescent="0.3">
      <c r="A23" s="546">
        <v>1998</v>
      </c>
      <c r="B23" s="549" t="s">
        <v>20</v>
      </c>
      <c r="C23" s="547">
        <v>10.63</v>
      </c>
      <c r="D23" s="548">
        <f t="shared" si="0"/>
        <v>0.84539607628957292</v>
      </c>
    </row>
    <row r="24" spans="1:4" ht="16.5" hidden="1" thickBot="1" x14ac:dyDescent="0.3">
      <c r="A24" s="546">
        <v>1998</v>
      </c>
      <c r="B24" s="549" t="s">
        <v>21</v>
      </c>
      <c r="C24" s="547">
        <v>11.68</v>
      </c>
      <c r="D24" s="548">
        <f t="shared" si="0"/>
        <v>0.9248123130708219</v>
      </c>
    </row>
    <row r="25" spans="1:4" ht="16.5" hidden="1" thickBot="1" x14ac:dyDescent="0.3">
      <c r="A25" s="546">
        <v>1998</v>
      </c>
      <c r="B25" s="549" t="s">
        <v>22</v>
      </c>
      <c r="C25" s="547">
        <v>11.68</v>
      </c>
      <c r="D25" s="548">
        <f t="shared" si="0"/>
        <v>0.9248123130708219</v>
      </c>
    </row>
    <row r="26" spans="1:4" ht="16.5" hidden="1" thickBot="1" x14ac:dyDescent="0.3">
      <c r="A26" s="546">
        <v>1998</v>
      </c>
      <c r="B26" s="549" t="s">
        <v>23</v>
      </c>
      <c r="C26" s="547">
        <v>11.68</v>
      </c>
      <c r="D26" s="548">
        <f t="shared" si="0"/>
        <v>0.9248123130708219</v>
      </c>
    </row>
    <row r="27" spans="1:4" ht="16.5" hidden="1" thickBot="1" x14ac:dyDescent="0.3">
      <c r="A27" s="546">
        <v>1998</v>
      </c>
      <c r="B27" s="549" t="s">
        <v>12</v>
      </c>
      <c r="C27" s="547">
        <v>18.059999999999999</v>
      </c>
      <c r="D27" s="548">
        <f t="shared" si="0"/>
        <v>1.3931381708032875</v>
      </c>
    </row>
    <row r="28" spans="1:4" ht="16.5" hidden="1" thickBot="1" x14ac:dyDescent="0.3">
      <c r="A28" s="546"/>
      <c r="B28" s="549"/>
      <c r="C28" s="547"/>
      <c r="D28" s="548"/>
    </row>
    <row r="29" spans="1:4" ht="16.5" hidden="1" thickBot="1" x14ac:dyDescent="0.3">
      <c r="A29" s="546">
        <v>1999</v>
      </c>
      <c r="B29" s="549" t="s">
        <v>13</v>
      </c>
      <c r="C29" s="547">
        <v>12.84</v>
      </c>
      <c r="D29" s="548">
        <f t="shared" si="0"/>
        <v>1.011756493829985</v>
      </c>
    </row>
    <row r="30" spans="1:4" ht="16.5" hidden="1" thickBot="1" x14ac:dyDescent="0.3">
      <c r="A30" s="546">
        <v>1999</v>
      </c>
      <c r="B30" s="549" t="s">
        <v>14</v>
      </c>
      <c r="C30" s="547">
        <v>12.84</v>
      </c>
      <c r="D30" s="548">
        <f t="shared" si="0"/>
        <v>1.011756493829985</v>
      </c>
    </row>
    <row r="31" spans="1:4" ht="16.5" hidden="1" thickBot="1" x14ac:dyDescent="0.3">
      <c r="A31" s="546">
        <v>1999</v>
      </c>
      <c r="B31" s="549" t="s">
        <v>15</v>
      </c>
      <c r="C31" s="547">
        <v>12.84</v>
      </c>
      <c r="D31" s="548">
        <f t="shared" si="0"/>
        <v>1.011756493829985</v>
      </c>
    </row>
    <row r="32" spans="1:4" ht="16.5" hidden="1" thickBot="1" x14ac:dyDescent="0.3">
      <c r="A32" s="546">
        <v>1999</v>
      </c>
      <c r="B32" s="549" t="s">
        <v>16</v>
      </c>
      <c r="C32" s="547">
        <v>13.84</v>
      </c>
      <c r="D32" s="548">
        <f t="shared" si="0"/>
        <v>1.0860532674113577</v>
      </c>
    </row>
    <row r="33" spans="1:4" ht="16.5" hidden="1" thickBot="1" x14ac:dyDescent="0.3">
      <c r="A33" s="546">
        <v>1999</v>
      </c>
      <c r="B33" s="549" t="s">
        <v>17</v>
      </c>
      <c r="C33" s="547">
        <v>13.84</v>
      </c>
      <c r="D33" s="548">
        <f t="shared" si="0"/>
        <v>1.0860532674113577</v>
      </c>
    </row>
    <row r="34" spans="1:4" ht="16.5" hidden="1" thickBot="1" x14ac:dyDescent="0.3">
      <c r="A34" s="546">
        <v>1999</v>
      </c>
      <c r="B34" s="549" t="s">
        <v>18</v>
      </c>
      <c r="C34" s="547">
        <v>13.84</v>
      </c>
      <c r="D34" s="548">
        <f t="shared" si="0"/>
        <v>1.0860532674113577</v>
      </c>
    </row>
    <row r="35" spans="1:4" ht="16.5" hidden="1" thickBot="1" x14ac:dyDescent="0.3">
      <c r="A35" s="546">
        <v>1999</v>
      </c>
      <c r="B35" s="549" t="s">
        <v>19</v>
      </c>
      <c r="C35" s="547">
        <v>14.05</v>
      </c>
      <c r="D35" s="548">
        <f t="shared" si="0"/>
        <v>1.1015795501243097</v>
      </c>
    </row>
    <row r="36" spans="1:4" ht="16.5" hidden="1" thickBot="1" x14ac:dyDescent="0.3">
      <c r="A36" s="546">
        <v>1999</v>
      </c>
      <c r="B36" s="549" t="s">
        <v>20</v>
      </c>
      <c r="C36" s="547">
        <v>14.05</v>
      </c>
      <c r="D36" s="548">
        <f t="shared" si="0"/>
        <v>1.1015795501243097</v>
      </c>
    </row>
    <row r="37" spans="1:4" ht="16.5" hidden="1" thickBot="1" x14ac:dyDescent="0.3">
      <c r="A37" s="546">
        <v>1999</v>
      </c>
      <c r="B37" s="549" t="s">
        <v>21</v>
      </c>
      <c r="C37" s="547">
        <v>14.05</v>
      </c>
      <c r="D37" s="548">
        <f t="shared" si="0"/>
        <v>1.1015795501243097</v>
      </c>
    </row>
    <row r="38" spans="1:4" ht="16.5" hidden="1" thickBot="1" x14ac:dyDescent="0.3">
      <c r="A38" s="546">
        <v>1999</v>
      </c>
      <c r="B38" s="549" t="s">
        <v>22</v>
      </c>
      <c r="C38" s="550">
        <v>12.5</v>
      </c>
      <c r="D38" s="548">
        <f t="shared" si="0"/>
        <v>0.98635805492466311</v>
      </c>
    </row>
    <row r="39" spans="1:4" ht="16.5" hidden="1" thickBot="1" x14ac:dyDescent="0.3">
      <c r="A39" s="546">
        <v>1999</v>
      </c>
      <c r="B39" s="549" t="s">
        <v>23</v>
      </c>
      <c r="C39" s="550">
        <v>12.5</v>
      </c>
      <c r="D39" s="548">
        <f t="shared" si="0"/>
        <v>0.98635805492466311</v>
      </c>
    </row>
    <row r="40" spans="1:4" ht="16.5" hidden="1" thickBot="1" x14ac:dyDescent="0.3">
      <c r="A40" s="546">
        <v>1999</v>
      </c>
      <c r="B40" s="549" t="s">
        <v>12</v>
      </c>
      <c r="C40" s="550">
        <v>12.5</v>
      </c>
      <c r="D40" s="548">
        <f t="shared" si="0"/>
        <v>0.98635805492466311</v>
      </c>
    </row>
    <row r="41" spans="1:4" ht="16.5" hidden="1" thickBot="1" x14ac:dyDescent="0.3">
      <c r="A41" s="546"/>
      <c r="B41" s="549"/>
      <c r="C41" s="550"/>
      <c r="D41" s="548"/>
    </row>
    <row r="42" spans="1:4" ht="16.5" hidden="1" thickBot="1" x14ac:dyDescent="0.3">
      <c r="A42" s="546">
        <v>2000</v>
      </c>
      <c r="B42" s="549" t="s">
        <v>13</v>
      </c>
      <c r="C42" s="550">
        <v>12</v>
      </c>
      <c r="D42" s="548">
        <f t="shared" si="0"/>
        <v>0.94887929307694296</v>
      </c>
    </row>
    <row r="43" spans="1:4" ht="16.5" hidden="1" thickBot="1" x14ac:dyDescent="0.3">
      <c r="A43" s="546">
        <v>2000</v>
      </c>
      <c r="B43" s="549" t="s">
        <v>14</v>
      </c>
      <c r="C43" s="550">
        <v>12</v>
      </c>
      <c r="D43" s="548">
        <f t="shared" si="0"/>
        <v>0.94887929307694296</v>
      </c>
    </row>
    <row r="44" spans="1:4" ht="16.5" hidden="1" thickBot="1" x14ac:dyDescent="0.3">
      <c r="A44" s="546">
        <v>2000</v>
      </c>
      <c r="B44" s="549" t="s">
        <v>15</v>
      </c>
      <c r="C44" s="550">
        <v>12</v>
      </c>
      <c r="D44" s="548">
        <f t="shared" si="0"/>
        <v>0.94887929307694296</v>
      </c>
    </row>
    <row r="45" spans="1:4" ht="16.5" hidden="1" thickBot="1" x14ac:dyDescent="0.3">
      <c r="A45" s="546">
        <v>2000</v>
      </c>
      <c r="B45" s="549" t="s">
        <v>16</v>
      </c>
      <c r="C45" s="550">
        <v>11</v>
      </c>
      <c r="D45" s="548">
        <f t="shared" si="0"/>
        <v>0.87345938200429352</v>
      </c>
    </row>
    <row r="46" spans="1:4" ht="16.5" hidden="1" thickBot="1" x14ac:dyDescent="0.3">
      <c r="A46" s="546">
        <v>2000</v>
      </c>
      <c r="B46" s="549" t="s">
        <v>17</v>
      </c>
      <c r="C46" s="550">
        <v>11</v>
      </c>
      <c r="D46" s="548">
        <f t="shared" si="0"/>
        <v>0.87345938200429352</v>
      </c>
    </row>
    <row r="47" spans="1:4" ht="16.5" hidden="1" thickBot="1" x14ac:dyDescent="0.3">
      <c r="A47" s="546">
        <v>2000</v>
      </c>
      <c r="B47" s="549" t="s">
        <v>18</v>
      </c>
      <c r="C47" s="550">
        <v>11</v>
      </c>
      <c r="D47" s="548">
        <f t="shared" si="0"/>
        <v>0.87345938200429352</v>
      </c>
    </row>
    <row r="48" spans="1:4" ht="16.5" hidden="1" thickBot="1" x14ac:dyDescent="0.3">
      <c r="A48" s="546">
        <v>2000</v>
      </c>
      <c r="B48" s="549" t="s">
        <v>19</v>
      </c>
      <c r="C48" s="550">
        <v>10.25</v>
      </c>
      <c r="D48" s="548">
        <f t="shared" si="0"/>
        <v>0.81648460486218877</v>
      </c>
    </row>
    <row r="49" spans="1:4" ht="16.5" hidden="1" thickBot="1" x14ac:dyDescent="0.3">
      <c r="A49" s="546">
        <v>2000</v>
      </c>
      <c r="B49" s="549" t="s">
        <v>20</v>
      </c>
      <c r="C49" s="550">
        <v>10.25</v>
      </c>
      <c r="D49" s="548">
        <f t="shared" si="0"/>
        <v>0.81648460486218877</v>
      </c>
    </row>
    <row r="50" spans="1:4" ht="16.5" hidden="1" thickBot="1" x14ac:dyDescent="0.3">
      <c r="A50" s="546">
        <v>2000</v>
      </c>
      <c r="B50" s="549" t="s">
        <v>21</v>
      </c>
      <c r="C50" s="550">
        <v>10.25</v>
      </c>
      <c r="D50" s="548">
        <f t="shared" si="0"/>
        <v>0.81648460486218877</v>
      </c>
    </row>
    <row r="51" spans="1:4" ht="16.5" hidden="1" thickBot="1" x14ac:dyDescent="0.3">
      <c r="A51" s="546">
        <v>2000</v>
      </c>
      <c r="B51" s="549" t="s">
        <v>22</v>
      </c>
      <c r="C51" s="550">
        <v>9.75</v>
      </c>
      <c r="D51" s="548">
        <f t="shared" si="0"/>
        <v>0.77830370847546959</v>
      </c>
    </row>
    <row r="52" spans="1:4" ht="16.5" hidden="1" thickBot="1" x14ac:dyDescent="0.3">
      <c r="A52" s="546">
        <v>2000</v>
      </c>
      <c r="B52" s="549" t="s">
        <v>23</v>
      </c>
      <c r="C52" s="550">
        <v>9.75</v>
      </c>
      <c r="D52" s="548">
        <f t="shared" si="0"/>
        <v>0.77830370847546959</v>
      </c>
    </row>
    <row r="53" spans="1:4" ht="16.5" hidden="1" thickBot="1" x14ac:dyDescent="0.3">
      <c r="A53" s="546">
        <v>2000</v>
      </c>
      <c r="B53" s="549" t="s">
        <v>12</v>
      </c>
      <c r="C53" s="550">
        <v>9.75</v>
      </c>
      <c r="D53" s="548">
        <f t="shared" si="0"/>
        <v>0.77830370847546959</v>
      </c>
    </row>
    <row r="54" spans="1:4" ht="16.5" hidden="1" thickBot="1" x14ac:dyDescent="0.3">
      <c r="A54" s="546"/>
      <c r="B54" s="549"/>
      <c r="C54" s="550"/>
      <c r="D54" s="548"/>
    </row>
    <row r="55" spans="1:4" ht="16.5" hidden="1" thickBot="1" x14ac:dyDescent="0.3">
      <c r="A55" s="546">
        <v>2001</v>
      </c>
      <c r="B55" s="549" t="s">
        <v>13</v>
      </c>
      <c r="C55" s="550">
        <v>9.25</v>
      </c>
      <c r="D55" s="548">
        <f t="shared" si="0"/>
        <v>0.73996302842060935</v>
      </c>
    </row>
    <row r="56" spans="1:4" ht="16.5" hidden="1" thickBot="1" x14ac:dyDescent="0.3">
      <c r="A56" s="546">
        <v>2001</v>
      </c>
      <c r="B56" s="549" t="s">
        <v>14</v>
      </c>
      <c r="C56" s="550">
        <v>9.25</v>
      </c>
      <c r="D56" s="548">
        <f t="shared" si="0"/>
        <v>0.73996302842060935</v>
      </c>
    </row>
    <row r="57" spans="1:4" ht="16.5" hidden="1" thickBot="1" x14ac:dyDescent="0.3">
      <c r="A57" s="546">
        <v>2001</v>
      </c>
      <c r="B57" s="549" t="s">
        <v>15</v>
      </c>
      <c r="C57" s="550">
        <v>9.25</v>
      </c>
      <c r="D57" s="548">
        <f t="shared" si="0"/>
        <v>0.73996302842060935</v>
      </c>
    </row>
    <row r="58" spans="1:4" ht="16.5" hidden="1" thickBot="1" x14ac:dyDescent="0.3">
      <c r="A58" s="546">
        <v>2001</v>
      </c>
      <c r="B58" s="549" t="s">
        <v>16</v>
      </c>
      <c r="C58" s="550">
        <v>9.25</v>
      </c>
      <c r="D58" s="548">
        <f t="shared" si="0"/>
        <v>0.73996302842060935</v>
      </c>
    </row>
    <row r="59" spans="1:4" ht="16.5" hidden="1" thickBot="1" x14ac:dyDescent="0.3">
      <c r="A59" s="546">
        <v>2001</v>
      </c>
      <c r="B59" s="549" t="s">
        <v>17</v>
      </c>
      <c r="C59" s="550">
        <v>9.25</v>
      </c>
      <c r="D59" s="548">
        <f t="shared" si="0"/>
        <v>0.73996302842060935</v>
      </c>
    </row>
    <row r="60" spans="1:4" ht="16.5" hidden="1" thickBot="1" x14ac:dyDescent="0.3">
      <c r="A60" s="546">
        <v>2001</v>
      </c>
      <c r="B60" s="549" t="s">
        <v>18</v>
      </c>
      <c r="C60" s="550">
        <v>9.25</v>
      </c>
      <c r="D60" s="548">
        <f t="shared" si="0"/>
        <v>0.73996302842060935</v>
      </c>
    </row>
    <row r="61" spans="1:4" ht="16.5" hidden="1" thickBot="1" x14ac:dyDescent="0.3">
      <c r="A61" s="546">
        <v>2001</v>
      </c>
      <c r="B61" s="549" t="s">
        <v>19</v>
      </c>
      <c r="C61" s="550">
        <v>9.5</v>
      </c>
      <c r="D61" s="548">
        <f t="shared" si="0"/>
        <v>0.75915342875345626</v>
      </c>
    </row>
    <row r="62" spans="1:4" ht="16.5" hidden="1" thickBot="1" x14ac:dyDescent="0.3">
      <c r="A62" s="546">
        <v>2001</v>
      </c>
      <c r="B62" s="549" t="s">
        <v>20</v>
      </c>
      <c r="C62" s="550">
        <v>9.5</v>
      </c>
      <c r="D62" s="548">
        <f t="shared" si="0"/>
        <v>0.75915342875345626</v>
      </c>
    </row>
    <row r="63" spans="1:4" ht="16.5" hidden="1" thickBot="1" x14ac:dyDescent="0.3">
      <c r="A63" s="546">
        <v>2001</v>
      </c>
      <c r="B63" s="549" t="s">
        <v>21</v>
      </c>
      <c r="C63" s="550">
        <v>9.5</v>
      </c>
      <c r="D63" s="548">
        <f t="shared" si="0"/>
        <v>0.75915342875345626</v>
      </c>
    </row>
    <row r="64" spans="1:4" ht="16.5" hidden="1" thickBot="1" x14ac:dyDescent="0.3">
      <c r="A64" s="546">
        <v>2001</v>
      </c>
      <c r="B64" s="549" t="s">
        <v>22</v>
      </c>
      <c r="C64" s="550">
        <v>10</v>
      </c>
      <c r="D64" s="548">
        <f t="shared" si="0"/>
        <v>0.7974140425701437</v>
      </c>
    </row>
    <row r="65" spans="1:4" ht="16.5" hidden="1" thickBot="1" x14ac:dyDescent="0.3">
      <c r="A65" s="546">
        <v>2001</v>
      </c>
      <c r="B65" s="549" t="s">
        <v>23</v>
      </c>
      <c r="C65" s="550">
        <v>10</v>
      </c>
      <c r="D65" s="548">
        <f t="shared" si="0"/>
        <v>0.7974140425701437</v>
      </c>
    </row>
    <row r="66" spans="1:4" ht="16.5" hidden="1" thickBot="1" x14ac:dyDescent="0.3">
      <c r="A66" s="546">
        <v>2001</v>
      </c>
      <c r="B66" s="549" t="s">
        <v>12</v>
      </c>
      <c r="C66" s="550">
        <v>10</v>
      </c>
      <c r="D66" s="548">
        <f t="shared" si="0"/>
        <v>0.7974140425701437</v>
      </c>
    </row>
    <row r="67" spans="1:4" ht="16.5" hidden="1" thickBot="1" x14ac:dyDescent="0.3">
      <c r="A67" s="546"/>
      <c r="B67" s="549"/>
      <c r="C67" s="550"/>
      <c r="D67" s="548"/>
    </row>
    <row r="68" spans="1:4" ht="15.75" hidden="1" customHeight="1" x14ac:dyDescent="0.25">
      <c r="A68" s="546">
        <v>2002</v>
      </c>
      <c r="B68" s="549" t="s">
        <v>13</v>
      </c>
      <c r="C68" s="550">
        <v>10</v>
      </c>
      <c r="D68" s="548">
        <f t="shared" si="0"/>
        <v>0.7974140425701437</v>
      </c>
    </row>
    <row r="69" spans="1:4" ht="16.5" hidden="1" thickBot="1" x14ac:dyDescent="0.3">
      <c r="A69" s="546">
        <v>2002</v>
      </c>
      <c r="B69" s="549" t="s">
        <v>14</v>
      </c>
      <c r="C69" s="550">
        <v>10</v>
      </c>
      <c r="D69" s="548">
        <f t="shared" si="0"/>
        <v>0.7974140425701437</v>
      </c>
    </row>
    <row r="70" spans="1:4" ht="16.5" hidden="1" thickBot="1" x14ac:dyDescent="0.3">
      <c r="A70" s="546">
        <v>2002</v>
      </c>
      <c r="B70" s="549" t="s">
        <v>15</v>
      </c>
      <c r="C70" s="550">
        <v>10</v>
      </c>
      <c r="D70" s="548">
        <f t="shared" si="0"/>
        <v>0.7974140425701437</v>
      </c>
    </row>
    <row r="71" spans="1:4" ht="16.5" hidden="1" thickBot="1" x14ac:dyDescent="0.3">
      <c r="A71" s="546">
        <v>2002</v>
      </c>
      <c r="B71" s="549" t="s">
        <v>16</v>
      </c>
      <c r="C71" s="550">
        <v>9.5</v>
      </c>
      <c r="D71" s="548">
        <f t="shared" si="0"/>
        <v>0.75915342875345626</v>
      </c>
    </row>
    <row r="72" spans="1:4" ht="16.5" hidden="1" thickBot="1" x14ac:dyDescent="0.3">
      <c r="A72" s="546">
        <v>2002</v>
      </c>
      <c r="B72" s="549" t="s">
        <v>17</v>
      </c>
      <c r="C72" s="550">
        <v>9.5</v>
      </c>
      <c r="D72" s="548">
        <f t="shared" si="0"/>
        <v>0.75915342875345626</v>
      </c>
    </row>
    <row r="73" spans="1:4" ht="16.5" hidden="1" thickBot="1" x14ac:dyDescent="0.3">
      <c r="A73" s="546">
        <v>2002</v>
      </c>
      <c r="B73" s="549" t="s">
        <v>18</v>
      </c>
      <c r="C73" s="550">
        <v>9.5</v>
      </c>
      <c r="D73" s="548">
        <f t="shared" si="0"/>
        <v>0.75915342875345626</v>
      </c>
    </row>
    <row r="74" spans="1:4" ht="16.5" hidden="1" thickBot="1" x14ac:dyDescent="0.3">
      <c r="A74" s="546">
        <v>2002</v>
      </c>
      <c r="B74" s="549" t="s">
        <v>19</v>
      </c>
      <c r="C74" s="550">
        <v>10</v>
      </c>
      <c r="D74" s="548">
        <f t="shared" ref="D74:D137" si="1">100*((1+C74/100)^0.0833333333-1)</f>
        <v>0.7974140425701437</v>
      </c>
    </row>
    <row r="75" spans="1:4" ht="16.5" hidden="1" thickBot="1" x14ac:dyDescent="0.3">
      <c r="A75" s="546">
        <v>2002</v>
      </c>
      <c r="B75" s="549" t="s">
        <v>20</v>
      </c>
      <c r="C75" s="550">
        <v>10</v>
      </c>
      <c r="D75" s="548">
        <f t="shared" si="1"/>
        <v>0.7974140425701437</v>
      </c>
    </row>
    <row r="76" spans="1:4" ht="16.5" hidden="1" thickBot="1" x14ac:dyDescent="0.3">
      <c r="A76" s="546">
        <v>2002</v>
      </c>
      <c r="B76" s="549" t="s">
        <v>21</v>
      </c>
      <c r="C76" s="550">
        <v>10</v>
      </c>
      <c r="D76" s="548">
        <f t="shared" si="1"/>
        <v>0.7974140425701437</v>
      </c>
    </row>
    <row r="77" spans="1:4" ht="16.5" hidden="1" thickBot="1" x14ac:dyDescent="0.3">
      <c r="A77" s="546">
        <v>2002</v>
      </c>
      <c r="B77" s="549" t="s">
        <v>22</v>
      </c>
      <c r="C77" s="550">
        <v>10</v>
      </c>
      <c r="D77" s="548">
        <f t="shared" si="1"/>
        <v>0.7974140425701437</v>
      </c>
    </row>
    <row r="78" spans="1:4" ht="16.5" hidden="1" thickBot="1" x14ac:dyDescent="0.3">
      <c r="A78" s="546">
        <v>2002</v>
      </c>
      <c r="B78" s="549" t="s">
        <v>23</v>
      </c>
      <c r="C78" s="550">
        <v>10</v>
      </c>
      <c r="D78" s="548">
        <f t="shared" si="1"/>
        <v>0.7974140425701437</v>
      </c>
    </row>
    <row r="79" spans="1:4" ht="16.5" hidden="1" thickBot="1" x14ac:dyDescent="0.3">
      <c r="A79" s="546">
        <v>2002</v>
      </c>
      <c r="B79" s="549" t="s">
        <v>12</v>
      </c>
      <c r="C79" s="550">
        <v>10</v>
      </c>
      <c r="D79" s="548">
        <f t="shared" si="1"/>
        <v>0.7974140425701437</v>
      </c>
    </row>
    <row r="80" spans="1:4" ht="16.5" hidden="1" thickBot="1" x14ac:dyDescent="0.3">
      <c r="A80" s="546"/>
      <c r="B80" s="549"/>
      <c r="C80" s="550"/>
      <c r="D80" s="548"/>
    </row>
    <row r="81" spans="1:4" ht="16.5" hidden="1" thickBot="1" x14ac:dyDescent="0.3">
      <c r="A81" s="546">
        <v>2003</v>
      </c>
      <c r="B81" s="549" t="s">
        <v>13</v>
      </c>
      <c r="C81" s="550">
        <v>11</v>
      </c>
      <c r="D81" s="548">
        <f t="shared" si="1"/>
        <v>0.87345938200429352</v>
      </c>
    </row>
    <row r="82" spans="1:4" ht="16.5" hidden="1" thickBot="1" x14ac:dyDescent="0.3">
      <c r="A82" s="546">
        <v>2003</v>
      </c>
      <c r="B82" s="549" t="s">
        <v>14</v>
      </c>
      <c r="C82" s="550">
        <v>11</v>
      </c>
      <c r="D82" s="548">
        <f t="shared" si="1"/>
        <v>0.87345938200429352</v>
      </c>
    </row>
    <row r="83" spans="1:4" ht="16.5" hidden="1" thickBot="1" x14ac:dyDescent="0.3">
      <c r="A83" s="546">
        <v>2003</v>
      </c>
      <c r="B83" s="549" t="s">
        <v>15</v>
      </c>
      <c r="C83" s="550">
        <v>11</v>
      </c>
      <c r="D83" s="548">
        <f t="shared" si="1"/>
        <v>0.87345938200429352</v>
      </c>
    </row>
    <row r="84" spans="1:4" ht="16.5" hidden="1" thickBot="1" x14ac:dyDescent="0.3">
      <c r="A84" s="546">
        <v>2003</v>
      </c>
      <c r="B84" s="549" t="s">
        <v>16</v>
      </c>
      <c r="C84" s="550">
        <v>12</v>
      </c>
      <c r="D84" s="548">
        <f t="shared" si="1"/>
        <v>0.94887929307694296</v>
      </c>
    </row>
    <row r="85" spans="1:4" ht="16.5" hidden="1" thickBot="1" x14ac:dyDescent="0.3">
      <c r="A85" s="546">
        <v>2003</v>
      </c>
      <c r="B85" s="549" t="s">
        <v>17</v>
      </c>
      <c r="C85" s="550">
        <v>12</v>
      </c>
      <c r="D85" s="548">
        <f t="shared" si="1"/>
        <v>0.94887929307694296</v>
      </c>
    </row>
    <row r="86" spans="1:4" ht="16.5" hidden="1" thickBot="1" x14ac:dyDescent="0.3">
      <c r="A86" s="546">
        <v>2003</v>
      </c>
      <c r="B86" s="549" t="s">
        <v>18</v>
      </c>
      <c r="C86" s="550">
        <v>12</v>
      </c>
      <c r="D86" s="548">
        <f t="shared" si="1"/>
        <v>0.94887929307694296</v>
      </c>
    </row>
    <row r="87" spans="1:4" ht="16.5" hidden="1" thickBot="1" x14ac:dyDescent="0.3">
      <c r="A87" s="546">
        <v>2003</v>
      </c>
      <c r="B87" s="549" t="s">
        <v>19</v>
      </c>
      <c r="C87" s="550">
        <v>12</v>
      </c>
      <c r="D87" s="548">
        <f t="shared" si="1"/>
        <v>0.94887929307694296</v>
      </c>
    </row>
    <row r="88" spans="1:4" ht="16.5" hidden="1" thickBot="1" x14ac:dyDescent="0.3">
      <c r="A88" s="546">
        <v>2003</v>
      </c>
      <c r="B88" s="549" t="s">
        <v>20</v>
      </c>
      <c r="C88" s="550">
        <v>12</v>
      </c>
      <c r="D88" s="548">
        <f t="shared" si="1"/>
        <v>0.94887929307694296</v>
      </c>
    </row>
    <row r="89" spans="1:4" ht="16.5" hidden="1" thickBot="1" x14ac:dyDescent="0.3">
      <c r="A89" s="546">
        <v>2003</v>
      </c>
      <c r="B89" s="549" t="s">
        <v>21</v>
      </c>
      <c r="C89" s="550">
        <v>12</v>
      </c>
      <c r="D89" s="548">
        <f t="shared" si="1"/>
        <v>0.94887929307694296</v>
      </c>
    </row>
    <row r="90" spans="1:4" ht="16.5" hidden="1" thickBot="1" x14ac:dyDescent="0.3">
      <c r="A90" s="546">
        <v>2003</v>
      </c>
      <c r="B90" s="549" t="s">
        <v>22</v>
      </c>
      <c r="C90" s="550">
        <v>11</v>
      </c>
      <c r="D90" s="548">
        <f t="shared" si="1"/>
        <v>0.87345938200429352</v>
      </c>
    </row>
    <row r="91" spans="1:4" ht="16.5" hidden="1" thickBot="1" x14ac:dyDescent="0.3">
      <c r="A91" s="546">
        <v>2003</v>
      </c>
      <c r="B91" s="549" t="s">
        <v>23</v>
      </c>
      <c r="C91" s="550">
        <v>11</v>
      </c>
      <c r="D91" s="548">
        <f t="shared" si="1"/>
        <v>0.87345938200429352</v>
      </c>
    </row>
    <row r="92" spans="1:4" ht="16.5" hidden="1" thickBot="1" x14ac:dyDescent="0.3">
      <c r="A92" s="546">
        <v>2003</v>
      </c>
      <c r="B92" s="549" t="s">
        <v>12</v>
      </c>
      <c r="C92" s="550">
        <v>11</v>
      </c>
      <c r="D92" s="548">
        <f t="shared" si="1"/>
        <v>0.87345938200429352</v>
      </c>
    </row>
    <row r="93" spans="1:4" ht="16.5" hidden="1" thickBot="1" x14ac:dyDescent="0.3">
      <c r="A93" s="546"/>
      <c r="B93" s="549"/>
      <c r="C93" s="550"/>
      <c r="D93" s="548"/>
    </row>
    <row r="94" spans="1:4" ht="16.5" hidden="1" thickBot="1" x14ac:dyDescent="0.3">
      <c r="A94" s="546">
        <v>2004</v>
      </c>
      <c r="B94" s="549" t="s">
        <v>13</v>
      </c>
      <c r="C94" s="550">
        <v>10</v>
      </c>
      <c r="D94" s="548">
        <f t="shared" si="1"/>
        <v>0.7974140425701437</v>
      </c>
    </row>
    <row r="95" spans="1:4" ht="16.5" hidden="1" thickBot="1" x14ac:dyDescent="0.3">
      <c r="A95" s="546">
        <v>2004</v>
      </c>
      <c r="B95" s="549" t="s">
        <v>14</v>
      </c>
      <c r="C95" s="550">
        <v>10</v>
      </c>
      <c r="D95" s="548">
        <f t="shared" si="1"/>
        <v>0.7974140425701437</v>
      </c>
    </row>
    <row r="96" spans="1:4" ht="16.5" hidden="1" thickBot="1" x14ac:dyDescent="0.3">
      <c r="A96" s="546">
        <v>2004</v>
      </c>
      <c r="B96" s="549" t="s">
        <v>15</v>
      </c>
      <c r="C96" s="550">
        <v>10</v>
      </c>
      <c r="D96" s="548">
        <f t="shared" si="1"/>
        <v>0.7974140425701437</v>
      </c>
    </row>
    <row r="97" spans="1:4" ht="16.5" hidden="1" thickBot="1" x14ac:dyDescent="0.3">
      <c r="A97" s="546">
        <v>2004</v>
      </c>
      <c r="B97" s="549" t="s">
        <v>16</v>
      </c>
      <c r="C97" s="550">
        <v>9.75</v>
      </c>
      <c r="D97" s="548">
        <f t="shared" si="1"/>
        <v>0.77830370847546959</v>
      </c>
    </row>
    <row r="98" spans="1:4" ht="16.5" hidden="1" thickBot="1" x14ac:dyDescent="0.3">
      <c r="A98" s="546">
        <v>2004</v>
      </c>
      <c r="B98" s="549" t="s">
        <v>17</v>
      </c>
      <c r="C98" s="550">
        <v>9.75</v>
      </c>
      <c r="D98" s="548">
        <f t="shared" si="1"/>
        <v>0.77830370847546959</v>
      </c>
    </row>
    <row r="99" spans="1:4" ht="16.5" hidden="1" thickBot="1" x14ac:dyDescent="0.3">
      <c r="A99" s="546">
        <v>2004</v>
      </c>
      <c r="B99" s="549" t="s">
        <v>18</v>
      </c>
      <c r="C99" s="550">
        <v>9.75</v>
      </c>
      <c r="D99" s="548">
        <f t="shared" si="1"/>
        <v>0.77830370847546959</v>
      </c>
    </row>
    <row r="100" spans="1:4" ht="16.5" hidden="1" thickBot="1" x14ac:dyDescent="0.3">
      <c r="A100" s="546">
        <v>2004</v>
      </c>
      <c r="B100" s="549" t="s">
        <v>19</v>
      </c>
      <c r="C100" s="550">
        <v>9.75</v>
      </c>
      <c r="D100" s="548">
        <f t="shared" si="1"/>
        <v>0.77830370847546959</v>
      </c>
    </row>
    <row r="101" spans="1:4" ht="16.5" hidden="1" thickBot="1" x14ac:dyDescent="0.3">
      <c r="A101" s="546">
        <v>2004</v>
      </c>
      <c r="B101" s="549" t="s">
        <v>34</v>
      </c>
      <c r="C101" s="550">
        <v>9.75</v>
      </c>
      <c r="D101" s="548">
        <f t="shared" si="1"/>
        <v>0.77830370847546959</v>
      </c>
    </row>
    <row r="102" spans="1:4" ht="16.5" hidden="1" thickBot="1" x14ac:dyDescent="0.3">
      <c r="A102" s="546">
        <v>2004</v>
      </c>
      <c r="B102" s="549" t="s">
        <v>36</v>
      </c>
      <c r="C102" s="550">
        <v>9.75</v>
      </c>
      <c r="D102" s="548">
        <f t="shared" si="1"/>
        <v>0.77830370847546959</v>
      </c>
    </row>
    <row r="103" spans="1:4" ht="16.5" hidden="1" thickBot="1" x14ac:dyDescent="0.3">
      <c r="A103" s="546">
        <v>2004</v>
      </c>
      <c r="B103" s="549" t="s">
        <v>35</v>
      </c>
      <c r="C103" s="550">
        <v>9.75</v>
      </c>
      <c r="D103" s="548">
        <f t="shared" si="1"/>
        <v>0.77830370847546959</v>
      </c>
    </row>
    <row r="104" spans="1:4" ht="16.5" hidden="1" thickBot="1" x14ac:dyDescent="0.3">
      <c r="A104" s="546">
        <v>2004</v>
      </c>
      <c r="B104" s="549" t="s">
        <v>25</v>
      </c>
      <c r="C104" s="550">
        <v>9.75</v>
      </c>
      <c r="D104" s="548">
        <f t="shared" si="1"/>
        <v>0.77830370847546959</v>
      </c>
    </row>
    <row r="105" spans="1:4" ht="16.5" hidden="1" thickBot="1" x14ac:dyDescent="0.3">
      <c r="A105" s="546">
        <v>2004</v>
      </c>
      <c r="B105" s="549" t="s">
        <v>26</v>
      </c>
      <c r="C105" s="550">
        <v>9.75</v>
      </c>
      <c r="D105" s="548">
        <f t="shared" si="1"/>
        <v>0.77830370847546959</v>
      </c>
    </row>
    <row r="106" spans="1:4" ht="16.5" hidden="1" thickBot="1" x14ac:dyDescent="0.3">
      <c r="A106" s="546">
        <v>2005</v>
      </c>
      <c r="B106" s="549" t="s">
        <v>27</v>
      </c>
      <c r="C106" s="550">
        <v>9.75</v>
      </c>
      <c r="D106" s="548">
        <f t="shared" si="1"/>
        <v>0.77830370847546959</v>
      </c>
    </row>
    <row r="107" spans="1:4" ht="16.5" hidden="1" thickBot="1" x14ac:dyDescent="0.3">
      <c r="A107" s="546">
        <v>2005</v>
      </c>
      <c r="B107" s="549" t="s">
        <v>14</v>
      </c>
      <c r="C107" s="550">
        <v>9.75</v>
      </c>
      <c r="D107" s="548">
        <f t="shared" si="1"/>
        <v>0.77830370847546959</v>
      </c>
    </row>
    <row r="108" spans="1:4" ht="16.5" hidden="1" thickBot="1" x14ac:dyDescent="0.3">
      <c r="A108" s="546">
        <v>2005</v>
      </c>
      <c r="B108" s="549" t="s">
        <v>15</v>
      </c>
      <c r="C108" s="550">
        <v>9.75</v>
      </c>
      <c r="D108" s="548">
        <f t="shared" si="1"/>
        <v>0.77830370847546959</v>
      </c>
    </row>
    <row r="109" spans="1:4" ht="16.5" hidden="1" thickBot="1" x14ac:dyDescent="0.3">
      <c r="A109" s="546">
        <v>2005</v>
      </c>
      <c r="B109" s="549" t="s">
        <v>16</v>
      </c>
      <c r="C109" s="550">
        <v>9.75</v>
      </c>
      <c r="D109" s="548">
        <f t="shared" si="1"/>
        <v>0.77830370847546959</v>
      </c>
    </row>
    <row r="110" spans="1:4" ht="16.5" hidden="1" thickBot="1" x14ac:dyDescent="0.3">
      <c r="A110" s="546">
        <v>2005</v>
      </c>
      <c r="B110" s="549" t="s">
        <v>17</v>
      </c>
      <c r="C110" s="550">
        <v>9.75</v>
      </c>
      <c r="D110" s="548">
        <f t="shared" si="1"/>
        <v>0.77830370847546959</v>
      </c>
    </row>
    <row r="111" spans="1:4" ht="16.5" hidden="1" thickBot="1" x14ac:dyDescent="0.3">
      <c r="A111" s="546">
        <v>2005</v>
      </c>
      <c r="B111" s="549" t="s">
        <v>18</v>
      </c>
      <c r="C111" s="550">
        <v>9.75</v>
      </c>
      <c r="D111" s="548">
        <f t="shared" si="1"/>
        <v>0.77830370847546959</v>
      </c>
    </row>
    <row r="112" spans="1:4" ht="16.5" hidden="1" thickBot="1" x14ac:dyDescent="0.3">
      <c r="A112" s="546">
        <v>2005</v>
      </c>
      <c r="B112" s="549" t="s">
        <v>19</v>
      </c>
      <c r="C112" s="550">
        <v>9.75</v>
      </c>
      <c r="D112" s="548">
        <f t="shared" si="1"/>
        <v>0.77830370847546959</v>
      </c>
    </row>
    <row r="113" spans="1:4" ht="16.5" hidden="1" thickBot="1" x14ac:dyDescent="0.3">
      <c r="A113" s="546">
        <v>2005</v>
      </c>
      <c r="B113" s="549" t="s">
        <v>20</v>
      </c>
      <c r="C113" s="550">
        <v>9.75</v>
      </c>
      <c r="D113" s="548">
        <f t="shared" si="1"/>
        <v>0.77830370847546959</v>
      </c>
    </row>
    <row r="114" spans="1:4" ht="16.5" hidden="1" thickBot="1" x14ac:dyDescent="0.3">
      <c r="A114" s="546">
        <v>2005</v>
      </c>
      <c r="B114" s="549" t="s">
        <v>21</v>
      </c>
      <c r="C114" s="550">
        <v>9.75</v>
      </c>
      <c r="D114" s="548">
        <f t="shared" si="1"/>
        <v>0.77830370847546959</v>
      </c>
    </row>
    <row r="115" spans="1:4" ht="16.5" hidden="1" thickBot="1" x14ac:dyDescent="0.3">
      <c r="A115" s="546">
        <v>2005</v>
      </c>
      <c r="B115" s="549" t="s">
        <v>35</v>
      </c>
      <c r="C115" s="550">
        <v>9.75</v>
      </c>
      <c r="D115" s="548">
        <f t="shared" si="1"/>
        <v>0.77830370847546959</v>
      </c>
    </row>
    <row r="116" spans="1:4" ht="16.5" hidden="1" thickBot="1" x14ac:dyDescent="0.3">
      <c r="A116" s="546">
        <v>2005</v>
      </c>
      <c r="B116" s="549" t="s">
        <v>25</v>
      </c>
      <c r="C116" s="550">
        <v>9.75</v>
      </c>
      <c r="D116" s="548">
        <f t="shared" si="1"/>
        <v>0.77830370847546959</v>
      </c>
    </row>
    <row r="117" spans="1:4" ht="16.5" hidden="1" thickBot="1" x14ac:dyDescent="0.3">
      <c r="A117" s="546">
        <v>2005</v>
      </c>
      <c r="B117" s="549" t="s">
        <v>26</v>
      </c>
      <c r="C117" s="550">
        <v>9</v>
      </c>
      <c r="D117" s="548">
        <f t="shared" si="1"/>
        <v>0.72073233132434744</v>
      </c>
    </row>
    <row r="118" spans="1:4" ht="16.5" hidden="1" thickBot="1" x14ac:dyDescent="0.3">
      <c r="A118" s="546">
        <v>2006</v>
      </c>
      <c r="B118" s="549" t="s">
        <v>27</v>
      </c>
      <c r="C118" s="550">
        <v>9</v>
      </c>
      <c r="D118" s="548">
        <f t="shared" si="1"/>
        <v>0.72073233132434744</v>
      </c>
    </row>
    <row r="119" spans="1:4" ht="16.5" hidden="1" thickBot="1" x14ac:dyDescent="0.3">
      <c r="A119" s="546">
        <v>2006</v>
      </c>
      <c r="B119" s="549" t="s">
        <v>14</v>
      </c>
      <c r="C119" s="550">
        <v>9</v>
      </c>
      <c r="D119" s="548">
        <f t="shared" si="1"/>
        <v>0.72073233132434744</v>
      </c>
    </row>
    <row r="120" spans="1:4" ht="16.5" hidden="1" thickBot="1" x14ac:dyDescent="0.3">
      <c r="A120" s="546">
        <v>2006</v>
      </c>
      <c r="B120" s="549" t="s">
        <v>15</v>
      </c>
      <c r="C120" s="550">
        <v>9</v>
      </c>
      <c r="D120" s="548">
        <f t="shared" si="1"/>
        <v>0.72073233132434744</v>
      </c>
    </row>
    <row r="121" spans="1:4" ht="16.5" hidden="1" thickBot="1" x14ac:dyDescent="0.3">
      <c r="A121" s="546">
        <v>2006</v>
      </c>
      <c r="B121" s="549" t="s">
        <v>30</v>
      </c>
      <c r="C121" s="550">
        <v>8.15</v>
      </c>
      <c r="D121" s="548">
        <f t="shared" si="1"/>
        <v>0.65504414416592827</v>
      </c>
    </row>
    <row r="122" spans="1:4" ht="16.5" hidden="1" thickBot="1" x14ac:dyDescent="0.3">
      <c r="A122" s="546">
        <v>2006</v>
      </c>
      <c r="B122" s="549" t="s">
        <v>31</v>
      </c>
      <c r="C122" s="550">
        <v>8.15</v>
      </c>
      <c r="D122" s="548">
        <f t="shared" si="1"/>
        <v>0.65504414416592827</v>
      </c>
    </row>
    <row r="123" spans="1:4" ht="16.5" hidden="1" thickBot="1" x14ac:dyDescent="0.3">
      <c r="A123" s="546">
        <v>2006</v>
      </c>
      <c r="B123" s="549" t="s">
        <v>32</v>
      </c>
      <c r="C123" s="550">
        <v>8.15</v>
      </c>
      <c r="D123" s="548">
        <f t="shared" si="1"/>
        <v>0.65504414416592827</v>
      </c>
    </row>
    <row r="124" spans="1:4" ht="16.5" hidden="1" thickBot="1" x14ac:dyDescent="0.3">
      <c r="A124" s="546">
        <v>2006</v>
      </c>
      <c r="B124" s="549" t="s">
        <v>33</v>
      </c>
      <c r="C124" s="550">
        <v>7.5</v>
      </c>
      <c r="D124" s="548">
        <f t="shared" si="1"/>
        <v>0.60449190218665461</v>
      </c>
    </row>
    <row r="125" spans="1:4" ht="16.5" hidden="1" thickBot="1" x14ac:dyDescent="0.3">
      <c r="A125" s="546">
        <v>2006</v>
      </c>
      <c r="B125" s="549" t="s">
        <v>34</v>
      </c>
      <c r="C125" s="550">
        <v>7.5</v>
      </c>
      <c r="D125" s="548">
        <f t="shared" si="1"/>
        <v>0.60449190218665461</v>
      </c>
    </row>
    <row r="126" spans="1:4" ht="16.5" hidden="1" thickBot="1" x14ac:dyDescent="0.3">
      <c r="A126" s="546">
        <v>2006</v>
      </c>
      <c r="B126" s="549" t="s">
        <v>36</v>
      </c>
      <c r="C126" s="550">
        <v>7.5</v>
      </c>
      <c r="D126" s="548">
        <f t="shared" si="1"/>
        <v>0.60449190218665461</v>
      </c>
    </row>
    <row r="127" spans="1:4" ht="16.5" hidden="1" thickBot="1" x14ac:dyDescent="0.3">
      <c r="A127" s="546">
        <v>2006</v>
      </c>
      <c r="B127" s="549" t="s">
        <v>35</v>
      </c>
      <c r="C127" s="550">
        <v>6.85</v>
      </c>
      <c r="D127" s="548">
        <f t="shared" si="1"/>
        <v>0.55365868710504085</v>
      </c>
    </row>
    <row r="128" spans="1:4" ht="16.5" hidden="1" thickBot="1" x14ac:dyDescent="0.3">
      <c r="A128" s="546">
        <v>2006</v>
      </c>
      <c r="B128" s="549" t="s">
        <v>25</v>
      </c>
      <c r="C128" s="550">
        <v>6.85</v>
      </c>
      <c r="D128" s="548">
        <f t="shared" si="1"/>
        <v>0.55365868710504085</v>
      </c>
    </row>
    <row r="129" spans="1:4" ht="16.5" hidden="1" thickBot="1" x14ac:dyDescent="0.3">
      <c r="A129" s="546">
        <v>2006</v>
      </c>
      <c r="B129" s="549" t="s">
        <v>26</v>
      </c>
      <c r="C129" s="550">
        <v>6.85</v>
      </c>
      <c r="D129" s="548">
        <f t="shared" si="1"/>
        <v>0.55365868710504085</v>
      </c>
    </row>
    <row r="130" spans="1:4" ht="16.5" hidden="1" thickBot="1" x14ac:dyDescent="0.3">
      <c r="A130" s="546">
        <v>2007</v>
      </c>
      <c r="B130" s="549" t="s">
        <v>27</v>
      </c>
      <c r="C130" s="550">
        <v>6.5</v>
      </c>
      <c r="D130" s="548">
        <f t="shared" si="1"/>
        <v>0.52616942747376605</v>
      </c>
    </row>
    <row r="131" spans="1:4" ht="16.5" hidden="1" thickBot="1" x14ac:dyDescent="0.3">
      <c r="A131" s="546">
        <v>2007</v>
      </c>
      <c r="B131" s="549" t="s">
        <v>14</v>
      </c>
      <c r="C131" s="550">
        <v>6.5</v>
      </c>
      <c r="D131" s="548">
        <f t="shared" si="1"/>
        <v>0.52616942747376605</v>
      </c>
    </row>
    <row r="132" spans="1:4" ht="16.5" hidden="1" thickBot="1" x14ac:dyDescent="0.3">
      <c r="A132" s="546">
        <v>2007</v>
      </c>
      <c r="B132" s="549" t="s">
        <v>15</v>
      </c>
      <c r="C132" s="550">
        <v>6.5</v>
      </c>
      <c r="D132" s="548">
        <f t="shared" si="1"/>
        <v>0.52616942747376605</v>
      </c>
    </row>
    <row r="133" spans="1:4" ht="16.5" hidden="1" thickBot="1" x14ac:dyDescent="0.3">
      <c r="A133" s="546">
        <v>2007</v>
      </c>
      <c r="B133" s="549" t="s">
        <v>16</v>
      </c>
      <c r="C133" s="550">
        <v>6.5</v>
      </c>
      <c r="D133" s="548">
        <f t="shared" si="1"/>
        <v>0.52616942747376605</v>
      </c>
    </row>
    <row r="134" spans="1:4" ht="16.5" hidden="1" thickBot="1" x14ac:dyDescent="0.3">
      <c r="A134" s="546">
        <v>2007</v>
      </c>
      <c r="B134" s="549" t="s">
        <v>17</v>
      </c>
      <c r="C134" s="550">
        <v>6.5</v>
      </c>
      <c r="D134" s="548">
        <f t="shared" si="1"/>
        <v>0.52616942747376605</v>
      </c>
    </row>
    <row r="135" spans="1:4" ht="16.5" hidden="1" thickBot="1" x14ac:dyDescent="0.3">
      <c r="A135" s="546">
        <v>2007</v>
      </c>
      <c r="B135" s="549" t="s">
        <v>18</v>
      </c>
      <c r="C135" s="550">
        <v>6.5</v>
      </c>
      <c r="D135" s="548">
        <f t="shared" si="1"/>
        <v>0.52616942747376605</v>
      </c>
    </row>
    <row r="136" spans="1:4" ht="16.5" hidden="1" thickBot="1" x14ac:dyDescent="0.3">
      <c r="A136" s="546">
        <v>2007</v>
      </c>
      <c r="B136" s="549" t="s">
        <v>19</v>
      </c>
      <c r="C136" s="550">
        <v>6.25</v>
      </c>
      <c r="D136" s="548">
        <f t="shared" si="1"/>
        <v>0.50648349477397936</v>
      </c>
    </row>
    <row r="137" spans="1:4" ht="16.5" hidden="1" thickBot="1" x14ac:dyDescent="0.3">
      <c r="A137" s="546">
        <v>2007</v>
      </c>
      <c r="B137" s="549" t="s">
        <v>20</v>
      </c>
      <c r="C137" s="550">
        <v>6.25</v>
      </c>
      <c r="D137" s="548">
        <f t="shared" si="1"/>
        <v>0.50648349477397936</v>
      </c>
    </row>
    <row r="138" spans="1:4" ht="16.5" hidden="1" thickBot="1" x14ac:dyDescent="0.3">
      <c r="A138" s="546">
        <v>2007</v>
      </c>
      <c r="B138" s="549" t="s">
        <v>21</v>
      </c>
      <c r="C138" s="550">
        <v>6.25</v>
      </c>
      <c r="D138" s="548">
        <f t="shared" ref="D138:D203" si="2">100*((1+C138/100)^0.0833333333-1)</f>
        <v>0.50648349477397936</v>
      </c>
    </row>
    <row r="139" spans="1:4" ht="16.5" hidden="1" thickBot="1" x14ac:dyDescent="0.3">
      <c r="A139" s="546">
        <v>2007</v>
      </c>
      <c r="B139" s="549" t="s">
        <v>22</v>
      </c>
      <c r="C139" s="550">
        <v>6.25</v>
      </c>
      <c r="D139" s="548">
        <f t="shared" si="2"/>
        <v>0.50648349477397936</v>
      </c>
    </row>
    <row r="140" spans="1:4" ht="16.5" hidden="1" thickBot="1" x14ac:dyDescent="0.3">
      <c r="A140" s="546">
        <v>2007</v>
      </c>
      <c r="B140" s="549" t="s">
        <v>23</v>
      </c>
      <c r="C140" s="550">
        <v>6.25</v>
      </c>
      <c r="D140" s="548">
        <f t="shared" si="2"/>
        <v>0.50648349477397936</v>
      </c>
    </row>
    <row r="141" spans="1:4" ht="16.5" hidden="1" thickBot="1" x14ac:dyDescent="0.3">
      <c r="A141" s="546">
        <v>2007</v>
      </c>
      <c r="B141" s="549" t="s">
        <v>12</v>
      </c>
      <c r="C141" s="550">
        <v>6.25</v>
      </c>
      <c r="D141" s="548">
        <f t="shared" si="2"/>
        <v>0.50648349477397936</v>
      </c>
    </row>
    <row r="142" spans="1:4" ht="16.5" hidden="1" thickBot="1" x14ac:dyDescent="0.3">
      <c r="A142" s="546">
        <v>2008</v>
      </c>
      <c r="B142" s="549" t="s">
        <v>13</v>
      </c>
      <c r="C142" s="550">
        <v>6.25</v>
      </c>
      <c r="D142" s="548">
        <f t="shared" si="2"/>
        <v>0.50648349477397936</v>
      </c>
    </row>
    <row r="143" spans="1:4" ht="16.5" hidden="1" thickBot="1" x14ac:dyDescent="0.3">
      <c r="A143" s="546">
        <v>2008</v>
      </c>
      <c r="B143" s="549" t="s">
        <v>14</v>
      </c>
      <c r="C143" s="550">
        <v>6.25</v>
      </c>
      <c r="D143" s="548">
        <f t="shared" si="2"/>
        <v>0.50648349477397936</v>
      </c>
    </row>
    <row r="144" spans="1:4" ht="16.5" hidden="1" thickBot="1" x14ac:dyDescent="0.3">
      <c r="A144" s="546">
        <v>2008</v>
      </c>
      <c r="B144" s="549" t="s">
        <v>15</v>
      </c>
      <c r="C144" s="550">
        <v>6.25</v>
      </c>
      <c r="D144" s="548">
        <f t="shared" si="2"/>
        <v>0.50648349477397936</v>
      </c>
    </row>
    <row r="145" spans="1:5" ht="16.5" hidden="1" thickBot="1" x14ac:dyDescent="0.3">
      <c r="A145" s="546">
        <v>2008</v>
      </c>
      <c r="B145" s="549" t="s">
        <v>16</v>
      </c>
      <c r="C145" s="550">
        <v>6.25</v>
      </c>
      <c r="D145" s="548">
        <f t="shared" si="2"/>
        <v>0.50648349477397936</v>
      </c>
    </row>
    <row r="146" spans="1:5" ht="16.5" hidden="1" thickBot="1" x14ac:dyDescent="0.3">
      <c r="A146" s="546">
        <v>2008</v>
      </c>
      <c r="B146" s="549" t="s">
        <v>17</v>
      </c>
      <c r="C146" s="550">
        <v>6.25</v>
      </c>
      <c r="D146" s="548">
        <f t="shared" si="2"/>
        <v>0.50648349477397936</v>
      </c>
    </row>
    <row r="147" spans="1:5" ht="16.5" hidden="1" thickBot="1" x14ac:dyDescent="0.3">
      <c r="A147" s="546">
        <v>2008</v>
      </c>
      <c r="B147" s="549" t="s">
        <v>18</v>
      </c>
      <c r="C147" s="550">
        <v>6.25</v>
      </c>
      <c r="D147" s="548">
        <f t="shared" si="2"/>
        <v>0.50648349477397936</v>
      </c>
    </row>
    <row r="148" spans="1:5" ht="16.5" hidden="1" thickBot="1" x14ac:dyDescent="0.3">
      <c r="A148" s="546">
        <v>2008</v>
      </c>
      <c r="B148" s="549" t="s">
        <v>19</v>
      </c>
      <c r="C148" s="550">
        <v>6.25</v>
      </c>
      <c r="D148" s="548">
        <f t="shared" si="2"/>
        <v>0.50648349477397936</v>
      </c>
    </row>
    <row r="149" spans="1:5" ht="16.5" hidden="1" thickBot="1" x14ac:dyDescent="0.3">
      <c r="A149" s="546">
        <v>2008</v>
      </c>
      <c r="B149" s="549" t="s">
        <v>20</v>
      </c>
      <c r="C149" s="550">
        <v>6.25</v>
      </c>
      <c r="D149" s="548">
        <f t="shared" si="2"/>
        <v>0.50648349477397936</v>
      </c>
    </row>
    <row r="150" spans="1:5" ht="16.5" hidden="1" thickBot="1" x14ac:dyDescent="0.3">
      <c r="A150" s="546">
        <v>2008</v>
      </c>
      <c r="B150" s="549" t="s">
        <v>21</v>
      </c>
      <c r="C150" s="550">
        <v>6.25</v>
      </c>
      <c r="D150" s="548">
        <f t="shared" si="2"/>
        <v>0.50648349477397936</v>
      </c>
    </row>
    <row r="151" spans="1:5" ht="16.5" hidden="1" thickBot="1" x14ac:dyDescent="0.3">
      <c r="A151" s="546">
        <v>2008</v>
      </c>
      <c r="B151" s="549" t="s">
        <v>22</v>
      </c>
      <c r="C151" s="550">
        <v>6.25</v>
      </c>
      <c r="D151" s="548">
        <f t="shared" si="2"/>
        <v>0.50648349477397936</v>
      </c>
    </row>
    <row r="152" spans="1:5" ht="16.5" hidden="1" thickBot="1" x14ac:dyDescent="0.3">
      <c r="A152" s="546">
        <v>2008</v>
      </c>
      <c r="B152" s="549" t="s">
        <v>23</v>
      </c>
      <c r="C152" s="550">
        <v>6.25</v>
      </c>
      <c r="D152" s="548">
        <f t="shared" si="2"/>
        <v>0.50648349477397936</v>
      </c>
    </row>
    <row r="153" spans="1:5" ht="16.5" hidden="1" thickBot="1" x14ac:dyDescent="0.3">
      <c r="A153" s="546">
        <v>2008</v>
      </c>
      <c r="B153" s="549" t="s">
        <v>12</v>
      </c>
      <c r="C153" s="550">
        <v>6.25</v>
      </c>
      <c r="D153" s="548">
        <f t="shared" si="2"/>
        <v>0.50648349477397936</v>
      </c>
    </row>
    <row r="154" spans="1:5" ht="16.5" hidden="1" thickBot="1" x14ac:dyDescent="0.3">
      <c r="A154" s="546">
        <v>2009</v>
      </c>
      <c r="B154" s="549" t="s">
        <v>13</v>
      </c>
      <c r="C154" s="550">
        <v>6.25</v>
      </c>
      <c r="D154" s="548">
        <f t="shared" si="2"/>
        <v>0.50648349477397936</v>
      </c>
    </row>
    <row r="155" spans="1:5" ht="16.5" hidden="1" thickBot="1" x14ac:dyDescent="0.3">
      <c r="A155" s="546">
        <v>2009</v>
      </c>
      <c r="B155" s="549" t="s">
        <v>14</v>
      </c>
      <c r="C155" s="550">
        <v>6.25</v>
      </c>
      <c r="D155" s="548">
        <f t="shared" si="2"/>
        <v>0.50648349477397936</v>
      </c>
    </row>
    <row r="156" spans="1:5" ht="16.5" hidden="1" thickBot="1" x14ac:dyDescent="0.3">
      <c r="A156" s="546">
        <v>2009</v>
      </c>
      <c r="B156" s="549" t="s">
        <v>29</v>
      </c>
      <c r="C156" s="550">
        <v>6.25</v>
      </c>
      <c r="D156" s="548">
        <f t="shared" si="2"/>
        <v>0.50648349477397936</v>
      </c>
    </row>
    <row r="157" spans="1:5" ht="16.5" hidden="1" thickBot="1" x14ac:dyDescent="0.3">
      <c r="A157" s="546">
        <v>2009</v>
      </c>
      <c r="B157" s="549" t="s">
        <v>30</v>
      </c>
      <c r="C157" s="550">
        <v>6.25</v>
      </c>
      <c r="D157" s="548">
        <f t="shared" si="2"/>
        <v>0.50648349477397936</v>
      </c>
    </row>
    <row r="158" spans="1:5" ht="16.5" hidden="1" thickBot="1" x14ac:dyDescent="0.3">
      <c r="A158" s="546">
        <v>2009</v>
      </c>
      <c r="B158" s="549" t="s">
        <v>31</v>
      </c>
      <c r="C158" s="550">
        <v>6.25</v>
      </c>
      <c r="D158" s="548">
        <f t="shared" si="2"/>
        <v>0.50648349477397936</v>
      </c>
    </row>
    <row r="159" spans="1:5" ht="16.5" hidden="1" thickBot="1" x14ac:dyDescent="0.3">
      <c r="A159" s="546">
        <v>2009</v>
      </c>
      <c r="B159" s="549" t="s">
        <v>32</v>
      </c>
      <c r="C159" s="550">
        <v>6.25</v>
      </c>
      <c r="D159" s="548">
        <f t="shared" si="2"/>
        <v>0.50648349477397936</v>
      </c>
      <c r="E159" s="551" t="s">
        <v>534</v>
      </c>
    </row>
    <row r="160" spans="1:5" ht="16.5" hidden="1" thickBot="1" x14ac:dyDescent="0.3">
      <c r="A160" s="546">
        <v>2009</v>
      </c>
      <c r="B160" s="549" t="s">
        <v>33</v>
      </c>
      <c r="C160" s="550">
        <v>6</v>
      </c>
      <c r="D160" s="548">
        <f t="shared" si="2"/>
        <v>0.48675505633912763</v>
      </c>
    </row>
    <row r="161" spans="1:4" ht="16.5" hidden="1" thickBot="1" x14ac:dyDescent="0.3">
      <c r="A161" s="546">
        <v>2009</v>
      </c>
      <c r="B161" s="549" t="s">
        <v>34</v>
      </c>
      <c r="C161" s="550">
        <v>6</v>
      </c>
      <c r="D161" s="548">
        <f t="shared" si="2"/>
        <v>0.48675505633912763</v>
      </c>
    </row>
    <row r="162" spans="1:4" ht="16.5" hidden="1" thickBot="1" x14ac:dyDescent="0.3">
      <c r="A162" s="546">
        <v>2009</v>
      </c>
      <c r="B162" s="549" t="s">
        <v>36</v>
      </c>
      <c r="C162" s="550">
        <v>6</v>
      </c>
      <c r="D162" s="548">
        <f t="shared" si="2"/>
        <v>0.48675505633912763</v>
      </c>
    </row>
    <row r="163" spans="1:4" ht="16.5" hidden="1" thickBot="1" x14ac:dyDescent="0.3">
      <c r="A163" s="546">
        <v>2009</v>
      </c>
      <c r="B163" s="549" t="s">
        <v>35</v>
      </c>
      <c r="C163" s="550">
        <v>6</v>
      </c>
      <c r="D163" s="548">
        <f t="shared" si="2"/>
        <v>0.48675505633912763</v>
      </c>
    </row>
    <row r="164" spans="1:4" ht="16.5" hidden="1" thickBot="1" x14ac:dyDescent="0.3">
      <c r="A164" s="546">
        <v>2009</v>
      </c>
      <c r="B164" s="549" t="s">
        <v>25</v>
      </c>
      <c r="C164" s="550">
        <v>6</v>
      </c>
      <c r="D164" s="548">
        <f t="shared" si="2"/>
        <v>0.48675505633912763</v>
      </c>
    </row>
    <row r="165" spans="1:4" ht="16.5" hidden="1" thickBot="1" x14ac:dyDescent="0.3">
      <c r="A165" s="546">
        <v>2009</v>
      </c>
      <c r="B165" s="549" t="s">
        <v>26</v>
      </c>
      <c r="C165" s="550">
        <v>6</v>
      </c>
      <c r="D165" s="548">
        <f t="shared" si="2"/>
        <v>0.48675505633912763</v>
      </c>
    </row>
    <row r="166" spans="1:4" ht="16.5" hidden="1" thickBot="1" x14ac:dyDescent="0.3">
      <c r="A166" s="546">
        <v>2010</v>
      </c>
      <c r="B166" s="549" t="s">
        <v>13</v>
      </c>
      <c r="C166" s="550">
        <v>6</v>
      </c>
      <c r="D166" s="548">
        <f t="shared" si="2"/>
        <v>0.48675505633912763</v>
      </c>
    </row>
    <row r="167" spans="1:4" ht="16.5" hidden="1" thickBot="1" x14ac:dyDescent="0.3">
      <c r="A167" s="546">
        <v>2010</v>
      </c>
      <c r="B167" s="549" t="s">
        <v>28</v>
      </c>
      <c r="C167" s="550">
        <v>6</v>
      </c>
      <c r="D167" s="548">
        <f t="shared" si="2"/>
        <v>0.48675505633912763</v>
      </c>
    </row>
    <row r="168" spans="1:4" ht="16.5" hidden="1" thickBot="1" x14ac:dyDescent="0.3">
      <c r="A168" s="546">
        <v>2010</v>
      </c>
      <c r="B168" s="549" t="s">
        <v>29</v>
      </c>
      <c r="C168" s="550">
        <v>6</v>
      </c>
      <c r="D168" s="548">
        <f>100*((1+C169/100)^0.0833333333-1)</f>
        <v>0.48675505633912763</v>
      </c>
    </row>
    <row r="169" spans="1:4" ht="16.5" hidden="1" thickBot="1" x14ac:dyDescent="0.3">
      <c r="A169" s="546">
        <v>2010</v>
      </c>
      <c r="B169" s="549" t="s">
        <v>30</v>
      </c>
      <c r="C169" s="550">
        <v>6</v>
      </c>
      <c r="D169" s="548">
        <f t="shared" si="2"/>
        <v>0.48675505633912763</v>
      </c>
    </row>
    <row r="170" spans="1:4" ht="16.5" hidden="1" thickBot="1" x14ac:dyDescent="0.3">
      <c r="A170" s="546">
        <v>2010</v>
      </c>
      <c r="B170" s="549" t="s">
        <v>31</v>
      </c>
      <c r="C170" s="550">
        <v>6</v>
      </c>
      <c r="D170" s="548">
        <f t="shared" si="2"/>
        <v>0.48675505633912763</v>
      </c>
    </row>
    <row r="171" spans="1:4" ht="16.5" hidden="1" thickBot="1" x14ac:dyDescent="0.3">
      <c r="A171" s="546">
        <v>2010</v>
      </c>
      <c r="B171" s="549" t="s">
        <v>32</v>
      </c>
      <c r="C171" s="550">
        <v>6</v>
      </c>
      <c r="D171" s="548">
        <f t="shared" si="2"/>
        <v>0.48675505633912763</v>
      </c>
    </row>
    <row r="172" spans="1:4" ht="16.5" hidden="1" thickBot="1" x14ac:dyDescent="0.3">
      <c r="A172" s="546">
        <v>2010</v>
      </c>
      <c r="B172" s="549" t="s">
        <v>33</v>
      </c>
      <c r="C172" s="550">
        <v>6</v>
      </c>
      <c r="D172" s="548">
        <f t="shared" si="2"/>
        <v>0.48675505633912763</v>
      </c>
    </row>
    <row r="173" spans="1:4" ht="16.5" hidden="1" thickBot="1" x14ac:dyDescent="0.3">
      <c r="A173" s="546">
        <v>2010</v>
      </c>
      <c r="B173" s="549" t="s">
        <v>34</v>
      </c>
      <c r="C173" s="550">
        <v>6</v>
      </c>
      <c r="D173" s="548">
        <f t="shared" si="2"/>
        <v>0.48675505633912763</v>
      </c>
    </row>
    <row r="174" spans="1:4" ht="16.5" hidden="1" thickBot="1" x14ac:dyDescent="0.3">
      <c r="A174" s="546">
        <v>2010</v>
      </c>
      <c r="B174" s="549" t="s">
        <v>36</v>
      </c>
      <c r="C174" s="550">
        <v>6</v>
      </c>
      <c r="D174" s="548">
        <f t="shared" si="2"/>
        <v>0.48675505633912763</v>
      </c>
    </row>
    <row r="175" spans="1:4" ht="16.5" hidden="1" thickBot="1" x14ac:dyDescent="0.3">
      <c r="A175" s="546">
        <v>2010</v>
      </c>
      <c r="B175" s="549" t="s">
        <v>35</v>
      </c>
      <c r="C175" s="550">
        <v>6</v>
      </c>
      <c r="D175" s="548">
        <f t="shared" si="2"/>
        <v>0.48675505633912763</v>
      </c>
    </row>
    <row r="176" spans="1:4" ht="16.5" hidden="1" thickBot="1" x14ac:dyDescent="0.3">
      <c r="A176" s="546">
        <v>2010</v>
      </c>
      <c r="B176" s="549" t="s">
        <v>25</v>
      </c>
      <c r="C176" s="550">
        <v>6</v>
      </c>
      <c r="D176" s="548">
        <f t="shared" si="2"/>
        <v>0.48675505633912763</v>
      </c>
    </row>
    <row r="177" spans="1:4" ht="16.5" hidden="1" thickBot="1" x14ac:dyDescent="0.3">
      <c r="A177" s="546">
        <v>2010</v>
      </c>
      <c r="B177" s="549" t="s">
        <v>26</v>
      </c>
      <c r="C177" s="550">
        <v>6</v>
      </c>
      <c r="D177" s="548">
        <f t="shared" si="2"/>
        <v>0.48675505633912763</v>
      </c>
    </row>
    <row r="178" spans="1:4" x14ac:dyDescent="0.25">
      <c r="A178" s="552">
        <v>2011</v>
      </c>
      <c r="B178" s="553" t="s">
        <v>27</v>
      </c>
      <c r="C178" s="554">
        <v>6</v>
      </c>
      <c r="D178" s="555">
        <f t="shared" si="2"/>
        <v>0.48675505633912763</v>
      </c>
    </row>
    <row r="179" spans="1:4" x14ac:dyDescent="0.25">
      <c r="A179" s="556">
        <v>2011</v>
      </c>
      <c r="B179" s="557" t="s">
        <v>28</v>
      </c>
      <c r="C179" s="558">
        <v>6</v>
      </c>
      <c r="D179" s="559">
        <f t="shared" si="2"/>
        <v>0.48675505633912763</v>
      </c>
    </row>
    <row r="180" spans="1:4" x14ac:dyDescent="0.25">
      <c r="A180" s="556">
        <v>2011</v>
      </c>
      <c r="B180" s="557" t="s">
        <v>29</v>
      </c>
      <c r="C180" s="558">
        <v>6</v>
      </c>
      <c r="D180" s="559">
        <f t="shared" si="2"/>
        <v>0.48675505633912763</v>
      </c>
    </row>
    <row r="181" spans="1:4" x14ac:dyDescent="0.25">
      <c r="A181" s="556">
        <v>2011</v>
      </c>
      <c r="B181" s="557" t="s">
        <v>30</v>
      </c>
      <c r="C181" s="558">
        <v>6</v>
      </c>
      <c r="D181" s="559">
        <f t="shared" si="2"/>
        <v>0.48675505633912763</v>
      </c>
    </row>
    <row r="182" spans="1:4" x14ac:dyDescent="0.25">
      <c r="A182" s="556">
        <v>2011</v>
      </c>
      <c r="B182" s="557" t="s">
        <v>31</v>
      </c>
      <c r="C182" s="558">
        <v>6</v>
      </c>
      <c r="D182" s="559">
        <f t="shared" si="2"/>
        <v>0.48675505633912763</v>
      </c>
    </row>
    <row r="183" spans="1:4" x14ac:dyDescent="0.25">
      <c r="A183" s="556">
        <v>2011</v>
      </c>
      <c r="B183" s="557" t="s">
        <v>32</v>
      </c>
      <c r="C183" s="558">
        <v>6</v>
      </c>
      <c r="D183" s="559">
        <f t="shared" si="2"/>
        <v>0.48675505633912763</v>
      </c>
    </row>
    <row r="184" spans="1:4" x14ac:dyDescent="0.25">
      <c r="A184" s="556">
        <v>2011</v>
      </c>
      <c r="B184" s="557" t="s">
        <v>33</v>
      </c>
      <c r="C184" s="558">
        <v>6</v>
      </c>
      <c r="D184" s="559">
        <f t="shared" si="2"/>
        <v>0.48675505633912763</v>
      </c>
    </row>
    <row r="185" spans="1:4" x14ac:dyDescent="0.25">
      <c r="A185" s="556">
        <v>2011</v>
      </c>
      <c r="B185" s="557" t="s">
        <v>34</v>
      </c>
      <c r="C185" s="558">
        <v>6</v>
      </c>
      <c r="D185" s="559">
        <f t="shared" si="2"/>
        <v>0.48675505633912763</v>
      </c>
    </row>
    <row r="186" spans="1:4" x14ac:dyDescent="0.25">
      <c r="A186" s="556">
        <v>2011</v>
      </c>
      <c r="B186" s="557" t="s">
        <v>36</v>
      </c>
      <c r="C186" s="558">
        <v>6</v>
      </c>
      <c r="D186" s="559">
        <f t="shared" si="2"/>
        <v>0.48675505633912763</v>
      </c>
    </row>
    <row r="187" spans="1:4" x14ac:dyDescent="0.25">
      <c r="A187" s="556">
        <v>2011</v>
      </c>
      <c r="B187" s="557" t="s">
        <v>35</v>
      </c>
      <c r="C187" s="558">
        <v>6</v>
      </c>
      <c r="D187" s="559">
        <f t="shared" si="2"/>
        <v>0.48675505633912763</v>
      </c>
    </row>
    <row r="188" spans="1:4" x14ac:dyDescent="0.25">
      <c r="A188" s="556">
        <v>2011</v>
      </c>
      <c r="B188" s="557" t="s">
        <v>25</v>
      </c>
      <c r="C188" s="558">
        <v>6</v>
      </c>
      <c r="D188" s="559">
        <f t="shared" si="2"/>
        <v>0.48675505633912763</v>
      </c>
    </row>
    <row r="189" spans="1:4" x14ac:dyDescent="0.25">
      <c r="A189" s="556">
        <v>2011</v>
      </c>
      <c r="B189" s="557" t="s">
        <v>26</v>
      </c>
      <c r="C189" s="558">
        <v>6</v>
      </c>
      <c r="D189" s="559">
        <f t="shared" si="2"/>
        <v>0.48675505633912763</v>
      </c>
    </row>
    <row r="190" spans="1:4" x14ac:dyDescent="0.25">
      <c r="A190" s="556">
        <f>2012</f>
        <v>2012</v>
      </c>
      <c r="B190" s="557" t="s">
        <v>27</v>
      </c>
      <c r="C190" s="558">
        <v>6</v>
      </c>
      <c r="D190" s="559">
        <f t="shared" si="2"/>
        <v>0.48675505633912763</v>
      </c>
    </row>
    <row r="191" spans="1:4" x14ac:dyDescent="0.25">
      <c r="A191" s="556">
        <f>2012</f>
        <v>2012</v>
      </c>
      <c r="B191" s="557" t="s">
        <v>28</v>
      </c>
      <c r="C191" s="558">
        <v>6</v>
      </c>
      <c r="D191" s="559">
        <f t="shared" si="2"/>
        <v>0.48675505633912763</v>
      </c>
    </row>
    <row r="192" spans="1:4" x14ac:dyDescent="0.25">
      <c r="A192" s="556">
        <f>2012</f>
        <v>2012</v>
      </c>
      <c r="B192" s="557" t="s">
        <v>29</v>
      </c>
      <c r="C192" s="558">
        <v>6</v>
      </c>
      <c r="D192" s="559">
        <f t="shared" si="2"/>
        <v>0.48675505633912763</v>
      </c>
    </row>
    <row r="193" spans="1:4" x14ac:dyDescent="0.25">
      <c r="A193" s="556">
        <f>2012</f>
        <v>2012</v>
      </c>
      <c r="B193" s="557" t="s">
        <v>30</v>
      </c>
      <c r="C193" s="558">
        <v>6</v>
      </c>
      <c r="D193" s="559">
        <f t="shared" si="2"/>
        <v>0.48675505633912763</v>
      </c>
    </row>
    <row r="194" spans="1:4" x14ac:dyDescent="0.25">
      <c r="A194" s="556">
        <f>2012</f>
        <v>2012</v>
      </c>
      <c r="B194" s="557" t="s">
        <v>31</v>
      </c>
      <c r="C194" s="558">
        <v>6</v>
      </c>
      <c r="D194" s="559">
        <f t="shared" si="2"/>
        <v>0.48675505633912763</v>
      </c>
    </row>
    <row r="195" spans="1:4" x14ac:dyDescent="0.25">
      <c r="A195" s="556">
        <f>2012</f>
        <v>2012</v>
      </c>
      <c r="B195" s="557" t="s">
        <v>32</v>
      </c>
      <c r="C195" s="558">
        <v>6</v>
      </c>
      <c r="D195" s="559">
        <f t="shared" si="2"/>
        <v>0.48675505633912763</v>
      </c>
    </row>
    <row r="196" spans="1:4" x14ac:dyDescent="0.25">
      <c r="A196" s="556">
        <f>2012</f>
        <v>2012</v>
      </c>
      <c r="B196" s="557" t="s">
        <v>33</v>
      </c>
      <c r="C196" s="558">
        <v>5.5</v>
      </c>
      <c r="D196" s="559">
        <f t="shared" si="2"/>
        <v>0.44716989152502329</v>
      </c>
    </row>
    <row r="197" spans="1:4" x14ac:dyDescent="0.25">
      <c r="A197" s="556">
        <f>2012</f>
        <v>2012</v>
      </c>
      <c r="B197" s="557" t="s">
        <v>34</v>
      </c>
      <c r="C197" s="558">
        <v>5.5</v>
      </c>
      <c r="D197" s="559">
        <f t="shared" si="2"/>
        <v>0.44716989152502329</v>
      </c>
    </row>
    <row r="198" spans="1:4" x14ac:dyDescent="0.25">
      <c r="A198" s="556">
        <f>2012</f>
        <v>2012</v>
      </c>
      <c r="B198" s="557" t="s">
        <v>36</v>
      </c>
      <c r="C198" s="558">
        <v>5.5</v>
      </c>
      <c r="D198" s="559">
        <f t="shared" si="2"/>
        <v>0.44716989152502329</v>
      </c>
    </row>
    <row r="199" spans="1:4" x14ac:dyDescent="0.25">
      <c r="A199" s="556">
        <f>2012</f>
        <v>2012</v>
      </c>
      <c r="B199" s="557" t="s">
        <v>35</v>
      </c>
      <c r="C199" s="558">
        <v>5.5</v>
      </c>
      <c r="D199" s="559">
        <f t="shared" si="2"/>
        <v>0.44716989152502329</v>
      </c>
    </row>
    <row r="200" spans="1:4" x14ac:dyDescent="0.25">
      <c r="A200" s="556">
        <f>2012</f>
        <v>2012</v>
      </c>
      <c r="B200" s="557" t="s">
        <v>25</v>
      </c>
      <c r="C200" s="558">
        <v>5.5</v>
      </c>
      <c r="D200" s="559">
        <f t="shared" si="2"/>
        <v>0.44716989152502329</v>
      </c>
    </row>
    <row r="201" spans="1:4" x14ac:dyDescent="0.25">
      <c r="A201" s="556">
        <f>2012</f>
        <v>2012</v>
      </c>
      <c r="B201" s="557" t="s">
        <v>26</v>
      </c>
      <c r="C201" s="558">
        <v>5.5</v>
      </c>
      <c r="D201" s="559">
        <f t="shared" si="2"/>
        <v>0.44716989152502329</v>
      </c>
    </row>
    <row r="202" spans="1:4" x14ac:dyDescent="0.25">
      <c r="A202" s="556">
        <f>2013</f>
        <v>2013</v>
      </c>
      <c r="B202" s="557" t="s">
        <v>27</v>
      </c>
      <c r="C202" s="558">
        <v>5</v>
      </c>
      <c r="D202" s="559">
        <f t="shared" si="2"/>
        <v>0.40741237820154375</v>
      </c>
    </row>
    <row r="203" spans="1:4" x14ac:dyDescent="0.25">
      <c r="A203" s="556">
        <f>2013</f>
        <v>2013</v>
      </c>
      <c r="B203" s="557" t="s">
        <v>28</v>
      </c>
      <c r="C203" s="558">
        <v>5</v>
      </c>
      <c r="D203" s="559">
        <f t="shared" si="2"/>
        <v>0.40741237820154375</v>
      </c>
    </row>
    <row r="204" spans="1:4" x14ac:dyDescent="0.25">
      <c r="A204" s="556">
        <f>2013</f>
        <v>2013</v>
      </c>
      <c r="B204" s="557" t="s">
        <v>29</v>
      </c>
      <c r="C204" s="558">
        <v>5</v>
      </c>
      <c r="D204" s="559">
        <f t="shared" ref="D204:D267" si="3">100*((1+C204/100)^0.0833333333-1)</f>
        <v>0.40741237820154375</v>
      </c>
    </row>
    <row r="205" spans="1:4" x14ac:dyDescent="0.25">
      <c r="A205" s="556">
        <f>2013</f>
        <v>2013</v>
      </c>
      <c r="B205" s="557" t="s">
        <v>30</v>
      </c>
      <c r="C205" s="558">
        <v>5</v>
      </c>
      <c r="D205" s="559">
        <f t="shared" si="3"/>
        <v>0.40741237820154375</v>
      </c>
    </row>
    <row r="206" spans="1:4" x14ac:dyDescent="0.25">
      <c r="A206" s="556">
        <f>2013</f>
        <v>2013</v>
      </c>
      <c r="B206" s="557" t="s">
        <v>31</v>
      </c>
      <c r="C206" s="558">
        <v>5</v>
      </c>
      <c r="D206" s="559">
        <f t="shared" si="3"/>
        <v>0.40741237820154375</v>
      </c>
    </row>
    <row r="207" spans="1:4" x14ac:dyDescent="0.25">
      <c r="A207" s="556">
        <f>2013</f>
        <v>2013</v>
      </c>
      <c r="B207" s="557" t="s">
        <v>32</v>
      </c>
      <c r="C207" s="558">
        <v>5</v>
      </c>
      <c r="D207" s="559">
        <f t="shared" si="3"/>
        <v>0.40741237820154375</v>
      </c>
    </row>
    <row r="208" spans="1:4" x14ac:dyDescent="0.25">
      <c r="A208" s="556">
        <f>2013</f>
        <v>2013</v>
      </c>
      <c r="B208" s="557" t="s">
        <v>33</v>
      </c>
      <c r="C208" s="558">
        <v>5</v>
      </c>
      <c r="D208" s="559">
        <f t="shared" si="3"/>
        <v>0.40741237820154375</v>
      </c>
    </row>
    <row r="209" spans="1:4" x14ac:dyDescent="0.25">
      <c r="A209" s="556">
        <f>2013</f>
        <v>2013</v>
      </c>
      <c r="B209" s="557" t="s">
        <v>34</v>
      </c>
      <c r="C209" s="558">
        <v>5</v>
      </c>
      <c r="D209" s="559">
        <f t="shared" si="3"/>
        <v>0.40741237820154375</v>
      </c>
    </row>
    <row r="210" spans="1:4" x14ac:dyDescent="0.25">
      <c r="A210" s="556">
        <f>2013</f>
        <v>2013</v>
      </c>
      <c r="B210" s="557" t="s">
        <v>36</v>
      </c>
      <c r="C210" s="558">
        <v>5</v>
      </c>
      <c r="D210" s="559">
        <f t="shared" si="3"/>
        <v>0.40741237820154375</v>
      </c>
    </row>
    <row r="211" spans="1:4" x14ac:dyDescent="0.25">
      <c r="A211" s="556">
        <f>2013</f>
        <v>2013</v>
      </c>
      <c r="B211" s="557" t="s">
        <v>35</v>
      </c>
      <c r="C211" s="558">
        <v>5</v>
      </c>
      <c r="D211" s="559">
        <f t="shared" si="3"/>
        <v>0.40741237820154375</v>
      </c>
    </row>
    <row r="212" spans="1:4" x14ac:dyDescent="0.25">
      <c r="A212" s="556">
        <f>2013</f>
        <v>2013</v>
      </c>
      <c r="B212" s="557" t="s">
        <v>25</v>
      </c>
      <c r="C212" s="558">
        <v>5</v>
      </c>
      <c r="D212" s="559">
        <f t="shared" si="3"/>
        <v>0.40741237820154375</v>
      </c>
    </row>
    <row r="213" spans="1:4" x14ac:dyDescent="0.25">
      <c r="A213" s="556">
        <f>2013</f>
        <v>2013</v>
      </c>
      <c r="B213" s="557" t="s">
        <v>26</v>
      </c>
      <c r="C213" s="558">
        <v>5</v>
      </c>
      <c r="D213" s="559">
        <f t="shared" si="3"/>
        <v>0.40741237820154375</v>
      </c>
    </row>
    <row r="214" spans="1:4" x14ac:dyDescent="0.25">
      <c r="A214" s="556">
        <f>2014</f>
        <v>2014</v>
      </c>
      <c r="B214" s="557" t="s">
        <v>27</v>
      </c>
      <c r="C214" s="558">
        <v>5</v>
      </c>
      <c r="D214" s="559">
        <f t="shared" si="3"/>
        <v>0.40741237820154375</v>
      </c>
    </row>
    <row r="215" spans="1:4" x14ac:dyDescent="0.25">
      <c r="A215" s="556">
        <f>2014</f>
        <v>2014</v>
      </c>
      <c r="B215" s="557" t="s">
        <v>28</v>
      </c>
      <c r="C215" s="558">
        <v>5</v>
      </c>
      <c r="D215" s="559">
        <f t="shared" si="3"/>
        <v>0.40741237820154375</v>
      </c>
    </row>
    <row r="216" spans="1:4" x14ac:dyDescent="0.25">
      <c r="A216" s="556">
        <f>2014</f>
        <v>2014</v>
      </c>
      <c r="B216" s="557" t="s">
        <v>29</v>
      </c>
      <c r="C216" s="558">
        <v>5</v>
      </c>
      <c r="D216" s="559">
        <f t="shared" si="3"/>
        <v>0.40741237820154375</v>
      </c>
    </row>
    <row r="217" spans="1:4" x14ac:dyDescent="0.25">
      <c r="A217" s="556">
        <f>2014</f>
        <v>2014</v>
      </c>
      <c r="B217" s="557" t="s">
        <v>30</v>
      </c>
      <c r="C217" s="558">
        <v>5</v>
      </c>
      <c r="D217" s="559">
        <f t="shared" si="3"/>
        <v>0.40741237820154375</v>
      </c>
    </row>
    <row r="218" spans="1:4" x14ac:dyDescent="0.25">
      <c r="A218" s="556">
        <f>2014</f>
        <v>2014</v>
      </c>
      <c r="B218" s="557" t="s">
        <v>31</v>
      </c>
      <c r="C218" s="558">
        <v>5</v>
      </c>
      <c r="D218" s="559">
        <f t="shared" si="3"/>
        <v>0.40741237820154375</v>
      </c>
    </row>
    <row r="219" spans="1:4" x14ac:dyDescent="0.25">
      <c r="A219" s="556">
        <f>2014</f>
        <v>2014</v>
      </c>
      <c r="B219" s="557" t="s">
        <v>32</v>
      </c>
      <c r="C219" s="558">
        <v>5</v>
      </c>
      <c r="D219" s="559">
        <f t="shared" si="3"/>
        <v>0.40741237820154375</v>
      </c>
    </row>
    <row r="220" spans="1:4" x14ac:dyDescent="0.25">
      <c r="A220" s="556">
        <f>2014</f>
        <v>2014</v>
      </c>
      <c r="B220" s="557" t="s">
        <v>33</v>
      </c>
      <c r="C220" s="558">
        <v>5</v>
      </c>
      <c r="D220" s="559">
        <f t="shared" si="3"/>
        <v>0.40741237820154375</v>
      </c>
    </row>
    <row r="221" spans="1:4" x14ac:dyDescent="0.25">
      <c r="A221" s="556">
        <f>2014</f>
        <v>2014</v>
      </c>
      <c r="B221" s="557" t="s">
        <v>34</v>
      </c>
      <c r="C221" s="558">
        <v>5</v>
      </c>
      <c r="D221" s="559">
        <f t="shared" si="3"/>
        <v>0.40741237820154375</v>
      </c>
    </row>
    <row r="222" spans="1:4" x14ac:dyDescent="0.25">
      <c r="A222" s="556">
        <f>2014</f>
        <v>2014</v>
      </c>
      <c r="B222" s="557" t="s">
        <v>36</v>
      </c>
      <c r="C222" s="558">
        <v>5</v>
      </c>
      <c r="D222" s="559">
        <f t="shared" si="3"/>
        <v>0.40741237820154375</v>
      </c>
    </row>
    <row r="223" spans="1:4" x14ac:dyDescent="0.25">
      <c r="A223" s="556">
        <f>2014</f>
        <v>2014</v>
      </c>
      <c r="B223" s="557" t="s">
        <v>35</v>
      </c>
      <c r="C223" s="558">
        <v>5</v>
      </c>
      <c r="D223" s="559">
        <f t="shared" si="3"/>
        <v>0.40741237820154375</v>
      </c>
    </row>
    <row r="224" spans="1:4" x14ac:dyDescent="0.25">
      <c r="A224" s="556">
        <f>2014</f>
        <v>2014</v>
      </c>
      <c r="B224" s="557" t="s">
        <v>25</v>
      </c>
      <c r="C224" s="558">
        <v>5</v>
      </c>
      <c r="D224" s="559">
        <f t="shared" si="3"/>
        <v>0.40741237820154375</v>
      </c>
    </row>
    <row r="225" spans="1:4" x14ac:dyDescent="0.25">
      <c r="A225" s="556">
        <f>2014</f>
        <v>2014</v>
      </c>
      <c r="B225" s="557" t="s">
        <v>26</v>
      </c>
      <c r="C225" s="558">
        <v>5</v>
      </c>
      <c r="D225" s="559">
        <f t="shared" si="3"/>
        <v>0.40741237820154375</v>
      </c>
    </row>
    <row r="226" spans="1:4" x14ac:dyDescent="0.25">
      <c r="A226" s="556">
        <f>2015</f>
        <v>2015</v>
      </c>
      <c r="B226" s="557" t="s">
        <v>27</v>
      </c>
      <c r="C226" s="558">
        <v>5.5</v>
      </c>
      <c r="D226" s="559">
        <f t="shared" si="3"/>
        <v>0.44716989152502329</v>
      </c>
    </row>
    <row r="227" spans="1:4" x14ac:dyDescent="0.25">
      <c r="A227" s="556">
        <f>2015</f>
        <v>2015</v>
      </c>
      <c r="B227" s="557" t="s">
        <v>28</v>
      </c>
      <c r="C227" s="558">
        <v>5.5</v>
      </c>
      <c r="D227" s="559">
        <f t="shared" si="3"/>
        <v>0.44716989152502329</v>
      </c>
    </row>
    <row r="228" spans="1:4" x14ac:dyDescent="0.25">
      <c r="A228" s="556">
        <f>2015</f>
        <v>2015</v>
      </c>
      <c r="B228" s="557" t="s">
        <v>29</v>
      </c>
      <c r="C228" s="558">
        <v>5.5</v>
      </c>
      <c r="D228" s="559">
        <f t="shared" si="3"/>
        <v>0.44716989152502329</v>
      </c>
    </row>
    <row r="229" spans="1:4" x14ac:dyDescent="0.25">
      <c r="A229" s="556">
        <f>2015</f>
        <v>2015</v>
      </c>
      <c r="B229" s="557" t="s">
        <v>30</v>
      </c>
      <c r="C229" s="558">
        <v>6</v>
      </c>
      <c r="D229" s="559">
        <f t="shared" si="3"/>
        <v>0.48675505633912763</v>
      </c>
    </row>
    <row r="230" spans="1:4" x14ac:dyDescent="0.25">
      <c r="A230" s="556">
        <f>2015</f>
        <v>2015</v>
      </c>
      <c r="B230" s="557" t="s">
        <v>31</v>
      </c>
      <c r="C230" s="558">
        <v>6</v>
      </c>
      <c r="D230" s="559">
        <f t="shared" si="3"/>
        <v>0.48675505633912763</v>
      </c>
    </row>
    <row r="231" spans="1:4" x14ac:dyDescent="0.25">
      <c r="A231" s="556">
        <f>2015</f>
        <v>2015</v>
      </c>
      <c r="B231" s="557" t="s">
        <v>32</v>
      </c>
      <c r="C231" s="558">
        <v>6</v>
      </c>
      <c r="D231" s="559">
        <f t="shared" si="3"/>
        <v>0.48675505633912763</v>
      </c>
    </row>
    <row r="232" spans="1:4" x14ac:dyDescent="0.25">
      <c r="A232" s="556">
        <f>2015</f>
        <v>2015</v>
      </c>
      <c r="B232" s="557" t="s">
        <v>33</v>
      </c>
      <c r="C232" s="558">
        <v>6.5</v>
      </c>
      <c r="D232" s="559">
        <f t="shared" si="3"/>
        <v>0.52616942747376605</v>
      </c>
    </row>
    <row r="233" spans="1:4" x14ac:dyDescent="0.25">
      <c r="A233" s="556">
        <f>2015</f>
        <v>2015</v>
      </c>
      <c r="B233" s="557" t="s">
        <v>34</v>
      </c>
      <c r="C233" s="558">
        <v>6.5</v>
      </c>
      <c r="D233" s="559">
        <f t="shared" si="3"/>
        <v>0.52616942747376605</v>
      </c>
    </row>
    <row r="234" spans="1:4" x14ac:dyDescent="0.25">
      <c r="A234" s="556">
        <f>2015</f>
        <v>2015</v>
      </c>
      <c r="B234" s="557" t="s">
        <v>36</v>
      </c>
      <c r="C234" s="558">
        <v>6.5</v>
      </c>
      <c r="D234" s="559">
        <f t="shared" si="3"/>
        <v>0.52616942747376605</v>
      </c>
    </row>
    <row r="235" spans="1:4" x14ac:dyDescent="0.25">
      <c r="A235" s="556">
        <f>2015</f>
        <v>2015</v>
      </c>
      <c r="B235" s="557" t="s">
        <v>35</v>
      </c>
      <c r="C235" s="558">
        <v>7</v>
      </c>
      <c r="D235" s="559">
        <f t="shared" si="3"/>
        <v>0.56541453851373102</v>
      </c>
    </row>
    <row r="236" spans="1:4" x14ac:dyDescent="0.25">
      <c r="A236" s="556">
        <f>2015</f>
        <v>2015</v>
      </c>
      <c r="B236" s="557" t="s">
        <v>25</v>
      </c>
      <c r="C236" s="558">
        <v>7</v>
      </c>
      <c r="D236" s="559">
        <f t="shared" si="3"/>
        <v>0.56541453851373102</v>
      </c>
    </row>
    <row r="237" spans="1:4" x14ac:dyDescent="0.25">
      <c r="A237" s="556">
        <f>2015</f>
        <v>2015</v>
      </c>
      <c r="B237" s="557" t="s">
        <v>26</v>
      </c>
      <c r="C237" s="558">
        <v>7</v>
      </c>
      <c r="D237" s="559">
        <f t="shared" si="3"/>
        <v>0.56541453851373102</v>
      </c>
    </row>
    <row r="238" spans="1:4" x14ac:dyDescent="0.25">
      <c r="A238" s="556">
        <f>2016</f>
        <v>2016</v>
      </c>
      <c r="B238" s="557" t="s">
        <v>27</v>
      </c>
      <c r="C238" s="558">
        <v>7.5</v>
      </c>
      <c r="D238" s="559">
        <f t="shared" si="3"/>
        <v>0.60449190218665461</v>
      </c>
    </row>
    <row r="239" spans="1:4" x14ac:dyDescent="0.25">
      <c r="A239" s="556">
        <f>2016</f>
        <v>2016</v>
      </c>
      <c r="B239" s="557" t="s">
        <v>28</v>
      </c>
      <c r="C239" s="558">
        <v>7.5</v>
      </c>
      <c r="D239" s="559">
        <f t="shared" si="3"/>
        <v>0.60449190218665461</v>
      </c>
    </row>
    <row r="240" spans="1:4" x14ac:dyDescent="0.25">
      <c r="A240" s="556">
        <f>2016</f>
        <v>2016</v>
      </c>
      <c r="B240" s="557" t="s">
        <v>29</v>
      </c>
      <c r="C240" s="558">
        <v>7.5</v>
      </c>
      <c r="D240" s="559">
        <f t="shared" si="3"/>
        <v>0.60449190218665461</v>
      </c>
    </row>
    <row r="241" spans="1:4" x14ac:dyDescent="0.25">
      <c r="A241" s="556">
        <f>2016</f>
        <v>2016</v>
      </c>
      <c r="B241" s="557" t="s">
        <v>30</v>
      </c>
      <c r="C241" s="558">
        <v>7.5</v>
      </c>
      <c r="D241" s="559">
        <f t="shared" si="3"/>
        <v>0.60449190218665461</v>
      </c>
    </row>
    <row r="242" spans="1:4" x14ac:dyDescent="0.25">
      <c r="A242" s="556">
        <f>2016</f>
        <v>2016</v>
      </c>
      <c r="B242" s="557" t="s">
        <v>31</v>
      </c>
      <c r="C242" s="558">
        <v>7.5</v>
      </c>
      <c r="D242" s="559">
        <f t="shared" si="3"/>
        <v>0.60449190218665461</v>
      </c>
    </row>
    <row r="243" spans="1:4" x14ac:dyDescent="0.25">
      <c r="A243" s="556">
        <f>2016</f>
        <v>2016</v>
      </c>
      <c r="B243" s="557" t="s">
        <v>32</v>
      </c>
      <c r="C243" s="558">
        <v>7.5</v>
      </c>
      <c r="D243" s="559">
        <f t="shared" si="3"/>
        <v>0.60449190218665461</v>
      </c>
    </row>
    <row r="244" spans="1:4" x14ac:dyDescent="0.25">
      <c r="A244" s="556">
        <f>2016</f>
        <v>2016</v>
      </c>
      <c r="B244" s="557" t="s">
        <v>33</v>
      </c>
      <c r="C244" s="558">
        <v>7.5</v>
      </c>
      <c r="D244" s="559">
        <f t="shared" si="3"/>
        <v>0.60449190218665461</v>
      </c>
    </row>
    <row r="245" spans="1:4" x14ac:dyDescent="0.25">
      <c r="A245" s="556">
        <f>2016</f>
        <v>2016</v>
      </c>
      <c r="B245" s="557" t="s">
        <v>34</v>
      </c>
      <c r="C245" s="558">
        <v>7.5</v>
      </c>
      <c r="D245" s="559">
        <f t="shared" si="3"/>
        <v>0.60449190218665461</v>
      </c>
    </row>
    <row r="246" spans="1:4" x14ac:dyDescent="0.25">
      <c r="A246" s="556">
        <f>2016</f>
        <v>2016</v>
      </c>
      <c r="B246" s="557" t="s">
        <v>36</v>
      </c>
      <c r="C246" s="558">
        <v>7.5</v>
      </c>
      <c r="D246" s="559">
        <f t="shared" si="3"/>
        <v>0.60449190218665461</v>
      </c>
    </row>
    <row r="247" spans="1:4" x14ac:dyDescent="0.25">
      <c r="A247" s="556">
        <f>2016</f>
        <v>2016</v>
      </c>
      <c r="B247" s="557" t="s">
        <v>35</v>
      </c>
      <c r="C247" s="558">
        <v>7.5</v>
      </c>
      <c r="D247" s="559">
        <f t="shared" si="3"/>
        <v>0.60449190218665461</v>
      </c>
    </row>
    <row r="248" spans="1:4" x14ac:dyDescent="0.25">
      <c r="A248" s="556">
        <f>2016</f>
        <v>2016</v>
      </c>
      <c r="B248" s="557" t="s">
        <v>25</v>
      </c>
      <c r="C248" s="558">
        <v>7.5</v>
      </c>
      <c r="D248" s="559">
        <f t="shared" si="3"/>
        <v>0.60449190218665461</v>
      </c>
    </row>
    <row r="249" spans="1:4" x14ac:dyDescent="0.25">
      <c r="A249" s="556">
        <f>2016</f>
        <v>2016</v>
      </c>
      <c r="B249" s="557" t="s">
        <v>26</v>
      </c>
      <c r="C249" s="558">
        <v>7.5</v>
      </c>
      <c r="D249" s="559">
        <f t="shared" si="3"/>
        <v>0.60449190218665461</v>
      </c>
    </row>
    <row r="250" spans="1:4" x14ac:dyDescent="0.25">
      <c r="A250" s="556">
        <f>2017</f>
        <v>2017</v>
      </c>
      <c r="B250" s="557" t="s">
        <v>27</v>
      </c>
      <c r="C250" s="558">
        <v>7.5</v>
      </c>
      <c r="D250" s="559">
        <f t="shared" si="3"/>
        <v>0.60449190218665461</v>
      </c>
    </row>
    <row r="251" spans="1:4" x14ac:dyDescent="0.25">
      <c r="A251" s="556">
        <f>2017</f>
        <v>2017</v>
      </c>
      <c r="B251" s="557" t="s">
        <v>28</v>
      </c>
      <c r="C251" s="558">
        <v>7.5</v>
      </c>
      <c r="D251" s="559">
        <f t="shared" si="3"/>
        <v>0.60449190218665461</v>
      </c>
    </row>
    <row r="252" spans="1:4" x14ac:dyDescent="0.25">
      <c r="A252" s="556">
        <f>2017</f>
        <v>2017</v>
      </c>
      <c r="B252" s="557" t="s">
        <v>29</v>
      </c>
      <c r="C252" s="558">
        <v>7.5</v>
      </c>
      <c r="D252" s="559">
        <f t="shared" si="3"/>
        <v>0.60449190218665461</v>
      </c>
    </row>
    <row r="253" spans="1:4" x14ac:dyDescent="0.25">
      <c r="A253" s="556">
        <f>2017</f>
        <v>2017</v>
      </c>
      <c r="B253" s="557" t="s">
        <v>30</v>
      </c>
      <c r="C253" s="558">
        <v>7</v>
      </c>
      <c r="D253" s="559">
        <f t="shared" si="3"/>
        <v>0.56541453851373102</v>
      </c>
    </row>
    <row r="254" spans="1:4" x14ac:dyDescent="0.25">
      <c r="A254" s="556">
        <f>2017</f>
        <v>2017</v>
      </c>
      <c r="B254" s="557" t="s">
        <v>31</v>
      </c>
      <c r="C254" s="558">
        <v>7</v>
      </c>
      <c r="D254" s="559">
        <f t="shared" si="3"/>
        <v>0.56541453851373102</v>
      </c>
    </row>
    <row r="255" spans="1:4" x14ac:dyDescent="0.25">
      <c r="A255" s="556">
        <f>2017</f>
        <v>2017</v>
      </c>
      <c r="B255" s="557" t="s">
        <v>32</v>
      </c>
      <c r="C255" s="558">
        <v>7</v>
      </c>
      <c r="D255" s="559">
        <f t="shared" si="3"/>
        <v>0.56541453851373102</v>
      </c>
    </row>
    <row r="256" spans="1:4" x14ac:dyDescent="0.25">
      <c r="A256" s="556">
        <f>2017</f>
        <v>2017</v>
      </c>
      <c r="B256" s="557" t="s">
        <v>33</v>
      </c>
      <c r="C256" s="558">
        <v>7</v>
      </c>
      <c r="D256" s="559">
        <f t="shared" si="3"/>
        <v>0.56541453851373102</v>
      </c>
    </row>
    <row r="257" spans="1:4" x14ac:dyDescent="0.25">
      <c r="A257" s="556">
        <f>2017</f>
        <v>2017</v>
      </c>
      <c r="B257" s="557" t="s">
        <v>34</v>
      </c>
      <c r="C257" s="558">
        <v>7</v>
      </c>
      <c r="D257" s="559">
        <f t="shared" si="3"/>
        <v>0.56541453851373102</v>
      </c>
    </row>
    <row r="258" spans="1:4" x14ac:dyDescent="0.25">
      <c r="A258" s="556">
        <f>2017</f>
        <v>2017</v>
      </c>
      <c r="B258" s="557" t="s">
        <v>36</v>
      </c>
      <c r="C258" s="558">
        <v>7</v>
      </c>
      <c r="D258" s="559">
        <f t="shared" si="3"/>
        <v>0.56541453851373102</v>
      </c>
    </row>
    <row r="259" spans="1:4" x14ac:dyDescent="0.25">
      <c r="A259" s="556">
        <f>2017</f>
        <v>2017</v>
      </c>
      <c r="B259" s="557" t="s">
        <v>35</v>
      </c>
      <c r="C259" s="558">
        <v>7</v>
      </c>
      <c r="D259" s="559">
        <f t="shared" si="3"/>
        <v>0.56541453851373102</v>
      </c>
    </row>
    <row r="260" spans="1:4" x14ac:dyDescent="0.25">
      <c r="A260" s="556">
        <f>2017</f>
        <v>2017</v>
      </c>
      <c r="B260" s="557" t="s">
        <v>25</v>
      </c>
      <c r="C260" s="558">
        <v>7</v>
      </c>
      <c r="D260" s="559">
        <f t="shared" si="3"/>
        <v>0.56541453851373102</v>
      </c>
    </row>
    <row r="261" spans="1:4" x14ac:dyDescent="0.25">
      <c r="A261" s="556">
        <f>2017</f>
        <v>2017</v>
      </c>
      <c r="B261" s="557" t="s">
        <v>26</v>
      </c>
      <c r="C261" s="558">
        <v>7</v>
      </c>
      <c r="D261" s="559">
        <f t="shared" si="3"/>
        <v>0.56541453851373102</v>
      </c>
    </row>
    <row r="262" spans="1:4" x14ac:dyDescent="0.25">
      <c r="A262" s="556">
        <f>2018</f>
        <v>2018</v>
      </c>
      <c r="B262" s="557" t="s">
        <v>27</v>
      </c>
      <c r="C262" s="558">
        <v>6.75</v>
      </c>
      <c r="D262" s="559">
        <f t="shared" si="3"/>
        <v>0.54581304547574039</v>
      </c>
    </row>
    <row r="263" spans="1:4" x14ac:dyDescent="0.25">
      <c r="A263" s="556">
        <f>2018</f>
        <v>2018</v>
      </c>
      <c r="B263" s="557" t="s">
        <v>28</v>
      </c>
      <c r="C263" s="558">
        <v>6.75</v>
      </c>
      <c r="D263" s="559">
        <f t="shared" si="3"/>
        <v>0.54581304547574039</v>
      </c>
    </row>
    <row r="264" spans="1:4" x14ac:dyDescent="0.25">
      <c r="A264" s="556">
        <f>2018</f>
        <v>2018</v>
      </c>
      <c r="B264" s="557" t="s">
        <v>29</v>
      </c>
      <c r="C264" s="558">
        <v>6.75</v>
      </c>
      <c r="D264" s="559">
        <f t="shared" si="3"/>
        <v>0.54581304547574039</v>
      </c>
    </row>
    <row r="265" spans="1:4" x14ac:dyDescent="0.25">
      <c r="A265" s="556">
        <f>2018</f>
        <v>2018</v>
      </c>
      <c r="B265" s="557" t="s">
        <v>30</v>
      </c>
      <c r="C265" s="558">
        <v>6.6</v>
      </c>
      <c r="D265" s="559">
        <f t="shared" si="3"/>
        <v>0.53403194178414104</v>
      </c>
    </row>
    <row r="266" spans="1:4" x14ac:dyDescent="0.25">
      <c r="A266" s="556">
        <f>2018</f>
        <v>2018</v>
      </c>
      <c r="B266" s="557" t="s">
        <v>31</v>
      </c>
      <c r="C266" s="558">
        <v>6.6</v>
      </c>
      <c r="D266" s="559">
        <f t="shared" si="3"/>
        <v>0.53403194178414104</v>
      </c>
    </row>
    <row r="267" spans="1:4" x14ac:dyDescent="0.25">
      <c r="A267" s="556">
        <f>2018</f>
        <v>2018</v>
      </c>
      <c r="B267" s="557" t="s">
        <v>32</v>
      </c>
      <c r="C267" s="558">
        <v>6.6</v>
      </c>
      <c r="D267" s="559">
        <f t="shared" si="3"/>
        <v>0.53403194178414104</v>
      </c>
    </row>
    <row r="268" spans="1:4" x14ac:dyDescent="0.25">
      <c r="A268" s="556">
        <f>2018</f>
        <v>2018</v>
      </c>
      <c r="B268" s="557" t="s">
        <v>33</v>
      </c>
      <c r="C268" s="558">
        <v>6.56</v>
      </c>
      <c r="D268" s="559">
        <f t="shared" ref="D268:D331" si="4">100*((1+C268/100)^0.0833333333-1)</f>
        <v>0.53088774772094283</v>
      </c>
    </row>
    <row r="269" spans="1:4" x14ac:dyDescent="0.25">
      <c r="A269" s="556">
        <f>2018</f>
        <v>2018</v>
      </c>
      <c r="B269" s="557" t="s">
        <v>34</v>
      </c>
      <c r="C269" s="558">
        <v>6.56</v>
      </c>
      <c r="D269" s="559">
        <f t="shared" si="4"/>
        <v>0.53088774772094283</v>
      </c>
    </row>
    <row r="270" spans="1:4" x14ac:dyDescent="0.25">
      <c r="A270" s="556">
        <f>2018</f>
        <v>2018</v>
      </c>
      <c r="B270" s="557" t="s">
        <v>36</v>
      </c>
      <c r="C270" s="558">
        <v>6.56</v>
      </c>
      <c r="D270" s="559">
        <f t="shared" si="4"/>
        <v>0.53088774772094283</v>
      </c>
    </row>
    <row r="271" spans="1:4" x14ac:dyDescent="0.25">
      <c r="A271" s="556">
        <f>2018</f>
        <v>2018</v>
      </c>
      <c r="B271" s="557" t="s">
        <v>35</v>
      </c>
      <c r="C271" s="558">
        <v>6.98</v>
      </c>
      <c r="D271" s="559">
        <f t="shared" si="4"/>
        <v>0.56384796482300548</v>
      </c>
    </row>
    <row r="272" spans="1:4" x14ac:dyDescent="0.25">
      <c r="A272" s="556">
        <f>2018</f>
        <v>2018</v>
      </c>
      <c r="B272" s="557" t="s">
        <v>25</v>
      </c>
      <c r="C272" s="558">
        <v>6.98</v>
      </c>
      <c r="D272" s="559">
        <f t="shared" si="4"/>
        <v>0.56384796482300548</v>
      </c>
    </row>
    <row r="273" spans="1:4" x14ac:dyDescent="0.25">
      <c r="A273" s="556">
        <f>2018</f>
        <v>2018</v>
      </c>
      <c r="B273" s="557" t="s">
        <v>26</v>
      </c>
      <c r="C273" s="558">
        <v>6.98</v>
      </c>
      <c r="D273" s="559">
        <f t="shared" si="4"/>
        <v>0.56384796482300548</v>
      </c>
    </row>
    <row r="274" spans="1:4" x14ac:dyDescent="0.25">
      <c r="A274" s="556">
        <f>2019</f>
        <v>2019</v>
      </c>
      <c r="B274" s="557" t="s">
        <v>27</v>
      </c>
      <c r="C274" s="558">
        <v>7.03</v>
      </c>
      <c r="D274" s="559">
        <f t="shared" si="4"/>
        <v>0.56776389584285436</v>
      </c>
    </row>
    <row r="275" spans="1:4" x14ac:dyDescent="0.25">
      <c r="A275" s="556">
        <f>2019</f>
        <v>2019</v>
      </c>
      <c r="B275" s="557" t="s">
        <v>28</v>
      </c>
      <c r="C275" s="558">
        <v>7.03</v>
      </c>
      <c r="D275" s="559">
        <f t="shared" si="4"/>
        <v>0.56776389584285436</v>
      </c>
    </row>
    <row r="276" spans="1:4" x14ac:dyDescent="0.25">
      <c r="A276" s="560">
        <f>2019</f>
        <v>2019</v>
      </c>
      <c r="B276" s="561" t="s">
        <v>29</v>
      </c>
      <c r="C276" s="562">
        <v>7.03</v>
      </c>
      <c r="D276" s="563">
        <f t="shared" si="4"/>
        <v>0.56776389584285436</v>
      </c>
    </row>
    <row r="277" spans="1:4" x14ac:dyDescent="0.25">
      <c r="A277" s="560">
        <f>2019</f>
        <v>2019</v>
      </c>
      <c r="B277" s="561" t="s">
        <v>30</v>
      </c>
      <c r="C277" s="562">
        <v>6.26</v>
      </c>
      <c r="D277" s="563">
        <f t="shared" si="4"/>
        <v>0.5072717469162713</v>
      </c>
    </row>
    <row r="278" spans="1:4" x14ac:dyDescent="0.25">
      <c r="A278" s="560">
        <f>2019</f>
        <v>2019</v>
      </c>
      <c r="B278" s="561" t="s">
        <v>31</v>
      </c>
      <c r="C278" s="562">
        <v>6.26</v>
      </c>
      <c r="D278" s="563">
        <f t="shared" si="4"/>
        <v>0.5072717469162713</v>
      </c>
    </row>
    <row r="279" spans="1:4" x14ac:dyDescent="0.25">
      <c r="A279" s="560">
        <f>2019</f>
        <v>2019</v>
      </c>
      <c r="B279" s="561" t="s">
        <v>32</v>
      </c>
      <c r="C279" s="562">
        <v>5.95</v>
      </c>
      <c r="D279" s="563">
        <f t="shared" si="4"/>
        <v>0.4828042510601982</v>
      </c>
    </row>
    <row r="280" spans="1:4" x14ac:dyDescent="0.25">
      <c r="A280" s="560">
        <f>2019</f>
        <v>2019</v>
      </c>
      <c r="B280" s="561" t="s">
        <v>33</v>
      </c>
      <c r="C280" s="562">
        <v>5.95</v>
      </c>
      <c r="D280" s="563">
        <f t="shared" si="4"/>
        <v>0.4828042510601982</v>
      </c>
    </row>
    <row r="281" spans="1:4" x14ac:dyDescent="0.25">
      <c r="A281" s="560">
        <f>2019</f>
        <v>2019</v>
      </c>
      <c r="B281" s="561" t="s">
        <v>34</v>
      </c>
      <c r="C281" s="562">
        <v>5.95</v>
      </c>
      <c r="D281" s="563">
        <f t="shared" si="4"/>
        <v>0.4828042510601982</v>
      </c>
    </row>
    <row r="282" spans="1:4" x14ac:dyDescent="0.25">
      <c r="A282" s="560">
        <f>2019</f>
        <v>2019</v>
      </c>
      <c r="B282" s="561" t="s">
        <v>36</v>
      </c>
      <c r="C282" s="562">
        <v>5.57</v>
      </c>
      <c r="D282" s="563">
        <f t="shared" si="4"/>
        <v>0.45272215418259432</v>
      </c>
    </row>
    <row r="283" spans="1:4" x14ac:dyDescent="0.25">
      <c r="A283" s="560">
        <f>2019</f>
        <v>2019</v>
      </c>
      <c r="B283" s="561" t="s">
        <v>35</v>
      </c>
      <c r="C283" s="562">
        <v>5.57</v>
      </c>
      <c r="D283" s="563">
        <f t="shared" si="4"/>
        <v>0.45272215418259432</v>
      </c>
    </row>
    <row r="284" spans="1:4" x14ac:dyDescent="0.25">
      <c r="A284" s="560">
        <f>2019</f>
        <v>2019</v>
      </c>
      <c r="B284" s="561" t="s">
        <v>25</v>
      </c>
      <c r="C284" s="562">
        <v>5.57</v>
      </c>
      <c r="D284" s="563">
        <f t="shared" si="4"/>
        <v>0.45272215418259432</v>
      </c>
    </row>
    <row r="285" spans="1:4" x14ac:dyDescent="0.25">
      <c r="A285" s="560">
        <f>2019</f>
        <v>2019</v>
      </c>
      <c r="B285" s="561" t="s">
        <v>26</v>
      </c>
      <c r="C285" s="562">
        <v>5.09</v>
      </c>
      <c r="D285" s="563">
        <f t="shared" si="4"/>
        <v>0.4145815202127201</v>
      </c>
    </row>
    <row r="286" spans="1:4" x14ac:dyDescent="0.25">
      <c r="A286" s="560">
        <f>2020</f>
        <v>2020</v>
      </c>
      <c r="B286" s="561" t="s">
        <v>27</v>
      </c>
      <c r="C286" s="562">
        <v>5.09</v>
      </c>
      <c r="D286" s="563">
        <f t="shared" si="4"/>
        <v>0.4145815202127201</v>
      </c>
    </row>
    <row r="287" spans="1:4" x14ac:dyDescent="0.25">
      <c r="A287" s="560">
        <f>2020</f>
        <v>2020</v>
      </c>
      <c r="B287" s="561" t="s">
        <v>28</v>
      </c>
      <c r="C287" s="562">
        <v>5.09</v>
      </c>
      <c r="D287" s="563">
        <f t="shared" si="4"/>
        <v>0.4145815202127201</v>
      </c>
    </row>
    <row r="288" spans="1:4" x14ac:dyDescent="0.25">
      <c r="A288" s="560">
        <f>2020</f>
        <v>2020</v>
      </c>
      <c r="B288" s="561" t="s">
        <v>29</v>
      </c>
      <c r="C288" s="562">
        <v>5.09</v>
      </c>
      <c r="D288" s="563">
        <f t="shared" si="4"/>
        <v>0.4145815202127201</v>
      </c>
    </row>
    <row r="289" spans="1:4" x14ac:dyDescent="0.25">
      <c r="A289" s="560">
        <f>2020</f>
        <v>2020</v>
      </c>
      <c r="B289" s="561" t="s">
        <v>30</v>
      </c>
      <c r="C289" s="562">
        <v>4.9400000000000004</v>
      </c>
      <c r="D289" s="563">
        <f t="shared" si="4"/>
        <v>0.40262982014811488</v>
      </c>
    </row>
    <row r="290" spans="1:4" x14ac:dyDescent="0.25">
      <c r="A290" s="560">
        <f>2020</f>
        <v>2020</v>
      </c>
      <c r="B290" s="561" t="s">
        <v>31</v>
      </c>
      <c r="C290" s="562">
        <v>4.9400000000000004</v>
      </c>
      <c r="D290" s="563">
        <f t="shared" si="4"/>
        <v>0.40262982014811488</v>
      </c>
    </row>
    <row r="291" spans="1:4" x14ac:dyDescent="0.25">
      <c r="A291" s="560">
        <f>2020</f>
        <v>2020</v>
      </c>
      <c r="B291" s="561" t="s">
        <v>32</v>
      </c>
      <c r="C291" s="562">
        <v>4.9400000000000004</v>
      </c>
      <c r="D291" s="563">
        <f t="shared" si="4"/>
        <v>0.40262982014811488</v>
      </c>
    </row>
    <row r="292" spans="1:4" x14ac:dyDescent="0.25">
      <c r="A292" s="560">
        <f>2020</f>
        <v>2020</v>
      </c>
      <c r="B292" s="561" t="s">
        <v>33</v>
      </c>
      <c r="C292" s="562">
        <v>4.91</v>
      </c>
      <c r="D292" s="563">
        <f t="shared" si="4"/>
        <v>0.40023760107854578</v>
      </c>
    </row>
    <row r="293" spans="1:4" x14ac:dyDescent="0.25">
      <c r="A293" s="560">
        <f>2020</f>
        <v>2020</v>
      </c>
      <c r="B293" s="561" t="s">
        <v>34</v>
      </c>
      <c r="C293" s="562">
        <v>4.91</v>
      </c>
      <c r="D293" s="563">
        <f t="shared" si="4"/>
        <v>0.40023760107854578</v>
      </c>
    </row>
    <row r="294" spans="1:4" x14ac:dyDescent="0.25">
      <c r="A294" s="560">
        <f>2020</f>
        <v>2020</v>
      </c>
      <c r="B294" s="561" t="s">
        <v>36</v>
      </c>
      <c r="C294" s="562">
        <v>4.91</v>
      </c>
      <c r="D294" s="563">
        <f t="shared" si="4"/>
        <v>0.40023760107854578</v>
      </c>
    </row>
    <row r="295" spans="1:4" x14ac:dyDescent="0.25">
      <c r="A295" s="560">
        <f>2020</f>
        <v>2020</v>
      </c>
      <c r="B295" s="561" t="s">
        <v>35</v>
      </c>
      <c r="C295" s="562">
        <v>4.55</v>
      </c>
      <c r="D295" s="563">
        <f t="shared" si="4"/>
        <v>0.37148195573426523</v>
      </c>
    </row>
    <row r="296" spans="1:4" x14ac:dyDescent="0.25">
      <c r="A296" s="560">
        <f>2020</f>
        <v>2020</v>
      </c>
      <c r="B296" s="561" t="s">
        <v>25</v>
      </c>
      <c r="C296" s="562">
        <v>4.55</v>
      </c>
      <c r="D296" s="563">
        <f t="shared" si="4"/>
        <v>0.37148195573426523</v>
      </c>
    </row>
    <row r="297" spans="1:4" x14ac:dyDescent="0.25">
      <c r="A297" s="560">
        <f>2020</f>
        <v>2020</v>
      </c>
      <c r="B297" s="561" t="s">
        <v>26</v>
      </c>
      <c r="C297" s="562">
        <v>4.55</v>
      </c>
      <c r="D297" s="563">
        <f t="shared" si="4"/>
        <v>0.37148195573426523</v>
      </c>
    </row>
    <row r="298" spans="1:4" x14ac:dyDescent="0.25">
      <c r="A298" s="560">
        <f>2021</f>
        <v>2021</v>
      </c>
      <c r="B298" s="561" t="s">
        <v>27</v>
      </c>
      <c r="C298" s="562">
        <v>4.3899999999999997</v>
      </c>
      <c r="D298" s="563">
        <f t="shared" si="4"/>
        <v>0.35867252442296493</v>
      </c>
    </row>
    <row r="299" spans="1:4" x14ac:dyDescent="0.25">
      <c r="A299" s="560">
        <f>2021</f>
        <v>2021</v>
      </c>
      <c r="B299" s="561" t="s">
        <v>28</v>
      </c>
      <c r="C299" s="562">
        <v>4.3899999999999997</v>
      </c>
      <c r="D299" s="563">
        <f t="shared" si="4"/>
        <v>0.35867252442296493</v>
      </c>
    </row>
    <row r="300" spans="1:4" x14ac:dyDescent="0.25">
      <c r="A300" s="560">
        <f>2021</f>
        <v>2021</v>
      </c>
      <c r="B300" s="561" t="s">
        <v>29</v>
      </c>
      <c r="C300" s="562">
        <v>4.3899999999999997</v>
      </c>
      <c r="D300" s="563">
        <f t="shared" si="4"/>
        <v>0.35867252442296493</v>
      </c>
    </row>
    <row r="301" spans="1:4" x14ac:dyDescent="0.25">
      <c r="A301" s="560">
        <f>2021</f>
        <v>2021</v>
      </c>
      <c r="B301" s="561" t="s">
        <v>30</v>
      </c>
      <c r="C301" s="562">
        <v>4.6100000000000003</v>
      </c>
      <c r="D301" s="563">
        <f t="shared" si="4"/>
        <v>0.37628086011856077</v>
      </c>
    </row>
    <row r="302" spans="1:4" x14ac:dyDescent="0.25">
      <c r="A302" s="560">
        <f>2021</f>
        <v>2021</v>
      </c>
      <c r="B302" s="561" t="s">
        <v>31</v>
      </c>
      <c r="C302" s="562">
        <v>4.6100000000000003</v>
      </c>
      <c r="D302" s="563">
        <f t="shared" si="4"/>
        <v>0.37628086011856077</v>
      </c>
    </row>
    <row r="303" spans="1:4" x14ac:dyDescent="0.25">
      <c r="A303" s="560">
        <f>2021</f>
        <v>2021</v>
      </c>
      <c r="B303" s="561" t="s">
        <v>32</v>
      </c>
      <c r="C303" s="562">
        <v>4.6100000000000003</v>
      </c>
      <c r="D303" s="563">
        <f t="shared" si="4"/>
        <v>0.37628086011856077</v>
      </c>
    </row>
    <row r="304" spans="1:4" x14ac:dyDescent="0.25">
      <c r="A304" s="560">
        <f>2021</f>
        <v>2021</v>
      </c>
      <c r="B304" s="561" t="s">
        <v>33</v>
      </c>
      <c r="C304" s="562">
        <v>4.88</v>
      </c>
      <c r="D304" s="563">
        <f t="shared" si="4"/>
        <v>0.39784475485571402</v>
      </c>
    </row>
    <row r="305" spans="1:4" x14ac:dyDescent="0.25">
      <c r="A305" s="560">
        <f>2021</f>
        <v>2021</v>
      </c>
      <c r="B305" s="561" t="s">
        <v>34</v>
      </c>
      <c r="C305" s="562">
        <v>4.88</v>
      </c>
      <c r="D305" s="563">
        <f t="shared" si="4"/>
        <v>0.39784475485571402</v>
      </c>
    </row>
    <row r="306" spans="1:4" x14ac:dyDescent="0.25">
      <c r="A306" s="560">
        <f>2021</f>
        <v>2021</v>
      </c>
      <c r="B306" s="561" t="s">
        <v>36</v>
      </c>
      <c r="C306" s="562">
        <v>4.88</v>
      </c>
      <c r="D306" s="563">
        <f t="shared" si="4"/>
        <v>0.39784475485571402</v>
      </c>
    </row>
    <row r="307" spans="1:4" x14ac:dyDescent="0.25">
      <c r="A307" s="560">
        <f>2021</f>
        <v>2021</v>
      </c>
      <c r="B307" s="561" t="s">
        <v>35</v>
      </c>
      <c r="C307" s="562">
        <v>5.32</v>
      </c>
      <c r="D307" s="563">
        <f t="shared" si="4"/>
        <v>0.432877123139086</v>
      </c>
    </row>
    <row r="308" spans="1:4" x14ac:dyDescent="0.25">
      <c r="A308" s="560">
        <f>2021</f>
        <v>2021</v>
      </c>
      <c r="B308" s="561" t="s">
        <v>25</v>
      </c>
      <c r="C308" s="562">
        <v>5.32</v>
      </c>
      <c r="D308" s="563">
        <f t="shared" si="4"/>
        <v>0.432877123139086</v>
      </c>
    </row>
    <row r="309" spans="1:4" x14ac:dyDescent="0.25">
      <c r="A309" s="560">
        <f>2021</f>
        <v>2021</v>
      </c>
      <c r="B309" s="561" t="s">
        <v>26</v>
      </c>
      <c r="C309" s="562">
        <v>5.32</v>
      </c>
      <c r="D309" s="563">
        <f t="shared" si="4"/>
        <v>0.432877123139086</v>
      </c>
    </row>
    <row r="310" spans="1:4" x14ac:dyDescent="0.25">
      <c r="A310" s="560">
        <f>2022</f>
        <v>2022</v>
      </c>
      <c r="B310" s="561" t="s">
        <v>27</v>
      </c>
      <c r="C310" s="562">
        <v>6.08</v>
      </c>
      <c r="D310" s="563">
        <f t="shared" si="4"/>
        <v>0.49307279295536244</v>
      </c>
    </row>
    <row r="311" spans="1:4" x14ac:dyDescent="0.25">
      <c r="A311" s="560">
        <f>2022</f>
        <v>2022</v>
      </c>
      <c r="B311" s="561" t="s">
        <v>28</v>
      </c>
      <c r="C311" s="562">
        <v>6.08</v>
      </c>
      <c r="D311" s="563">
        <f t="shared" si="4"/>
        <v>0.49307279295536244</v>
      </c>
    </row>
    <row r="312" spans="1:4" x14ac:dyDescent="0.25">
      <c r="A312" s="560">
        <f>2022</f>
        <v>2022</v>
      </c>
      <c r="B312" s="561" t="s">
        <v>29</v>
      </c>
      <c r="C312" s="562">
        <v>6.08</v>
      </c>
      <c r="D312" s="563">
        <f t="shared" si="4"/>
        <v>0.49307279295536244</v>
      </c>
    </row>
    <row r="313" spans="1:4" x14ac:dyDescent="0.25">
      <c r="A313" s="560">
        <f>2022</f>
        <v>2022</v>
      </c>
      <c r="B313" s="561" t="s">
        <v>30</v>
      </c>
      <c r="C313" s="562">
        <v>6.82</v>
      </c>
      <c r="D313" s="563">
        <f t="shared" si="4"/>
        <v>0.55130570159445114</v>
      </c>
    </row>
    <row r="314" spans="1:4" x14ac:dyDescent="0.25">
      <c r="A314" s="556">
        <f>2022</f>
        <v>2022</v>
      </c>
      <c r="B314" s="557" t="s">
        <v>31</v>
      </c>
      <c r="C314" s="558">
        <v>6.82</v>
      </c>
      <c r="D314" s="559">
        <f t="shared" si="4"/>
        <v>0.55130570159445114</v>
      </c>
    </row>
    <row r="315" spans="1:4" x14ac:dyDescent="0.25">
      <c r="A315" s="560">
        <f>2022</f>
        <v>2022</v>
      </c>
      <c r="B315" s="561" t="s">
        <v>32</v>
      </c>
      <c r="C315" s="562">
        <v>6.82</v>
      </c>
      <c r="D315" s="563">
        <f t="shared" si="4"/>
        <v>0.55130570159445114</v>
      </c>
    </row>
    <row r="316" spans="1:4" x14ac:dyDescent="0.25">
      <c r="A316" s="560">
        <f>2022</f>
        <v>2022</v>
      </c>
      <c r="B316" s="561" t="s">
        <v>33</v>
      </c>
      <c r="C316" s="562">
        <v>7.01</v>
      </c>
      <c r="D316" s="563">
        <f t="shared" si="4"/>
        <v>0.56619772470567487</v>
      </c>
    </row>
    <row r="317" spans="1:4" x14ac:dyDescent="0.25">
      <c r="A317" s="560">
        <f>2022</f>
        <v>2022</v>
      </c>
      <c r="B317" s="561" t="s">
        <v>34</v>
      </c>
      <c r="C317" s="562">
        <v>7.01</v>
      </c>
      <c r="D317" s="563">
        <f t="shared" si="4"/>
        <v>0.56619772470567487</v>
      </c>
    </row>
    <row r="318" spans="1:4" x14ac:dyDescent="0.25">
      <c r="A318" s="560">
        <f>2022</f>
        <v>2022</v>
      </c>
      <c r="B318" s="561" t="s">
        <v>36</v>
      </c>
      <c r="C318" s="562">
        <v>7.01</v>
      </c>
      <c r="D318" s="563">
        <f t="shared" si="4"/>
        <v>0.56619772470567487</v>
      </c>
    </row>
    <row r="319" spans="1:4" x14ac:dyDescent="0.25">
      <c r="A319" s="560">
        <f>2022</f>
        <v>2022</v>
      </c>
      <c r="B319" s="561" t="s">
        <v>35</v>
      </c>
      <c r="C319" s="562">
        <v>7.2</v>
      </c>
      <c r="D319" s="563">
        <f t="shared" si="4"/>
        <v>0.58106552964627411</v>
      </c>
    </row>
    <row r="320" spans="1:4" x14ac:dyDescent="0.25">
      <c r="A320" s="560">
        <f>2022</f>
        <v>2022</v>
      </c>
      <c r="B320" s="561" t="s">
        <v>25</v>
      </c>
      <c r="C320" s="562">
        <v>7.2</v>
      </c>
      <c r="D320" s="563">
        <f t="shared" si="4"/>
        <v>0.58106552964627411</v>
      </c>
    </row>
    <row r="321" spans="1:4" x14ac:dyDescent="0.25">
      <c r="A321" s="560">
        <f>2022</f>
        <v>2022</v>
      </c>
      <c r="B321" s="561" t="s">
        <v>26</v>
      </c>
      <c r="C321" s="562">
        <v>7.2</v>
      </c>
      <c r="D321" s="563">
        <f t="shared" si="4"/>
        <v>0.58106552964627411</v>
      </c>
    </row>
    <row r="322" spans="1:4" x14ac:dyDescent="0.25">
      <c r="A322" s="560">
        <f>2023</f>
        <v>2023</v>
      </c>
      <c r="B322" s="561" t="s">
        <v>27</v>
      </c>
      <c r="C322" s="562">
        <v>7.37</v>
      </c>
      <c r="D322" s="563">
        <f t="shared" si="4"/>
        <v>0.59434784131051632</v>
      </c>
    </row>
    <row r="323" spans="1:4" x14ac:dyDescent="0.25">
      <c r="A323" s="560">
        <f>2023</f>
        <v>2023</v>
      </c>
      <c r="B323" s="561" t="s">
        <v>28</v>
      </c>
      <c r="C323" s="562">
        <v>7.37</v>
      </c>
      <c r="D323" s="563">
        <f t="shared" si="4"/>
        <v>0.59434784131051632</v>
      </c>
    </row>
    <row r="324" spans="1:4" x14ac:dyDescent="0.25">
      <c r="A324" s="560">
        <f>2023</f>
        <v>2023</v>
      </c>
      <c r="B324" s="561" t="s">
        <v>29</v>
      </c>
      <c r="C324" s="562">
        <v>7.37</v>
      </c>
      <c r="D324" s="563">
        <f t="shared" si="4"/>
        <v>0.59434784131051632</v>
      </c>
    </row>
    <row r="325" spans="1:4" x14ac:dyDescent="0.25">
      <c r="A325" s="560">
        <f>2023</f>
        <v>2023</v>
      </c>
      <c r="B325" s="561" t="s">
        <v>30</v>
      </c>
      <c r="C325" s="562">
        <v>7.28</v>
      </c>
      <c r="D325" s="563">
        <f t="shared" si="4"/>
        <v>0.58731843257882055</v>
      </c>
    </row>
    <row r="326" spans="1:4" x14ac:dyDescent="0.25">
      <c r="A326" s="560">
        <f>2023</f>
        <v>2023</v>
      </c>
      <c r="B326" s="561" t="s">
        <v>31</v>
      </c>
      <c r="C326" s="562">
        <v>7.28</v>
      </c>
      <c r="D326" s="563">
        <f t="shared" si="4"/>
        <v>0.58731843257882055</v>
      </c>
    </row>
    <row r="327" spans="1:4" ht="16.5" customHeight="1" x14ac:dyDescent="0.25">
      <c r="A327" s="560">
        <f>2023</f>
        <v>2023</v>
      </c>
      <c r="B327" s="561" t="s">
        <v>32</v>
      </c>
      <c r="C327" s="562">
        <v>7.28</v>
      </c>
      <c r="D327" s="563">
        <f t="shared" si="4"/>
        <v>0.58731843257882055</v>
      </c>
    </row>
    <row r="328" spans="1:4" x14ac:dyDescent="0.25">
      <c r="A328" s="560">
        <f>2023</f>
        <v>2023</v>
      </c>
      <c r="B328" s="561" t="s">
        <v>33</v>
      </c>
      <c r="C328" s="562">
        <v>7</v>
      </c>
      <c r="D328" s="563">
        <f t="shared" si="4"/>
        <v>0.56541453851373102</v>
      </c>
    </row>
    <row r="329" spans="1:4" x14ac:dyDescent="0.25">
      <c r="A329" s="560">
        <f>2023</f>
        <v>2023</v>
      </c>
      <c r="B329" s="561" t="s">
        <v>34</v>
      </c>
      <c r="C329" s="562">
        <v>7</v>
      </c>
      <c r="D329" s="563">
        <f t="shared" si="4"/>
        <v>0.56541453851373102</v>
      </c>
    </row>
    <row r="330" spans="1:4" x14ac:dyDescent="0.25">
      <c r="A330" s="560">
        <f>2023</f>
        <v>2023</v>
      </c>
      <c r="B330" s="561" t="s">
        <v>36</v>
      </c>
      <c r="C330" s="562">
        <v>7</v>
      </c>
      <c r="D330" s="563">
        <f t="shared" si="4"/>
        <v>0.56541453851373102</v>
      </c>
    </row>
    <row r="331" spans="1:4" x14ac:dyDescent="0.25">
      <c r="A331" s="560">
        <f>2023</f>
        <v>2023</v>
      </c>
      <c r="B331" s="561" t="s">
        <v>35</v>
      </c>
      <c r="C331" s="562">
        <v>6.55</v>
      </c>
      <c r="D331" s="563">
        <f t="shared" si="4"/>
        <v>0.53010153015979888</v>
      </c>
    </row>
    <row r="332" spans="1:4" x14ac:dyDescent="0.25">
      <c r="A332" s="560">
        <f>2023</f>
        <v>2023</v>
      </c>
      <c r="B332" s="561" t="s">
        <v>25</v>
      </c>
      <c r="C332" s="562">
        <v>6.55</v>
      </c>
      <c r="D332" s="563">
        <f t="shared" ref="D332:D346" si="5">100*((1+C332/100)^0.0833333333-1)</f>
        <v>0.53010153015979888</v>
      </c>
    </row>
    <row r="333" spans="1:4" x14ac:dyDescent="0.25">
      <c r="A333" s="560">
        <f>2023</f>
        <v>2023</v>
      </c>
      <c r="B333" s="561" t="s">
        <v>26</v>
      </c>
      <c r="C333" s="562">
        <v>6.55</v>
      </c>
      <c r="D333" s="563">
        <f t="shared" si="5"/>
        <v>0.53010153015979888</v>
      </c>
    </row>
    <row r="334" spans="1:4" x14ac:dyDescent="0.25">
      <c r="A334" s="560">
        <f>2024</f>
        <v>2024</v>
      </c>
      <c r="B334" s="561" t="s">
        <v>27</v>
      </c>
      <c r="C334" s="562">
        <v>6.53</v>
      </c>
      <c r="D334" s="563">
        <f t="shared" si="5"/>
        <v>0.52852889209797915</v>
      </c>
    </row>
    <row r="335" spans="1:4" x14ac:dyDescent="0.25">
      <c r="A335" s="560">
        <f>2024</f>
        <v>2024</v>
      </c>
      <c r="B335" s="561" t="s">
        <v>28</v>
      </c>
      <c r="C335" s="562">
        <v>6.53</v>
      </c>
      <c r="D335" s="563">
        <f t="shared" si="5"/>
        <v>0.52852889209797915</v>
      </c>
    </row>
    <row r="336" spans="1:4" x14ac:dyDescent="0.25">
      <c r="A336" s="560">
        <f>2024</f>
        <v>2024</v>
      </c>
      <c r="B336" s="561" t="s">
        <v>29</v>
      </c>
      <c r="C336" s="562">
        <v>6.53</v>
      </c>
      <c r="D336" s="563">
        <f t="shared" si="5"/>
        <v>0.52852889209797915</v>
      </c>
    </row>
    <row r="337" spans="1:4" x14ac:dyDescent="0.25">
      <c r="A337" s="560">
        <f>2024</f>
        <v>2024</v>
      </c>
      <c r="B337" s="561" t="s">
        <v>30</v>
      </c>
      <c r="C337" s="562">
        <v>6.67</v>
      </c>
      <c r="D337" s="563">
        <f t="shared" si="5"/>
        <v>0.53953167996805274</v>
      </c>
    </row>
    <row r="338" spans="1:4" x14ac:dyDescent="0.25">
      <c r="A338" s="560">
        <f>2024</f>
        <v>2024</v>
      </c>
      <c r="B338" s="561" t="s">
        <v>31</v>
      </c>
      <c r="C338" s="562">
        <v>6.67</v>
      </c>
      <c r="D338" s="563">
        <f t="shared" si="5"/>
        <v>0.53953167996805274</v>
      </c>
    </row>
    <row r="339" spans="1:4" x14ac:dyDescent="0.25">
      <c r="A339" s="560">
        <f>2024</f>
        <v>2024</v>
      </c>
      <c r="B339" s="561" t="s">
        <v>32</v>
      </c>
      <c r="C339" s="562">
        <v>6.67</v>
      </c>
      <c r="D339" s="563">
        <f t="shared" si="5"/>
        <v>0.53953167996805274</v>
      </c>
    </row>
    <row r="340" spans="1:4" x14ac:dyDescent="0.25">
      <c r="A340" s="560">
        <f>2024</f>
        <v>2024</v>
      </c>
      <c r="B340" s="561" t="s">
        <v>33</v>
      </c>
      <c r="C340" s="562">
        <v>6.91</v>
      </c>
      <c r="D340" s="563">
        <f t="shared" si="5"/>
        <v>0.55836284192105623</v>
      </c>
    </row>
    <row r="341" spans="1:4" x14ac:dyDescent="0.25">
      <c r="A341" s="560">
        <f>2024</f>
        <v>2024</v>
      </c>
      <c r="B341" s="561" t="s">
        <v>34</v>
      </c>
      <c r="C341" s="562">
        <v>6.91</v>
      </c>
      <c r="D341" s="563">
        <f t="shared" si="5"/>
        <v>0.55836284192105623</v>
      </c>
    </row>
    <row r="342" spans="1:4" x14ac:dyDescent="0.25">
      <c r="A342" s="560">
        <f>2024</f>
        <v>2024</v>
      </c>
      <c r="B342" s="561" t="s">
        <v>36</v>
      </c>
      <c r="C342" s="562">
        <v>6.91</v>
      </c>
      <c r="D342" s="563">
        <f t="shared" si="5"/>
        <v>0.55836284192105623</v>
      </c>
    </row>
    <row r="343" spans="1:4" x14ac:dyDescent="0.25">
      <c r="A343" s="560">
        <f>2024</f>
        <v>2024</v>
      </c>
      <c r="B343" s="561" t="s">
        <v>35</v>
      </c>
      <c r="C343" s="562">
        <v>7.43</v>
      </c>
      <c r="D343" s="563">
        <f t="shared" si="5"/>
        <v>0.59903111375165796</v>
      </c>
    </row>
    <row r="344" spans="1:4" x14ac:dyDescent="0.25">
      <c r="A344" s="560">
        <f>2024</f>
        <v>2024</v>
      </c>
      <c r="B344" s="561" t="s">
        <v>25</v>
      </c>
      <c r="C344" s="562">
        <v>7.43</v>
      </c>
      <c r="D344" s="563">
        <f t="shared" si="5"/>
        <v>0.59903111375165796</v>
      </c>
    </row>
    <row r="345" spans="1:4" x14ac:dyDescent="0.25">
      <c r="A345" s="560">
        <f>2024</f>
        <v>2024</v>
      </c>
      <c r="B345" s="561" t="s">
        <v>26</v>
      </c>
      <c r="C345" s="562">
        <v>7.43</v>
      </c>
      <c r="D345" s="563">
        <f t="shared" si="5"/>
        <v>0.59903111375165796</v>
      </c>
    </row>
    <row r="346" spans="1:4" x14ac:dyDescent="0.25">
      <c r="A346" s="560">
        <f>2025</f>
        <v>2025</v>
      </c>
      <c r="B346" s="561" t="s">
        <v>27</v>
      </c>
      <c r="C346" s="562">
        <v>7.97</v>
      </c>
      <c r="D346" s="563">
        <f t="shared" si="5"/>
        <v>0.64107300568101433</v>
      </c>
    </row>
    <row r="347" spans="1:4" x14ac:dyDescent="0.25">
      <c r="A347" s="560">
        <f>2025</f>
        <v>2025</v>
      </c>
      <c r="B347" s="561" t="s">
        <v>28</v>
      </c>
      <c r="C347" s="562">
        <v>7.97</v>
      </c>
      <c r="D347" s="563">
        <f t="shared" ref="D347" si="6">100*((1+C347/100)^0.0833333333-1)</f>
        <v>0.64107300568101433</v>
      </c>
    </row>
    <row r="348" spans="1:4" x14ac:dyDescent="0.25">
      <c r="A348" s="560">
        <f>2025</f>
        <v>2025</v>
      </c>
      <c r="B348" s="561" t="s">
        <v>29</v>
      </c>
      <c r="C348" s="562">
        <v>7.97</v>
      </c>
      <c r="D348" s="563">
        <f t="shared" ref="D348" si="7">100*((1+C348/100)^0.0833333333-1)</f>
        <v>0.64107300568101433</v>
      </c>
    </row>
    <row r="349" spans="1:4" ht="16.5" thickBot="1" x14ac:dyDescent="0.3">
      <c r="A349" s="564">
        <f>2025</f>
        <v>2025</v>
      </c>
      <c r="B349" s="565" t="s">
        <v>30</v>
      </c>
      <c r="C349" s="566">
        <v>8.65</v>
      </c>
      <c r="D349" s="567">
        <f t="shared" ref="D349" si="8">100*((1+C349/100)^0.0833333333-1)</f>
        <v>0.69374131896011715</v>
      </c>
    </row>
    <row r="350" spans="1:4" x14ac:dyDescent="0.25">
      <c r="A350" s="113" t="s">
        <v>535</v>
      </c>
      <c r="B350" s="568"/>
    </row>
    <row r="351" spans="1:4" x14ac:dyDescent="0.25">
      <c r="A351" s="569" t="s">
        <v>536</v>
      </c>
      <c r="C351" s="570"/>
    </row>
    <row r="352" spans="1:4" x14ac:dyDescent="0.25">
      <c r="A352" s="569" t="s">
        <v>537</v>
      </c>
    </row>
    <row r="353" spans="1:1" x14ac:dyDescent="0.25">
      <c r="A353" s="571" t="s">
        <v>538</v>
      </c>
    </row>
    <row r="354" spans="1:1" x14ac:dyDescent="0.25">
      <c r="A354" s="55">
        <v>256</v>
      </c>
    </row>
  </sheetData>
  <mergeCells count="3">
    <mergeCell ref="A4:D4"/>
    <mergeCell ref="A5:D5"/>
    <mergeCell ref="A1:D3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D649-3BFB-420A-8994-EC2A8D0EF958}">
  <dimension ref="A1:J499"/>
  <sheetViews>
    <sheetView showGridLines="0" workbookViewId="0">
      <pane ySplit="2625" topLeftCell="A334" activePane="bottomLeft"/>
      <selection activeCell="A325" sqref="A325"/>
      <selection pane="bottomLeft" activeCell="H352" sqref="H352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3" width="13.85546875" style="55" customWidth="1"/>
    <col min="4" max="4" width="11.85546875" style="55" customWidth="1"/>
    <col min="5" max="5" width="13" style="55" customWidth="1"/>
    <col min="6" max="6" width="13.28515625" style="55" customWidth="1"/>
    <col min="7" max="7" width="16.42578125" style="55" customWidth="1"/>
    <col min="8" max="10" width="21.42578125" style="55" customWidth="1"/>
    <col min="11" max="16384" width="12.42578125" style="55"/>
  </cols>
  <sheetData>
    <row r="1" spans="1:8" ht="21" customHeight="1" x14ac:dyDescent="0.25">
      <c r="A1" s="774" t="s">
        <v>542</v>
      </c>
      <c r="B1" s="774"/>
      <c r="C1" s="774"/>
      <c r="D1" s="774"/>
      <c r="E1" s="774"/>
      <c r="F1" s="774"/>
      <c r="G1" s="774"/>
      <c r="H1" s="188"/>
    </row>
    <row r="2" spans="1:8" ht="15.75" customHeight="1" x14ac:dyDescent="0.25">
      <c r="A2" s="774"/>
      <c r="B2" s="774"/>
      <c r="C2" s="774"/>
      <c r="D2" s="774"/>
      <c r="E2" s="774"/>
      <c r="F2" s="774"/>
      <c r="G2" s="774"/>
      <c r="H2" s="188"/>
    </row>
    <row r="3" spans="1:8" ht="15" customHeight="1" thickBot="1" x14ac:dyDescent="0.3">
      <c r="A3" s="775"/>
      <c r="B3" s="775"/>
      <c r="C3" s="775"/>
      <c r="D3" s="775"/>
      <c r="E3" s="775"/>
      <c r="F3" s="775"/>
      <c r="G3" s="775"/>
      <c r="H3" s="188"/>
    </row>
    <row r="4" spans="1:8" ht="17.25" customHeight="1" thickBot="1" x14ac:dyDescent="0.3">
      <c r="A4" s="684" t="s">
        <v>540</v>
      </c>
      <c r="B4" s="685"/>
      <c r="C4" s="686"/>
      <c r="D4" s="687" t="s">
        <v>541</v>
      </c>
      <c r="E4" s="688"/>
      <c r="F4" s="688"/>
      <c r="G4" s="688"/>
      <c r="H4" s="189"/>
    </row>
    <row r="5" spans="1:8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695" t="s">
        <v>5</v>
      </c>
    </row>
    <row r="6" spans="1:8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6"/>
    </row>
    <row r="7" spans="1:8" ht="16.5" hidden="1" customHeight="1" x14ac:dyDescent="0.25">
      <c r="A7" s="572">
        <v>1993</v>
      </c>
      <c r="B7" s="573" t="s">
        <v>12</v>
      </c>
      <c r="C7" s="574">
        <v>326.10500000000002</v>
      </c>
      <c r="D7" s="575">
        <v>35.75</v>
      </c>
      <c r="E7" s="575"/>
      <c r="F7" s="576"/>
      <c r="G7" s="577">
        <f>+$C$350/C7</f>
        <v>1.7608438999708684E-2</v>
      </c>
    </row>
    <row r="8" spans="1:8" ht="16.5" hidden="1" customHeight="1" x14ac:dyDescent="0.25">
      <c r="A8" s="546"/>
      <c r="B8" s="578"/>
      <c r="C8" s="579"/>
      <c r="D8" s="580"/>
      <c r="E8" s="580"/>
      <c r="F8" s="581"/>
      <c r="G8" s="582"/>
    </row>
    <row r="9" spans="1:8" ht="16.5" hidden="1" customHeight="1" x14ac:dyDescent="0.25">
      <c r="A9" s="546">
        <v>1994</v>
      </c>
      <c r="B9" s="578" t="s">
        <v>19</v>
      </c>
      <c r="C9" s="579">
        <v>0.94</v>
      </c>
      <c r="D9" s="580"/>
      <c r="E9" s="580"/>
      <c r="F9" s="581"/>
      <c r="G9" s="582">
        <f>+$C$350/C9</f>
        <v>6.1087234042553202</v>
      </c>
    </row>
    <row r="10" spans="1:8" ht="16.5" hidden="1" customHeight="1" x14ac:dyDescent="0.25">
      <c r="A10" s="546">
        <v>1994</v>
      </c>
      <c r="B10" s="578" t="s">
        <v>12</v>
      </c>
      <c r="C10" s="579">
        <v>0.84599999999999997</v>
      </c>
      <c r="D10" s="580">
        <v>0.95</v>
      </c>
      <c r="E10" s="580">
        <f>100*($C$10/$C$7-1)</f>
        <v>-99.740574354885695</v>
      </c>
      <c r="F10" s="581">
        <f>100*($C$10/$C$7-1)</f>
        <v>-99.740574354885695</v>
      </c>
      <c r="G10" s="582">
        <f>+$C$350/C10</f>
        <v>6.7874704491725772</v>
      </c>
    </row>
    <row r="11" spans="1:8" ht="16.5" hidden="1" customHeight="1" x14ac:dyDescent="0.25">
      <c r="A11" s="546"/>
      <c r="B11" s="578"/>
      <c r="C11" s="579"/>
      <c r="D11" s="580"/>
      <c r="E11" s="580"/>
      <c r="F11" s="581"/>
      <c r="G11" s="582"/>
    </row>
    <row r="12" spans="1:8" ht="16.5" hidden="1" customHeight="1" x14ac:dyDescent="0.25">
      <c r="A12" s="546">
        <v>1995</v>
      </c>
      <c r="B12" s="578" t="s">
        <v>12</v>
      </c>
      <c r="C12" s="579">
        <v>0.97299999999999998</v>
      </c>
      <c r="D12" s="580">
        <v>0.52</v>
      </c>
      <c r="E12" s="580">
        <f>100*($C$12/$C$10-1)</f>
        <v>15.011820330969261</v>
      </c>
      <c r="F12" s="581">
        <f>100*($C$12/$C$10-1)</f>
        <v>15.011820330969261</v>
      </c>
      <c r="G12" s="582">
        <f>+$C$350/C12</f>
        <v>5.9015416238437828</v>
      </c>
    </row>
    <row r="13" spans="1:8" ht="16.5" hidden="1" customHeight="1" x14ac:dyDescent="0.25">
      <c r="A13" s="546"/>
      <c r="B13" s="578"/>
      <c r="C13" s="579"/>
      <c r="D13" s="580"/>
      <c r="E13" s="580"/>
      <c r="F13" s="581"/>
      <c r="G13" s="582"/>
    </row>
    <row r="14" spans="1:8" ht="16.5" hidden="1" customHeight="1" x14ac:dyDescent="0.25">
      <c r="A14" s="546">
        <v>1996</v>
      </c>
      <c r="B14" s="578" t="s">
        <v>12</v>
      </c>
      <c r="C14" s="579">
        <v>1.0389999999999999</v>
      </c>
      <c r="D14" s="580">
        <v>0.67</v>
      </c>
      <c r="E14" s="580">
        <f>100*($C$14/$C$12-1)</f>
        <v>6.7831449126413146</v>
      </c>
      <c r="F14" s="581">
        <v>0.63</v>
      </c>
      <c r="G14" s="582">
        <f>+$C$350/C14</f>
        <v>5.5266602502406164</v>
      </c>
    </row>
    <row r="15" spans="1:8" ht="16.5" hidden="1" customHeight="1" x14ac:dyDescent="0.25">
      <c r="A15" s="546"/>
      <c r="B15" s="578"/>
      <c r="C15" s="579"/>
      <c r="D15" s="580"/>
      <c r="E15" s="580"/>
      <c r="F15" s="581"/>
      <c r="G15" s="582"/>
    </row>
    <row r="16" spans="1:8" ht="16.5" hidden="1" customHeight="1" x14ac:dyDescent="0.25">
      <c r="A16" s="546">
        <v>1997</v>
      </c>
      <c r="B16" s="578" t="s">
        <v>12</v>
      </c>
      <c r="C16" s="579">
        <v>1.1599999999999999</v>
      </c>
      <c r="D16" s="580">
        <v>0.63</v>
      </c>
      <c r="E16" s="580">
        <f>100*(($C$16/$C$14)-1)</f>
        <v>11.645813282001916</v>
      </c>
      <c r="F16" s="581">
        <v>9.93</v>
      </c>
      <c r="G16" s="582">
        <f>+$C$350/C16</f>
        <v>4.950172413793104</v>
      </c>
    </row>
    <row r="17" spans="1:7" ht="16.5" hidden="1" customHeight="1" x14ac:dyDescent="0.25">
      <c r="A17" s="546"/>
      <c r="B17" s="578"/>
      <c r="C17" s="579"/>
      <c r="D17" s="580"/>
      <c r="E17" s="580"/>
      <c r="F17" s="581"/>
      <c r="G17" s="582"/>
    </row>
    <row r="18" spans="1:7" ht="16.5" hidden="1" customHeight="1" x14ac:dyDescent="0.25">
      <c r="A18" s="546">
        <v>1998</v>
      </c>
      <c r="B18" s="578" t="s">
        <v>13</v>
      </c>
      <c r="C18" s="579">
        <v>1.1240000000000001</v>
      </c>
      <c r="D18" s="580">
        <f>100*($C$18/$C$16-1)</f>
        <v>-3.103448275862053</v>
      </c>
      <c r="E18" s="580">
        <f>100*($C$18/$C$16-1)</f>
        <v>-3.103448275862053</v>
      </c>
      <c r="F18" s="581">
        <v>7.43</v>
      </c>
      <c r="G18" s="582">
        <f t="shared" ref="G18:G29" si="0">+$C$350/C18</f>
        <v>5.1087188612099643</v>
      </c>
    </row>
    <row r="19" spans="1:7" ht="16.5" hidden="1" customHeight="1" x14ac:dyDescent="0.25">
      <c r="A19" s="546">
        <v>1998</v>
      </c>
      <c r="B19" s="578" t="s">
        <v>14</v>
      </c>
      <c r="C19" s="579">
        <v>1.1299999999999999</v>
      </c>
      <c r="D19" s="580">
        <f>100*($C$19/$C$18-1)</f>
        <v>0.53380782918146519</v>
      </c>
      <c r="E19" s="580">
        <f>100*($C$19/$C$16-1)</f>
        <v>-2.5862068965517238</v>
      </c>
      <c r="F19" s="581">
        <v>7.47</v>
      </c>
      <c r="G19" s="582">
        <f t="shared" si="0"/>
        <v>5.0815929203539829</v>
      </c>
    </row>
    <row r="20" spans="1:7" ht="16.5" hidden="1" customHeight="1" x14ac:dyDescent="0.25">
      <c r="A20" s="546">
        <v>1998</v>
      </c>
      <c r="B20" s="578" t="s">
        <v>15</v>
      </c>
      <c r="C20" s="579">
        <v>1.137</v>
      </c>
      <c r="D20" s="580">
        <f>100*($C$20/$C$19-1)</f>
        <v>0.61946902654868019</v>
      </c>
      <c r="E20" s="580">
        <f>100*($C$20/$C$16-1)</f>
        <v>-1.9827586206896508</v>
      </c>
      <c r="F20" s="581">
        <v>7.23</v>
      </c>
      <c r="G20" s="582">
        <f t="shared" si="0"/>
        <v>5.0503078276165354</v>
      </c>
    </row>
    <row r="21" spans="1:7" ht="16.5" hidden="1" customHeight="1" x14ac:dyDescent="0.25">
      <c r="A21" s="546">
        <v>1998</v>
      </c>
      <c r="B21" s="578" t="s">
        <v>16</v>
      </c>
      <c r="C21" s="579">
        <v>1.1439999999999999</v>
      </c>
      <c r="D21" s="580">
        <f>100*($C$21/$C$20-1)</f>
        <v>0.61565523306947867</v>
      </c>
      <c r="E21" s="580">
        <f>100*($C$21/$C$16-1)</f>
        <v>-1.379310344827589</v>
      </c>
      <c r="F21" s="581">
        <v>7.58</v>
      </c>
      <c r="G21" s="582">
        <f t="shared" si="0"/>
        <v>5.0194055944055949</v>
      </c>
    </row>
    <row r="22" spans="1:7" ht="16.5" hidden="1" customHeight="1" x14ac:dyDescent="0.25">
      <c r="A22" s="546">
        <v>1998</v>
      </c>
      <c r="B22" s="578" t="s">
        <v>17</v>
      </c>
      <c r="C22" s="579">
        <v>1.1499999999999999</v>
      </c>
      <c r="D22" s="580">
        <f>100*($C$22/$C$21-1)</f>
        <v>0.52447552447552059</v>
      </c>
      <c r="E22" s="580">
        <f>100*($C$22/$C$16-1)</f>
        <v>-0.86206896551723755</v>
      </c>
      <c r="F22" s="581">
        <v>7.53</v>
      </c>
      <c r="G22" s="582">
        <f t="shared" si="0"/>
        <v>4.9932173913043485</v>
      </c>
    </row>
    <row r="23" spans="1:7" ht="16.5" hidden="1" customHeight="1" x14ac:dyDescent="0.25">
      <c r="A23" s="546">
        <v>1998</v>
      </c>
      <c r="B23" s="578" t="s">
        <v>18</v>
      </c>
      <c r="C23" s="579">
        <v>1.157</v>
      </c>
      <c r="D23" s="580">
        <f>100*($C$22/$C$21-1)</f>
        <v>0.52447552447552059</v>
      </c>
      <c r="E23" s="580">
        <f>100*($C$23/$C$16-1)</f>
        <v>-0.2586206896551646</v>
      </c>
      <c r="F23" s="581">
        <v>7.47</v>
      </c>
      <c r="G23" s="582">
        <f t="shared" si="0"/>
        <v>4.9630077787381159</v>
      </c>
    </row>
    <row r="24" spans="1:7" ht="16.5" hidden="1" customHeight="1" x14ac:dyDescent="0.25">
      <c r="A24" s="546">
        <v>1998</v>
      </c>
      <c r="B24" s="578" t="s">
        <v>19</v>
      </c>
      <c r="C24" s="579">
        <v>1.163</v>
      </c>
      <c r="D24" s="580">
        <f>100*($C$23/$C$22-1)</f>
        <v>0.60869565217391841</v>
      </c>
      <c r="E24" s="580">
        <f>100*($C$24/$C$16-1)</f>
        <v>0.25862068965518681</v>
      </c>
      <c r="F24" s="581">
        <v>7.43</v>
      </c>
      <c r="G24" s="582">
        <f t="shared" si="0"/>
        <v>4.9374032674118657</v>
      </c>
    </row>
    <row r="25" spans="1:7" ht="16.5" hidden="1" customHeight="1" x14ac:dyDescent="0.25">
      <c r="A25" s="546">
        <v>1998</v>
      </c>
      <c r="B25" s="578" t="s">
        <v>20</v>
      </c>
      <c r="C25" s="579">
        <v>1.177</v>
      </c>
      <c r="D25" s="580">
        <f>100*($C$24/$C$23-1)</f>
        <v>0.51858254105445756</v>
      </c>
      <c r="E25" s="580">
        <f>100*($C$25/$C$16-1)</f>
        <v>1.4655172413793105</v>
      </c>
      <c r="F25" s="581">
        <v>7.73</v>
      </c>
      <c r="G25" s="582">
        <f t="shared" si="0"/>
        <v>4.8786745964316056</v>
      </c>
    </row>
    <row r="26" spans="1:7" ht="16.5" hidden="1" customHeight="1" x14ac:dyDescent="0.25">
      <c r="A26" s="546">
        <v>1998</v>
      </c>
      <c r="B26" s="578" t="s">
        <v>21</v>
      </c>
      <c r="C26" s="579">
        <v>1.1859999999999999</v>
      </c>
      <c r="D26" s="580">
        <f>100*($C$25/$C$24-1)</f>
        <v>1.2037833190025715</v>
      </c>
      <c r="E26" s="580">
        <f>+$C$26/$C$16*100-100</f>
        <v>2.2413793103448256</v>
      </c>
      <c r="F26" s="581">
        <v>7.97</v>
      </c>
      <c r="G26" s="582">
        <f t="shared" si="0"/>
        <v>4.8416526138279936</v>
      </c>
    </row>
    <row r="27" spans="1:7" ht="16.5" hidden="1" customHeight="1" x14ac:dyDescent="0.25">
      <c r="A27" s="546">
        <v>1998</v>
      </c>
      <c r="B27" s="578" t="s">
        <v>22</v>
      </c>
      <c r="C27" s="579">
        <v>1.1930000000000001</v>
      </c>
      <c r="D27" s="580">
        <f>100*($C$27/$C$25-1)</f>
        <v>1.3593882752761299</v>
      </c>
      <c r="E27" s="580">
        <f>+$C$27/$C$16*100-100</f>
        <v>2.8448275862069039</v>
      </c>
      <c r="F27" s="581">
        <v>8.01</v>
      </c>
      <c r="G27" s="582">
        <f t="shared" si="0"/>
        <v>4.8132439228834869</v>
      </c>
    </row>
    <row r="28" spans="1:7" ht="16.5" hidden="1" customHeight="1" x14ac:dyDescent="0.25">
      <c r="A28" s="546">
        <v>1998</v>
      </c>
      <c r="B28" s="578" t="s">
        <v>23</v>
      </c>
      <c r="C28" s="579">
        <v>1.2010000000000001</v>
      </c>
      <c r="D28" s="580">
        <f>100*($C$28/$C$27-1)</f>
        <v>0.67057837384745245</v>
      </c>
      <c r="E28" s="580">
        <f>+$C$28/$C$16*100-100</f>
        <v>3.5344827586206975</v>
      </c>
      <c r="F28" s="581">
        <v>7.85</v>
      </c>
      <c r="G28" s="582">
        <f t="shared" si="0"/>
        <v>4.7811823480432976</v>
      </c>
    </row>
    <row r="29" spans="1:7" ht="16.5" hidden="1" customHeight="1" x14ac:dyDescent="0.25">
      <c r="A29" s="546">
        <v>1998</v>
      </c>
      <c r="B29" s="578" t="s">
        <v>12</v>
      </c>
      <c r="C29" s="579">
        <v>1.2090000000000001</v>
      </c>
      <c r="D29" s="580">
        <f>100*($C$29/$C$28-1)</f>
        <v>0.66611157368858809</v>
      </c>
      <c r="E29" s="580">
        <f>+(($C$29/$C$16)-1)*100</f>
        <v>4.2241379310344884</v>
      </c>
      <c r="F29" s="581">
        <v>8.26</v>
      </c>
      <c r="G29" s="582">
        <f t="shared" si="0"/>
        <v>4.749545078577337</v>
      </c>
    </row>
    <row r="30" spans="1:7" ht="16.5" hidden="1" customHeight="1" x14ac:dyDescent="0.25">
      <c r="A30" s="546"/>
      <c r="B30" s="578"/>
      <c r="C30" s="579"/>
      <c r="D30" s="580"/>
      <c r="E30" s="580"/>
      <c r="F30" s="581"/>
      <c r="G30" s="582"/>
    </row>
    <row r="31" spans="1:7" ht="16.5" hidden="1" customHeight="1" x14ac:dyDescent="0.25">
      <c r="A31" s="546">
        <v>1999</v>
      </c>
      <c r="B31" s="578" t="s">
        <v>13</v>
      </c>
      <c r="C31" s="579">
        <v>1.9893000000000001</v>
      </c>
      <c r="D31" s="580">
        <f>($C$31/$C$29-1)*100</f>
        <v>64.540942928039698</v>
      </c>
      <c r="E31" s="580">
        <f>+(($C$31/$C$29)-1)*100</f>
        <v>64.540942928039698</v>
      </c>
      <c r="F31" s="581">
        <f>+(($C$31/$C$18)-1)*100</f>
        <v>76.983985765124558</v>
      </c>
      <c r="G31" s="582">
        <f t="shared" ref="G31:G42" si="1">+$C$350/C31</f>
        <v>2.8865430050771628</v>
      </c>
    </row>
    <row r="32" spans="1:7" ht="16.5" hidden="1" customHeight="1" x14ac:dyDescent="0.25">
      <c r="A32" s="546">
        <v>1999</v>
      </c>
      <c r="B32" s="578" t="s">
        <v>14</v>
      </c>
      <c r="C32" s="579">
        <v>2.0649999999999999</v>
      </c>
      <c r="D32" s="580">
        <f>($C$32/$C$31-1)*100</f>
        <v>3.8053586688785002</v>
      </c>
      <c r="E32" s="580">
        <f>+(($C$32/$C$29)-1)*100</f>
        <v>70.802315963606262</v>
      </c>
      <c r="F32" s="581">
        <f>+(($C$32/$C$19)-1)*100</f>
        <v>82.74336283185842</v>
      </c>
      <c r="G32" s="582">
        <f t="shared" si="1"/>
        <v>2.7807263922518164</v>
      </c>
    </row>
    <row r="33" spans="1:7" ht="16.5" hidden="1" customHeight="1" x14ac:dyDescent="0.25">
      <c r="A33" s="546">
        <v>1999</v>
      </c>
      <c r="B33" s="578" t="s">
        <v>15</v>
      </c>
      <c r="C33" s="583">
        <v>1.722</v>
      </c>
      <c r="D33" s="580">
        <f>($C$33/$C$32-1)*100</f>
        <v>-16.610169491525429</v>
      </c>
      <c r="E33" s="580">
        <f>+(($C$33/$C$29)-1)*100</f>
        <v>42.431761786600489</v>
      </c>
      <c r="F33" s="581">
        <f>+(($C$33/$C$20)-1)*100</f>
        <v>51.451187335092349</v>
      </c>
      <c r="G33" s="582">
        <f t="shared" si="1"/>
        <v>3.3346109175377472</v>
      </c>
    </row>
    <row r="34" spans="1:7" ht="16.5" hidden="1" customHeight="1" x14ac:dyDescent="0.25">
      <c r="A34" s="546">
        <v>1999</v>
      </c>
      <c r="B34" s="578" t="s">
        <v>16</v>
      </c>
      <c r="C34" s="579">
        <v>1.661</v>
      </c>
      <c r="D34" s="580">
        <f>($C$34/$C$33-1)*100</f>
        <v>-3.5423925667828038</v>
      </c>
      <c r="E34" s="580">
        <f>+(($C$34/$C$29)-1)*100</f>
        <v>37.386269644334156</v>
      </c>
      <c r="F34" s="581">
        <f>+(($C$34/$C$21)-1)*100</f>
        <v>45.192307692307708</v>
      </c>
      <c r="G34" s="582">
        <f t="shared" si="1"/>
        <v>3.4570740517760385</v>
      </c>
    </row>
    <row r="35" spans="1:7" ht="16.5" hidden="1" customHeight="1" x14ac:dyDescent="0.25">
      <c r="A35" s="546">
        <v>1999</v>
      </c>
      <c r="B35" s="578" t="s">
        <v>17</v>
      </c>
      <c r="C35" s="579">
        <v>1.724</v>
      </c>
      <c r="D35" s="580">
        <f>($C$35/$C$34-1)*100</f>
        <v>3.7928958458759654</v>
      </c>
      <c r="E35" s="580">
        <f>+(($C$35/$C$29)-1)*100</f>
        <v>42.597187758478071</v>
      </c>
      <c r="F35" s="581">
        <f>+(($C$35/$C$22)-1)*100</f>
        <v>49.913043478260889</v>
      </c>
      <c r="G35" s="582">
        <f t="shared" si="1"/>
        <v>3.3307424593967521</v>
      </c>
    </row>
    <row r="36" spans="1:7" ht="16.5" hidden="1" customHeight="1" x14ac:dyDescent="0.25">
      <c r="A36" s="546">
        <v>1999</v>
      </c>
      <c r="B36" s="578" t="s">
        <v>18</v>
      </c>
      <c r="C36" s="579">
        <v>1.7689999999999999</v>
      </c>
      <c r="D36" s="580">
        <f>($C$36/$C$35-1)*100</f>
        <v>2.6102088167053283</v>
      </c>
      <c r="E36" s="580">
        <f>+(($C$36/$C$29)-1)*100</f>
        <v>46.319272125723728</v>
      </c>
      <c r="F36" s="581">
        <f>+(($C$36/$C$23)-1)*100</f>
        <v>52.895419187554005</v>
      </c>
      <c r="G36" s="582">
        <f t="shared" si="1"/>
        <v>3.2460146975692488</v>
      </c>
    </row>
    <row r="37" spans="1:7" ht="16.5" hidden="1" customHeight="1" x14ac:dyDescent="0.25">
      <c r="A37" s="546">
        <v>1999</v>
      </c>
      <c r="B37" s="578" t="s">
        <v>19</v>
      </c>
      <c r="C37" s="579">
        <v>1.7889999999999999</v>
      </c>
      <c r="D37" s="580">
        <f>($C$37/$C$36-1)*100</f>
        <v>1.1305822498586693</v>
      </c>
      <c r="E37" s="580">
        <f>+(($C$37/$C$29)-1)*100</f>
        <v>47.973531844499576</v>
      </c>
      <c r="F37" s="581">
        <f>+(($C$37/$C$24)-1)*100</f>
        <v>53.826311263972485</v>
      </c>
      <c r="G37" s="582">
        <f t="shared" si="1"/>
        <v>3.209726103968698</v>
      </c>
    </row>
    <row r="38" spans="1:7" ht="16.5" hidden="1" customHeight="1" x14ac:dyDescent="0.25">
      <c r="A38" s="546">
        <v>1999</v>
      </c>
      <c r="B38" s="578" t="s">
        <v>20</v>
      </c>
      <c r="C38" s="579">
        <v>1.9159999999999999</v>
      </c>
      <c r="D38" s="580">
        <f>($C$38/$C$37-1)*100</f>
        <v>7.0989379541643416</v>
      </c>
      <c r="E38" s="580">
        <f>+(($C$38/$C$29)-1)*100</f>
        <v>58.478081058726204</v>
      </c>
      <c r="F38" s="581">
        <f>+(($C$38/$C$25)-1)*100</f>
        <v>62.78674596431604</v>
      </c>
      <c r="G38" s="582">
        <f t="shared" si="1"/>
        <v>2.9969728601252612</v>
      </c>
    </row>
    <row r="39" spans="1:7" ht="16.5" hidden="1" customHeight="1" x14ac:dyDescent="0.25">
      <c r="A39" s="546">
        <v>1999</v>
      </c>
      <c r="B39" s="578" t="s">
        <v>21</v>
      </c>
      <c r="C39" s="579">
        <v>1.9370000000000001</v>
      </c>
      <c r="D39" s="580">
        <f>($C$39/$C$38-1)*100</f>
        <v>1.0960334029227692</v>
      </c>
      <c r="E39" s="580">
        <f>+(($C$39/$C$29)-1)*100</f>
        <v>60.215053763440849</v>
      </c>
      <c r="F39" s="581">
        <f>+(($C$39/$C$26)-1)*100</f>
        <v>63.322091062394612</v>
      </c>
      <c r="G39" s="582">
        <f t="shared" si="1"/>
        <v>2.9644811564274653</v>
      </c>
    </row>
    <row r="40" spans="1:7" ht="16.5" hidden="1" customHeight="1" x14ac:dyDescent="0.25">
      <c r="A40" s="546">
        <v>1999</v>
      </c>
      <c r="B40" s="578" t="s">
        <v>22</v>
      </c>
      <c r="C40" s="579">
        <v>1.9490000000000001</v>
      </c>
      <c r="D40" s="580">
        <f>($C$40/$C$39-1)*100</f>
        <v>0.61951471347445608</v>
      </c>
      <c r="E40" s="580">
        <f>+(($C$40/$C$29)-1)*100</f>
        <v>61.207609594706369</v>
      </c>
      <c r="F40" s="581">
        <f>+(($C$40/$C$27)-1)*100</f>
        <v>63.369656328583403</v>
      </c>
      <c r="G40" s="582">
        <f t="shared" si="1"/>
        <v>2.946228835300154</v>
      </c>
    </row>
    <row r="41" spans="1:7" ht="16.5" hidden="1" customHeight="1" x14ac:dyDescent="0.25">
      <c r="A41" s="546">
        <v>1999</v>
      </c>
      <c r="B41" s="578" t="s">
        <v>23</v>
      </c>
      <c r="C41" s="579">
        <v>1.9339999999999999</v>
      </c>
      <c r="D41" s="580">
        <f>($C$41/$C$40-1)*100</f>
        <v>-0.76962544894818574</v>
      </c>
      <c r="E41" s="580">
        <f>+(($C$41/$C$29)-1)*100</f>
        <v>59.966914805624462</v>
      </c>
      <c r="F41" s="581">
        <f>+(($C$41/$C$28)-1)*100</f>
        <v>61.0324729392173</v>
      </c>
      <c r="G41" s="582">
        <f t="shared" si="1"/>
        <v>2.9690796277145814</v>
      </c>
    </row>
    <row r="42" spans="1:7" ht="16.5" hidden="1" customHeight="1" x14ac:dyDescent="0.25">
      <c r="A42" s="546">
        <v>1999</v>
      </c>
      <c r="B42" s="578" t="s">
        <v>12</v>
      </c>
      <c r="C42" s="579">
        <v>1.7889999999999999</v>
      </c>
      <c r="D42" s="580">
        <f>($C$42/$C$41-1)*100</f>
        <v>-7.4974146845915186</v>
      </c>
      <c r="E42" s="580">
        <f>+(($C$42/$C$29)-1)*100</f>
        <v>47.973531844499576</v>
      </c>
      <c r="F42" s="581">
        <f>+(($C$42/$C$29)-1)*100</f>
        <v>47.973531844499576</v>
      </c>
      <c r="G42" s="582">
        <f t="shared" si="1"/>
        <v>3.209726103968698</v>
      </c>
    </row>
    <row r="43" spans="1:7" ht="16.5" hidden="1" customHeight="1" x14ac:dyDescent="0.25">
      <c r="A43" s="546"/>
      <c r="B43" s="578"/>
      <c r="C43" s="579"/>
      <c r="D43" s="580"/>
      <c r="E43" s="580"/>
      <c r="F43" s="581"/>
      <c r="G43" s="582"/>
    </row>
    <row r="44" spans="1:7" ht="16.5" hidden="1" customHeight="1" x14ac:dyDescent="0.25">
      <c r="A44" s="546">
        <v>2000</v>
      </c>
      <c r="B44" s="549" t="s">
        <v>13</v>
      </c>
      <c r="C44" s="579">
        <v>1.784</v>
      </c>
      <c r="D44" s="580">
        <f>($C$44/$C$42-1)*100</f>
        <v>-0.27948574622693734</v>
      </c>
      <c r="E44" s="580">
        <f>+(($C$44/$C$42)-1)*100</f>
        <v>-0.27948574622693734</v>
      </c>
      <c r="F44" s="581">
        <f>+(($C$44/$C$31)-1)*100</f>
        <v>-10.320213140300606</v>
      </c>
      <c r="G44" s="582">
        <f t="shared" ref="G44:G55" si="2">+$C$350/C44</f>
        <v>3.2187219730941705</v>
      </c>
    </row>
    <row r="45" spans="1:7" ht="16.5" hidden="1" customHeight="1" x14ac:dyDescent="0.25">
      <c r="A45" s="546">
        <v>2000</v>
      </c>
      <c r="B45" s="549" t="s">
        <v>14</v>
      </c>
      <c r="C45" s="579">
        <v>1.7689999999999999</v>
      </c>
      <c r="D45" s="580">
        <f>($C$45/$C$44-1)*100</f>
        <v>-0.84080717488790313</v>
      </c>
      <c r="E45" s="580">
        <f>+(($C$45/$C$42)-1)*100</f>
        <v>-1.1179429849077716</v>
      </c>
      <c r="F45" s="581">
        <f>+(($C$45/$C$32-1)*100)</f>
        <v>-14.334140435835351</v>
      </c>
      <c r="G45" s="582">
        <f t="shared" si="2"/>
        <v>3.2460146975692488</v>
      </c>
    </row>
    <row r="46" spans="1:7" ht="16.5" hidden="1" customHeight="1" x14ac:dyDescent="0.25">
      <c r="A46" s="546">
        <v>2000</v>
      </c>
      <c r="B46" s="549" t="s">
        <v>15</v>
      </c>
      <c r="C46" s="579">
        <v>1.7473000000000001</v>
      </c>
      <c r="D46" s="580">
        <f>($C$46/$C$45-1)*100</f>
        <v>-1.226681741096658</v>
      </c>
      <c r="E46" s="580">
        <f>+(($C$46/$C$42)-1)*100</f>
        <v>-2.3309111235326863</v>
      </c>
      <c r="F46" s="581">
        <f>+(($C$46/$C$33-1)*100)</f>
        <v>1.469221835075496</v>
      </c>
      <c r="G46" s="582">
        <f t="shared" si="2"/>
        <v>3.2863274766783039</v>
      </c>
    </row>
    <row r="47" spans="1:7" ht="16.5" hidden="1" customHeight="1" x14ac:dyDescent="0.25">
      <c r="A47" s="546">
        <v>2000</v>
      </c>
      <c r="B47" s="549" t="s">
        <v>16</v>
      </c>
      <c r="C47" s="579">
        <v>1.782</v>
      </c>
      <c r="D47" s="580">
        <f>($C$47/$C$46-1)*100</f>
        <v>1.9859211354661399</v>
      </c>
      <c r="E47" s="580">
        <f>+(($C$47/$C$42)-1)*100</f>
        <v>-0.39128004471771227</v>
      </c>
      <c r="F47" s="581">
        <f>+(($C$47/$C$34-1)*100)</f>
        <v>7.2847682119205226</v>
      </c>
      <c r="G47" s="582">
        <f t="shared" si="2"/>
        <v>3.2223344556677893</v>
      </c>
    </row>
    <row r="48" spans="1:7" ht="16.5" hidden="1" customHeight="1" x14ac:dyDescent="0.25">
      <c r="A48" s="546">
        <v>2000</v>
      </c>
      <c r="B48" s="549" t="s">
        <v>17</v>
      </c>
      <c r="C48" s="579">
        <v>1.827</v>
      </c>
      <c r="D48" s="580">
        <f>($C$48/$C$47-1)*100</f>
        <v>2.5252525252525304</v>
      </c>
      <c r="E48" s="580">
        <f>+(($C$48/1.789)-1)*100</f>
        <v>2.1240916713247682</v>
      </c>
      <c r="F48" s="581">
        <f>+(($C$48/$C$35-1)*100)</f>
        <v>5.9744779582366681</v>
      </c>
      <c r="G48" s="582">
        <f t="shared" si="2"/>
        <v>3.1429666119321293</v>
      </c>
    </row>
    <row r="49" spans="1:7" ht="16.5" hidden="1" customHeight="1" x14ac:dyDescent="0.25">
      <c r="A49" s="546">
        <v>2000</v>
      </c>
      <c r="B49" s="549" t="s">
        <v>18</v>
      </c>
      <c r="C49" s="579">
        <v>1.7991999999999999</v>
      </c>
      <c r="D49" s="580">
        <f>($C$49/$C$48-1)*100</f>
        <v>-1.5216201423097986</v>
      </c>
      <c r="E49" s="580">
        <f>+(($C$49/1.789)-1)*100</f>
        <v>0.57015092230296993</v>
      </c>
      <c r="F49" s="581">
        <f>+(($C$49/$C$36-1)*100)</f>
        <v>1.7071791972866013</v>
      </c>
      <c r="G49" s="582">
        <f t="shared" si="2"/>
        <v>3.1915295686971992</v>
      </c>
    </row>
    <row r="50" spans="1:7" ht="16.5" hidden="1" customHeight="1" x14ac:dyDescent="0.25">
      <c r="A50" s="546">
        <v>2000</v>
      </c>
      <c r="B50" s="549" t="s">
        <v>19</v>
      </c>
      <c r="C50" s="579">
        <v>1.7849999999999999</v>
      </c>
      <c r="D50" s="580">
        <f>($C$50/$C$49-1)*100</f>
        <v>-0.78923966207202767</v>
      </c>
      <c r="E50" s="580">
        <f>+(($C$50/1.789)-1)*100</f>
        <v>-0.22358859698154987</v>
      </c>
      <c r="F50" s="581">
        <f>+(($C$50/$C$37-1)*100)</f>
        <v>-0.22358859698154987</v>
      </c>
      <c r="G50" s="582">
        <f t="shared" si="2"/>
        <v>3.216918767507003</v>
      </c>
    </row>
    <row r="51" spans="1:7" ht="16.5" hidden="1" customHeight="1" x14ac:dyDescent="0.25">
      <c r="A51" s="546">
        <v>2000</v>
      </c>
      <c r="B51" s="549" t="s">
        <v>20</v>
      </c>
      <c r="C51" s="579">
        <v>1.8240000000000001</v>
      </c>
      <c r="D51" s="580">
        <f>($C$51/$C$50-1)*100</f>
        <v>2.1848739495798464</v>
      </c>
      <c r="E51" s="580">
        <f>+(($C$51/1.789)-1)*100</f>
        <v>1.9564002235886058</v>
      </c>
      <c r="F51" s="581">
        <f>+(($C$51/$C$38-1)*100)</f>
        <v>-4.8016701461377824</v>
      </c>
      <c r="G51" s="582">
        <f t="shared" si="2"/>
        <v>3.1481359649122806</v>
      </c>
    </row>
    <row r="52" spans="1:7" ht="16.5" hidden="1" customHeight="1" x14ac:dyDescent="0.25">
      <c r="A52" s="546">
        <v>2000</v>
      </c>
      <c r="B52" s="549" t="s">
        <v>21</v>
      </c>
      <c r="C52" s="579">
        <v>1.845</v>
      </c>
      <c r="D52" s="580">
        <f>($C$52/$C$51-1)*100</f>
        <v>1.1513157894736725</v>
      </c>
      <c r="E52" s="580">
        <f>+(($C$52/1.789)-1)*100</f>
        <v>3.1302403577417648</v>
      </c>
      <c r="F52" s="581">
        <f>+(($C$52/$C$39-1)*100)</f>
        <v>-4.7496128033040819</v>
      </c>
      <c r="G52" s="582">
        <f t="shared" si="2"/>
        <v>3.1123035230352305</v>
      </c>
    </row>
    <row r="53" spans="1:7" ht="16.5" hidden="1" customHeight="1" x14ac:dyDescent="0.25">
      <c r="A53" s="546">
        <v>2000</v>
      </c>
      <c r="B53" s="549" t="s">
        <v>22</v>
      </c>
      <c r="C53" s="579">
        <v>1.9</v>
      </c>
      <c r="D53" s="580">
        <f>($C$53/$C$52-1)*100</f>
        <v>2.9810298102981081</v>
      </c>
      <c r="E53" s="580">
        <f>+(($C$53/1.789)-1)*100</f>
        <v>6.2045835662381199</v>
      </c>
      <c r="F53" s="581">
        <f>+(($C$53/$C$40-1)*100)</f>
        <v>-2.5141097998973905</v>
      </c>
      <c r="G53" s="582">
        <f t="shared" si="2"/>
        <v>3.0222105263157899</v>
      </c>
    </row>
    <row r="54" spans="1:7" ht="16.5" hidden="1" customHeight="1" x14ac:dyDescent="0.25">
      <c r="A54" s="546">
        <v>2000</v>
      </c>
      <c r="B54" s="549" t="s">
        <v>23</v>
      </c>
      <c r="C54" s="579">
        <v>1.9810000000000001</v>
      </c>
      <c r="D54" s="580">
        <f>((C54/C53)-1)*100</f>
        <v>4.2631578947368576</v>
      </c>
      <c r="E54" s="580">
        <f>+(($C$54/1.789)-1)*100</f>
        <v>10.732252655114593</v>
      </c>
      <c r="F54" s="581">
        <f>+(($C$54/$C$41-1)*100)</f>
        <v>2.4301964839710477</v>
      </c>
      <c r="G54" s="582">
        <f t="shared" si="2"/>
        <v>2.8986370519939424</v>
      </c>
    </row>
    <row r="55" spans="1:7" ht="16.5" hidden="1" customHeight="1" x14ac:dyDescent="0.25">
      <c r="A55" s="546">
        <v>2000</v>
      </c>
      <c r="B55" s="549" t="s">
        <v>12</v>
      </c>
      <c r="C55" s="579">
        <v>1.9554</v>
      </c>
      <c r="D55" s="580">
        <f>((C55/C54)-1)*100</f>
        <v>-1.2922766279656828</v>
      </c>
      <c r="E55" s="580">
        <f>+(($C$55/1.789)-1)*100</f>
        <v>9.3012856344326433</v>
      </c>
      <c r="F55" s="581">
        <f>+(($C$55/$C$42-1)*100)</f>
        <v>9.3012856344326433</v>
      </c>
      <c r="G55" s="582">
        <f t="shared" si="2"/>
        <v>2.936585864784699</v>
      </c>
    </row>
    <row r="56" spans="1:7" ht="16.5" hidden="1" customHeight="1" x14ac:dyDescent="0.25">
      <c r="A56" s="546"/>
      <c r="B56" s="547"/>
      <c r="C56" s="547"/>
      <c r="D56" s="580"/>
      <c r="E56" s="580"/>
      <c r="F56" s="581"/>
      <c r="G56" s="582"/>
    </row>
    <row r="57" spans="1:7" ht="16.5" hidden="1" customHeight="1" x14ac:dyDescent="0.25">
      <c r="A57" s="546">
        <v>2001</v>
      </c>
      <c r="B57" s="549" t="s">
        <v>13</v>
      </c>
      <c r="C57" s="579">
        <v>1.97</v>
      </c>
      <c r="D57" s="580">
        <f>((C57/C55)-1)*100</f>
        <v>0.7466503017285353</v>
      </c>
      <c r="E57" s="580">
        <f>+(($C$57/1.955)-1)*100</f>
        <v>0.76726342710997653</v>
      </c>
      <c r="F57" s="581">
        <f>+((C57/$C$44
-1)*100)</f>
        <v>10.426008968609857</v>
      </c>
      <c r="G57" s="582">
        <f t="shared" ref="G57:G68" si="3">+$C$350/C57</f>
        <v>2.9148223350253808</v>
      </c>
    </row>
    <row r="58" spans="1:7" ht="16.5" hidden="1" customHeight="1" x14ac:dyDescent="0.25">
      <c r="A58" s="546">
        <v>2001</v>
      </c>
      <c r="B58" s="549" t="s">
        <v>14</v>
      </c>
      <c r="C58" s="579">
        <v>2.0350000000000001</v>
      </c>
      <c r="D58" s="580">
        <f t="shared" ref="D58:D63" si="4">((C58/C57)-1)*100</f>
        <v>3.2994923857868175</v>
      </c>
      <c r="E58" s="580">
        <f>+(($C$58/1.955)-1)*100</f>
        <v>4.0920716112532007</v>
      </c>
      <c r="F58" s="581">
        <f>+(($C$58/$C$45-1)*100)</f>
        <v>15.036743923120422</v>
      </c>
      <c r="G58" s="582">
        <f t="shared" si="3"/>
        <v>2.8217199017199017</v>
      </c>
    </row>
    <row r="59" spans="1:7" ht="16.5" hidden="1" customHeight="1" x14ac:dyDescent="0.25">
      <c r="A59" s="546">
        <v>2001</v>
      </c>
      <c r="B59" s="549" t="s">
        <v>15</v>
      </c>
      <c r="C59" s="579">
        <v>2.1520000000000001</v>
      </c>
      <c r="D59" s="580">
        <f t="shared" si="4"/>
        <v>5.7493857493857492</v>
      </c>
      <c r="E59" s="580">
        <f>+(($C$59/1.955)-1)*100</f>
        <v>10.076726342710995</v>
      </c>
      <c r="F59" s="581">
        <f>+((C58/$C$46-1)*100)</f>
        <v>16.465403765810116</v>
      </c>
      <c r="G59" s="582">
        <f t="shared" si="3"/>
        <v>2.6683085501858734</v>
      </c>
    </row>
    <row r="60" spans="1:7" ht="16.5" hidden="1" customHeight="1" x14ac:dyDescent="0.25">
      <c r="A60" s="546">
        <v>2001</v>
      </c>
      <c r="B60" s="549" t="s">
        <v>16</v>
      </c>
      <c r="C60" s="579">
        <v>2.2000000000000002</v>
      </c>
      <c r="D60" s="580">
        <f t="shared" si="4"/>
        <v>2.2304832713754719</v>
      </c>
      <c r="E60" s="580">
        <f>+(($C$60/1.955)-1)*100</f>
        <v>12.531969309462919</v>
      </c>
      <c r="F60" s="581">
        <f t="shared" ref="F60:F65" si="5">+((C60/C47-1)*100)</f>
        <v>23.456790123456805</v>
      </c>
      <c r="G60" s="582">
        <f t="shared" si="3"/>
        <v>2.6100909090909092</v>
      </c>
    </row>
    <row r="61" spans="1:7" ht="16.5" hidden="1" customHeight="1" x14ac:dyDescent="0.25">
      <c r="A61" s="546">
        <v>2001</v>
      </c>
      <c r="B61" s="549" t="s">
        <v>17</v>
      </c>
      <c r="C61" s="579">
        <v>2.371</v>
      </c>
      <c r="D61" s="580">
        <f t="shared" si="4"/>
        <v>7.7727272727272645</v>
      </c>
      <c r="E61" s="580">
        <f>+(($C$61/1.955)-1)*100</f>
        <v>21.278772378516631</v>
      </c>
      <c r="F61" s="581">
        <f t="shared" si="5"/>
        <v>29.775588396278053</v>
      </c>
      <c r="G61" s="582">
        <f t="shared" si="3"/>
        <v>2.4218473218051457</v>
      </c>
    </row>
    <row r="62" spans="1:7" ht="16.5" hidden="1" customHeight="1" x14ac:dyDescent="0.25">
      <c r="A62" s="546">
        <v>2001</v>
      </c>
      <c r="B62" s="549" t="s">
        <v>18</v>
      </c>
      <c r="C62" s="579">
        <v>2.3130000000000002</v>
      </c>
      <c r="D62" s="580">
        <f t="shared" si="4"/>
        <v>-2.4462252214255464</v>
      </c>
      <c r="E62" s="580">
        <f>+(($C$62/1.955)-1)*100</f>
        <v>18.31202046035807</v>
      </c>
      <c r="F62" s="581">
        <f t="shared" si="5"/>
        <v>28.557136505113402</v>
      </c>
      <c r="G62" s="582">
        <f t="shared" si="3"/>
        <v>2.4825767401642889</v>
      </c>
    </row>
    <row r="63" spans="1:7" ht="16.5" hidden="1" customHeight="1" x14ac:dyDescent="0.25">
      <c r="A63" s="546">
        <v>2001</v>
      </c>
      <c r="B63" s="549" t="s">
        <v>19</v>
      </c>
      <c r="C63" s="579">
        <v>2.4660000000000002</v>
      </c>
      <c r="D63" s="580">
        <f t="shared" si="4"/>
        <v>6.6147859922178975</v>
      </c>
      <c r="E63" s="580">
        <f>+(($C$63/1.955)-1)*100</f>
        <v>26.138107416879809</v>
      </c>
      <c r="F63" s="581">
        <f t="shared" si="5"/>
        <v>38.151260504201701</v>
      </c>
      <c r="G63" s="582">
        <f t="shared" si="3"/>
        <v>2.3285482562854827</v>
      </c>
    </row>
    <row r="64" spans="1:7" ht="16.5" hidden="1" customHeight="1" x14ac:dyDescent="0.25">
      <c r="A64" s="546">
        <v>2001</v>
      </c>
      <c r="B64" s="549" t="s">
        <v>20</v>
      </c>
      <c r="C64" s="579">
        <v>2.5299999999999998</v>
      </c>
      <c r="D64" s="580">
        <f>((C64/C63)-1)*100</f>
        <v>2.5952960259529423</v>
      </c>
      <c r="E64" s="580">
        <f>+(($C$64/1.955)-1)*100</f>
        <v>29.411764705882337</v>
      </c>
      <c r="F64" s="581">
        <f t="shared" si="5"/>
        <v>38.706140350877185</v>
      </c>
      <c r="G64" s="582">
        <f t="shared" si="3"/>
        <v>2.2696442687747038</v>
      </c>
    </row>
    <row r="65" spans="1:7" ht="16.5" hidden="1" customHeight="1" x14ac:dyDescent="0.25">
      <c r="A65" s="546">
        <v>2001</v>
      </c>
      <c r="B65" s="549" t="s">
        <v>21</v>
      </c>
      <c r="C65" s="579">
        <v>2.665</v>
      </c>
      <c r="D65" s="580">
        <f>((C65/C64)-1)*100</f>
        <v>5.3359683794466539</v>
      </c>
      <c r="E65" s="580">
        <f>+(($C$65/1.955)-1)*100</f>
        <v>36.317135549872127</v>
      </c>
      <c r="F65" s="581">
        <f t="shared" si="5"/>
        <v>44.444444444444443</v>
      </c>
      <c r="G65" s="582">
        <f t="shared" si="3"/>
        <v>2.154671669793621</v>
      </c>
    </row>
    <row r="66" spans="1:7" ht="16.5" hidden="1" customHeight="1" x14ac:dyDescent="0.25">
      <c r="A66" s="546">
        <v>2001</v>
      </c>
      <c r="B66" s="549" t="s">
        <v>22</v>
      </c>
      <c r="C66" s="579">
        <v>2.6960000000000002</v>
      </c>
      <c r="D66" s="580">
        <f>((C66/C65)-1)*100</f>
        <v>1.1632270168855596</v>
      </c>
      <c r="E66" s="580">
        <f>+(($C$66/1.955)-1)*100</f>
        <v>37.902813299232754</v>
      </c>
      <c r="F66" s="581">
        <f>+((C66/C53-1)*100)</f>
        <v>41.894736842105274</v>
      </c>
      <c r="G66" s="582">
        <f t="shared" si="3"/>
        <v>2.1298961424332346</v>
      </c>
    </row>
    <row r="67" spans="1:7" ht="16.5" hidden="1" customHeight="1" x14ac:dyDescent="0.25">
      <c r="A67" s="546">
        <v>2001</v>
      </c>
      <c r="B67" s="549" t="s">
        <v>23</v>
      </c>
      <c r="C67" s="584">
        <v>2.5</v>
      </c>
      <c r="D67" s="580">
        <f>((C67/C66)-1)*100</f>
        <v>-7.2700296735905052</v>
      </c>
      <c r="E67" s="580">
        <f>+(($C$67/1.955)-1)*100</f>
        <v>27.877237851662407</v>
      </c>
      <c r="F67" s="581">
        <f>+((C67/C54-1)*100)</f>
        <v>26.198889449772842</v>
      </c>
      <c r="G67" s="582">
        <f t="shared" si="3"/>
        <v>2.2968800000000003</v>
      </c>
    </row>
    <row r="68" spans="1:7" ht="16.5" hidden="1" customHeight="1" x14ac:dyDescent="0.25">
      <c r="A68" s="546">
        <v>2001</v>
      </c>
      <c r="B68" s="549" t="s">
        <v>12</v>
      </c>
      <c r="C68" s="584">
        <v>2.3140000000000001</v>
      </c>
      <c r="D68" s="580">
        <f>((C68/C67)-1)*100</f>
        <v>-7.4400000000000022</v>
      </c>
      <c r="E68" s="580">
        <f>+(($C$68/1.955)-1)*100</f>
        <v>18.363171355498721</v>
      </c>
      <c r="F68" s="581">
        <f>+((C68/C55-1)*100)</f>
        <v>18.33895878081211</v>
      </c>
      <c r="G68" s="582">
        <f t="shared" si="3"/>
        <v>2.481503889369058</v>
      </c>
    </row>
    <row r="69" spans="1:7" ht="16.5" hidden="1" customHeight="1" x14ac:dyDescent="0.25">
      <c r="A69" s="546"/>
      <c r="B69" s="549"/>
      <c r="C69" s="584"/>
      <c r="D69" s="580"/>
      <c r="E69" s="580"/>
      <c r="F69" s="581"/>
      <c r="G69" s="582"/>
    </row>
    <row r="70" spans="1:7" ht="16.5" hidden="1" customHeight="1" x14ac:dyDescent="0.25">
      <c r="A70" s="546">
        <v>2002</v>
      </c>
      <c r="B70" s="549" t="s">
        <v>13</v>
      </c>
      <c r="C70" s="584">
        <v>2.4182999999999999</v>
      </c>
      <c r="D70" s="580">
        <f>((C70/C68)-1)*100</f>
        <v>4.5073465859982731</v>
      </c>
      <c r="E70" s="580">
        <f>+(($C$70/$C$68)-1)*100</f>
        <v>4.5073465859982731</v>
      </c>
      <c r="F70" s="581">
        <f t="shared" ref="F70:F78" si="6">+((C70/C57-1)*100)</f>
        <v>22.756345177664961</v>
      </c>
      <c r="G70" s="582">
        <f t="shared" ref="G70:G81" si="7">+$C$350/C70</f>
        <v>2.3744779390480919</v>
      </c>
    </row>
    <row r="71" spans="1:7" ht="16.5" hidden="1" customHeight="1" x14ac:dyDescent="0.25">
      <c r="A71" s="546">
        <v>2002</v>
      </c>
      <c r="B71" s="549" t="s">
        <v>14</v>
      </c>
      <c r="C71" s="584">
        <v>2.3481999999999998</v>
      </c>
      <c r="D71" s="580">
        <f t="shared" ref="D71:D77" si="8">((C71/C70)-1)*100</f>
        <v>-2.8987305131704111</v>
      </c>
      <c r="E71" s="580">
        <f>+(($C$71/$C$68)-1)*100</f>
        <v>1.4779602420051718</v>
      </c>
      <c r="F71" s="581">
        <f t="shared" si="6"/>
        <v>15.390663390663374</v>
      </c>
      <c r="G71" s="582">
        <f t="shared" si="7"/>
        <v>2.4453624052465721</v>
      </c>
    </row>
    <row r="72" spans="1:7" ht="16.5" hidden="1" customHeight="1" x14ac:dyDescent="0.25">
      <c r="A72" s="546">
        <v>2002</v>
      </c>
      <c r="B72" s="549" t="s">
        <v>15</v>
      </c>
      <c r="C72" s="584">
        <v>2.3235999999999999</v>
      </c>
      <c r="D72" s="580">
        <f t="shared" si="8"/>
        <v>-1.0476109360361141</v>
      </c>
      <c r="E72" s="580">
        <f>+((C72/$C$68)-1)*100</f>
        <v>0.41486603284355272</v>
      </c>
      <c r="F72" s="581">
        <f t="shared" si="6"/>
        <v>7.9739776951672781</v>
      </c>
      <c r="G72" s="582">
        <f t="shared" si="7"/>
        <v>2.4712515062833535</v>
      </c>
    </row>
    <row r="73" spans="1:7" ht="16.5" hidden="1" customHeight="1" x14ac:dyDescent="0.25">
      <c r="A73" s="546">
        <v>2002</v>
      </c>
      <c r="B73" s="549" t="s">
        <v>16</v>
      </c>
      <c r="C73" s="584">
        <v>2.3624999999999998</v>
      </c>
      <c r="D73" s="580">
        <f t="shared" si="8"/>
        <v>1.6741263556550257</v>
      </c>
      <c r="E73" s="580">
        <f t="shared" ref="E73:E78" si="9">+((C73/C$68)-1)*100</f>
        <v>2.0959377700950688</v>
      </c>
      <c r="F73" s="581">
        <f t="shared" si="6"/>
        <v>7.3863636363636243</v>
      </c>
      <c r="G73" s="582">
        <f t="shared" si="7"/>
        <v>2.430560846560847</v>
      </c>
    </row>
    <row r="74" spans="1:7" ht="16.5" hidden="1" customHeight="1" x14ac:dyDescent="0.25">
      <c r="A74" s="546">
        <v>2002</v>
      </c>
      <c r="B74" s="549" t="s">
        <v>17</v>
      </c>
      <c r="C74" s="584">
        <v>2.5219999999999998</v>
      </c>
      <c r="D74" s="580">
        <f t="shared" si="8"/>
        <v>6.7513227513227525</v>
      </c>
      <c r="E74" s="580">
        <f t="shared" si="9"/>
        <v>8.9887640449437978</v>
      </c>
      <c r="F74" s="581">
        <f t="shared" si="6"/>
        <v>6.3686208350906659</v>
      </c>
      <c r="G74" s="582">
        <f t="shared" si="7"/>
        <v>2.2768437747819195</v>
      </c>
    </row>
    <row r="75" spans="1:7" ht="16.5" hidden="1" customHeight="1" x14ac:dyDescent="0.25">
      <c r="A75" s="546">
        <v>2002</v>
      </c>
      <c r="B75" s="549" t="s">
        <v>18</v>
      </c>
      <c r="C75" s="584">
        <v>2.8443999999999998</v>
      </c>
      <c r="D75" s="580">
        <f t="shared" si="8"/>
        <v>12.783505154639174</v>
      </c>
      <c r="E75" s="580">
        <f t="shared" si="9"/>
        <v>22.921348314606725</v>
      </c>
      <c r="F75" s="581">
        <f t="shared" si="6"/>
        <v>22.974492001729342</v>
      </c>
      <c r="G75" s="582">
        <f t="shared" si="7"/>
        <v>2.0187737308395448</v>
      </c>
    </row>
    <row r="76" spans="1:7" ht="16.5" hidden="1" customHeight="1" x14ac:dyDescent="0.25">
      <c r="A76" s="546">
        <v>2002</v>
      </c>
      <c r="B76" s="549" t="s">
        <v>19</v>
      </c>
      <c r="C76" s="584">
        <v>3.4277000000000002</v>
      </c>
      <c r="D76" s="580">
        <f t="shared" si="8"/>
        <v>20.506961046266369</v>
      </c>
      <c r="E76" s="580">
        <f t="shared" si="9"/>
        <v>48.128781331028534</v>
      </c>
      <c r="F76" s="581">
        <f t="shared" si="6"/>
        <v>38.998377939983776</v>
      </c>
      <c r="G76" s="582">
        <f t="shared" si="7"/>
        <v>1.6752341220060099</v>
      </c>
    </row>
    <row r="77" spans="1:7" ht="16.5" hidden="1" customHeight="1" x14ac:dyDescent="0.25">
      <c r="A77" s="546">
        <v>2002</v>
      </c>
      <c r="B77" s="549" t="s">
        <v>20</v>
      </c>
      <c r="C77" s="584">
        <v>3.01</v>
      </c>
      <c r="D77" s="580">
        <f t="shared" si="8"/>
        <v>-12.186013945211084</v>
      </c>
      <c r="E77" s="580">
        <f t="shared" si="9"/>
        <v>30.07778738115816</v>
      </c>
      <c r="F77" s="581">
        <f t="shared" si="6"/>
        <v>18.972332015810277</v>
      </c>
      <c r="G77" s="582">
        <f t="shared" si="7"/>
        <v>1.9077076411960137</v>
      </c>
    </row>
    <row r="78" spans="1:7" ht="16.5" hidden="1" customHeight="1" x14ac:dyDescent="0.25">
      <c r="A78" s="546">
        <v>2002</v>
      </c>
      <c r="B78" s="549" t="s">
        <v>21</v>
      </c>
      <c r="C78" s="584">
        <v>3.8948999999999998</v>
      </c>
      <c r="D78" s="580">
        <f>((C78/C77)-1)*100</f>
        <v>29.39867109634551</v>
      </c>
      <c r="E78" s="580">
        <f t="shared" si="9"/>
        <v>68.318928262748486</v>
      </c>
      <c r="F78" s="581">
        <f t="shared" si="6"/>
        <v>46.150093808630373</v>
      </c>
      <c r="G78" s="582">
        <f t="shared" si="7"/>
        <v>1.4742868879817199</v>
      </c>
    </row>
    <row r="79" spans="1:7" ht="16.5" hidden="1" customHeight="1" x14ac:dyDescent="0.25">
      <c r="A79" s="546">
        <v>2002</v>
      </c>
      <c r="B79" s="549" t="s">
        <v>22</v>
      </c>
      <c r="C79" s="584">
        <v>3.645</v>
      </c>
      <c r="D79" s="580">
        <f>((C79/C78)-1)*100</f>
        <v>-6.4160825695139696</v>
      </c>
      <c r="E79" s="580">
        <f>+((C79/C$68)-1)*100</f>
        <v>57.519446845289536</v>
      </c>
      <c r="F79" s="581">
        <f>+((C79/C66-1)*100)</f>
        <v>35.200296735905034</v>
      </c>
      <c r="G79" s="582">
        <f t="shared" si="7"/>
        <v>1.5753635116598081</v>
      </c>
    </row>
    <row r="80" spans="1:7" ht="16.5" hidden="1" customHeight="1" x14ac:dyDescent="0.25">
      <c r="A80" s="546">
        <v>2002</v>
      </c>
      <c r="B80" s="549" t="s">
        <v>23</v>
      </c>
      <c r="C80" s="584">
        <v>3.6364999999999998</v>
      </c>
      <c r="D80" s="580">
        <f>((C80/C79)-1)*100</f>
        <v>-0.23319615912208436</v>
      </c>
      <c r="E80" s="580">
        <f>+((C80/C$68)-1)*100</f>
        <v>57.152117545375972</v>
      </c>
      <c r="F80" s="581">
        <f>+((C80/C67-1)*100)</f>
        <v>45.459999999999987</v>
      </c>
      <c r="G80" s="582">
        <f t="shared" si="7"/>
        <v>1.5790457857830333</v>
      </c>
    </row>
    <row r="81" spans="1:7" ht="16.5" hidden="1" customHeight="1" x14ac:dyDescent="0.25">
      <c r="A81" s="546">
        <v>2002</v>
      </c>
      <c r="B81" s="549" t="s">
        <v>12</v>
      </c>
      <c r="C81" s="584">
        <v>3.5329999999999999</v>
      </c>
      <c r="D81" s="580">
        <f>((C81/C80)-1)*100</f>
        <v>-2.8461432696273881</v>
      </c>
      <c r="E81" s="580">
        <f>+((C81/C$68)-1)*100</f>
        <v>52.679343128781333</v>
      </c>
      <c r="F81" s="581">
        <f>+((C81/C68-1)*100)</f>
        <v>52.679343128781333</v>
      </c>
      <c r="G81" s="582">
        <f t="shared" si="7"/>
        <v>1.6253042739881123</v>
      </c>
    </row>
    <row r="82" spans="1:7" ht="16.5" hidden="1" customHeight="1" x14ac:dyDescent="0.25">
      <c r="A82" s="546"/>
      <c r="B82" s="549"/>
      <c r="C82" s="584"/>
      <c r="D82" s="580"/>
      <c r="E82" s="580"/>
      <c r="F82" s="581"/>
      <c r="G82" s="582"/>
    </row>
    <row r="83" spans="1:7" ht="16.5" hidden="1" customHeight="1" x14ac:dyDescent="0.25">
      <c r="A83" s="546">
        <v>2003</v>
      </c>
      <c r="B83" s="549" t="s">
        <v>13</v>
      </c>
      <c r="C83" s="584">
        <v>3.5249999999999999</v>
      </c>
      <c r="D83" s="580">
        <f>((C83/C81)-1)*100</f>
        <v>-0.22643645626946318</v>
      </c>
      <c r="E83" s="580">
        <f t="shared" ref="E83:E94" si="10">+((C83/C$81)-1)*100</f>
        <v>-0.22643645626946318</v>
      </c>
      <c r="F83" s="581">
        <f t="shared" ref="F83:F94" si="11">+((C83/C70-1)*100)</f>
        <v>45.763552909068352</v>
      </c>
      <c r="G83" s="582">
        <f t="shared" ref="G83:G94" si="12">+$C$350/C83</f>
        <v>1.6289929078014187</v>
      </c>
    </row>
    <row r="84" spans="1:7" ht="16.5" hidden="1" customHeight="1" x14ac:dyDescent="0.25">
      <c r="A84" s="546">
        <v>2003</v>
      </c>
      <c r="B84" s="549" t="s">
        <v>14</v>
      </c>
      <c r="C84" s="584">
        <v>3.5750000000000002</v>
      </c>
      <c r="D84" s="580">
        <f t="shared" ref="D84:D89" si="13">((C84/C83)-1)*100</f>
        <v>1.4184397163120588</v>
      </c>
      <c r="E84" s="580">
        <f t="shared" si="10"/>
        <v>1.1887913954146789</v>
      </c>
      <c r="F84" s="581">
        <f t="shared" si="11"/>
        <v>52.244272208500142</v>
      </c>
      <c r="G84" s="582">
        <f t="shared" si="12"/>
        <v>1.6062097902097903</v>
      </c>
    </row>
    <row r="85" spans="1:7" ht="16.5" hidden="1" customHeight="1" x14ac:dyDescent="0.25">
      <c r="A85" s="546">
        <v>2003</v>
      </c>
      <c r="B85" s="549" t="s">
        <v>29</v>
      </c>
      <c r="C85" s="584">
        <v>3.3530000000000002</v>
      </c>
      <c r="D85" s="580">
        <f t="shared" si="13"/>
        <v>-6.2097902097902118</v>
      </c>
      <c r="E85" s="580">
        <f t="shared" si="10"/>
        <v>-5.0948202660628272</v>
      </c>
      <c r="F85" s="581">
        <f t="shared" si="11"/>
        <v>44.301945257359286</v>
      </c>
      <c r="G85" s="582">
        <f t="shared" si="12"/>
        <v>1.7125559200715776</v>
      </c>
    </row>
    <row r="86" spans="1:7" ht="16.5" hidden="1" customHeight="1" x14ac:dyDescent="0.25">
      <c r="A86" s="546">
        <v>2003</v>
      </c>
      <c r="B86" s="549" t="s">
        <v>30</v>
      </c>
      <c r="C86" s="584">
        <v>2.8898000000000001</v>
      </c>
      <c r="D86" s="580">
        <f t="shared" si="13"/>
        <v>-13.814494482552941</v>
      </c>
      <c r="E86" s="580">
        <f t="shared" si="10"/>
        <v>-18.20549108406453</v>
      </c>
      <c r="F86" s="581">
        <f t="shared" si="11"/>
        <v>22.319576719576737</v>
      </c>
      <c r="G86" s="582">
        <f t="shared" si="12"/>
        <v>1.9870579278842826</v>
      </c>
    </row>
    <row r="87" spans="1:7" ht="16.5" hidden="1" customHeight="1" x14ac:dyDescent="0.25">
      <c r="A87" s="546">
        <v>2003</v>
      </c>
      <c r="B87" s="549" t="s">
        <v>31</v>
      </c>
      <c r="C87" s="584">
        <v>2.9655999999999998</v>
      </c>
      <c r="D87" s="580">
        <f t="shared" si="13"/>
        <v>2.623018894041107</v>
      </c>
      <c r="E87" s="580">
        <f t="shared" si="10"/>
        <v>-16.060005660911415</v>
      </c>
      <c r="F87" s="581">
        <f t="shared" si="11"/>
        <v>17.589214908802543</v>
      </c>
      <c r="G87" s="582">
        <f t="shared" si="12"/>
        <v>1.9362692203938499</v>
      </c>
    </row>
    <row r="88" spans="1:7" ht="16.5" hidden="1" customHeight="1" x14ac:dyDescent="0.25">
      <c r="A88" s="546">
        <v>2003</v>
      </c>
      <c r="B88" s="549" t="s">
        <v>32</v>
      </c>
      <c r="C88" s="584">
        <v>2.8719999999999999</v>
      </c>
      <c r="D88" s="580">
        <f t="shared" si="13"/>
        <v>-3.1561909900188811</v>
      </c>
      <c r="E88" s="580">
        <f t="shared" si="10"/>
        <v>-18.709312199264083</v>
      </c>
      <c r="F88" s="581">
        <f t="shared" si="11"/>
        <v>0.97032766136970761</v>
      </c>
      <c r="G88" s="582">
        <f t="shared" si="12"/>
        <v>1.999373259052925</v>
      </c>
    </row>
    <row r="89" spans="1:7" ht="16.5" hidden="1" customHeight="1" x14ac:dyDescent="0.25">
      <c r="A89" s="546">
        <v>2003</v>
      </c>
      <c r="B89" s="549" t="s">
        <v>33</v>
      </c>
      <c r="C89" s="584">
        <v>2.9655</v>
      </c>
      <c r="D89" s="580">
        <f t="shared" si="13"/>
        <v>3.2555710306406693</v>
      </c>
      <c r="E89" s="580">
        <f t="shared" si="10"/>
        <v>-16.062836116614776</v>
      </c>
      <c r="F89" s="581">
        <f t="shared" si="11"/>
        <v>-13.484260582898155</v>
      </c>
      <c r="G89" s="582">
        <f t="shared" si="12"/>
        <v>1.9363345135727534</v>
      </c>
    </row>
    <row r="90" spans="1:7" ht="16.5" hidden="1" customHeight="1" x14ac:dyDescent="0.25">
      <c r="A90" s="546">
        <v>2003</v>
      </c>
      <c r="B90" s="549" t="s">
        <v>34</v>
      </c>
      <c r="C90" s="584">
        <v>2.9664999999999999</v>
      </c>
      <c r="D90" s="580">
        <f>((C90/C89)-1)*100</f>
        <v>3.3721126285612968E-2</v>
      </c>
      <c r="E90" s="580">
        <f t="shared" si="10"/>
        <v>-16.03453155958109</v>
      </c>
      <c r="F90" s="581">
        <f t="shared" si="11"/>
        <v>-1.4451827242524917</v>
      </c>
      <c r="G90" s="582">
        <f t="shared" si="12"/>
        <v>1.9356817798752741</v>
      </c>
    </row>
    <row r="91" spans="1:7" ht="16.5" hidden="1" customHeight="1" x14ac:dyDescent="0.25">
      <c r="A91" s="546">
        <v>2003</v>
      </c>
      <c r="B91" s="549" t="s">
        <v>36</v>
      </c>
      <c r="C91" s="584">
        <v>2.9234</v>
      </c>
      <c r="D91" s="580">
        <f>((C91/C90)-1)*100</f>
        <v>-1.452890611832125</v>
      </c>
      <c r="E91" s="580">
        <f t="shared" si="10"/>
        <v>-17.254457967732804</v>
      </c>
      <c r="F91" s="581">
        <f t="shared" si="11"/>
        <v>-24.942874014737214</v>
      </c>
      <c r="G91" s="582">
        <f t="shared" si="12"/>
        <v>1.9642197441335434</v>
      </c>
    </row>
    <row r="92" spans="1:7" ht="16.5" hidden="1" customHeight="1" x14ac:dyDescent="0.25">
      <c r="A92" s="546">
        <v>2003</v>
      </c>
      <c r="B92" s="549" t="s">
        <v>35</v>
      </c>
      <c r="C92" s="584">
        <v>2.8561999999999999</v>
      </c>
      <c r="D92" s="580">
        <f>((C92/C91)-1)*100</f>
        <v>-2.2986933023192213</v>
      </c>
      <c r="E92" s="580">
        <f t="shared" si="10"/>
        <v>-19.156524200396262</v>
      </c>
      <c r="F92" s="581">
        <f t="shared" si="11"/>
        <v>-21.640603566529492</v>
      </c>
      <c r="G92" s="582">
        <f t="shared" si="12"/>
        <v>2.0104334430362023</v>
      </c>
    </row>
    <row r="93" spans="1:7" ht="16.5" hidden="1" customHeight="1" x14ac:dyDescent="0.25">
      <c r="A93" s="546">
        <v>2003</v>
      </c>
      <c r="B93" s="549" t="s">
        <v>25</v>
      </c>
      <c r="C93" s="584">
        <v>2.9489999999999998</v>
      </c>
      <c r="D93" s="580">
        <f>((C93/C92)-1)*100</f>
        <v>3.2490721938239542</v>
      </c>
      <c r="E93" s="580">
        <f t="shared" si="10"/>
        <v>-16.529861307670537</v>
      </c>
      <c r="F93" s="581">
        <f t="shared" si="11"/>
        <v>-18.905541042210917</v>
      </c>
      <c r="G93" s="582">
        <f t="shared" si="12"/>
        <v>1.9471685317056633</v>
      </c>
    </row>
    <row r="94" spans="1:7" ht="16.5" hidden="1" customHeight="1" x14ac:dyDescent="0.25">
      <c r="A94" s="546">
        <v>2003</v>
      </c>
      <c r="B94" s="549" t="s">
        <v>26</v>
      </c>
      <c r="C94" s="584">
        <v>2.8892000000000002</v>
      </c>
      <c r="D94" s="580">
        <f>((C94/C93)-1)*100</f>
        <v>-2.0278060359443795</v>
      </c>
      <c r="E94" s="580">
        <f t="shared" si="10"/>
        <v>-18.222473818284733</v>
      </c>
      <c r="F94" s="581">
        <f t="shared" si="11"/>
        <v>-18.222473818284733</v>
      </c>
      <c r="G94" s="582">
        <f t="shared" si="12"/>
        <v>1.9874705800913748</v>
      </c>
    </row>
    <row r="95" spans="1:7" ht="16.5" hidden="1" customHeight="1" x14ac:dyDescent="0.25">
      <c r="A95" s="546"/>
      <c r="B95" s="549"/>
      <c r="C95" s="584"/>
      <c r="D95" s="580"/>
      <c r="E95" s="580"/>
      <c r="F95" s="581"/>
      <c r="G95" s="582"/>
    </row>
    <row r="96" spans="1:7" ht="16.5" hidden="1" customHeight="1" x14ac:dyDescent="0.25">
      <c r="A96" s="546">
        <v>2004</v>
      </c>
      <c r="B96" s="549" t="s">
        <v>27</v>
      </c>
      <c r="C96" s="584">
        <v>2.9409000000000001</v>
      </c>
      <c r="D96" s="580">
        <f>((C96/C94)-1)*100</f>
        <v>1.7894226775577948</v>
      </c>
      <c r="E96" s="580">
        <f t="shared" ref="E96:E107" si="14">+((C96/C$94)-1)*100</f>
        <v>1.7894226775577948</v>
      </c>
      <c r="F96" s="581">
        <f t="shared" ref="F96:F107" si="15">+((C96/C83-1)*100)</f>
        <v>-16.570212765957436</v>
      </c>
      <c r="G96" s="582">
        <f t="shared" ref="G96:G127" si="16">+$C$350/C96</f>
        <v>1.9525315379645687</v>
      </c>
    </row>
    <row r="97" spans="1:7" ht="16.5" hidden="1" customHeight="1" x14ac:dyDescent="0.25">
      <c r="A97" s="546">
        <v>2004</v>
      </c>
      <c r="B97" s="549" t="s">
        <v>28</v>
      </c>
      <c r="C97" s="584">
        <v>2.9138000000000002</v>
      </c>
      <c r="D97" s="580">
        <f t="shared" ref="D97:D160" si="17">((C97/C96)-1)*100</f>
        <v>-0.9214866197422511</v>
      </c>
      <c r="E97" s="580">
        <f t="shared" si="14"/>
        <v>0.85144676727122448</v>
      </c>
      <c r="F97" s="581">
        <f t="shared" si="15"/>
        <v>-18.495104895104898</v>
      </c>
      <c r="G97" s="582">
        <f t="shared" si="16"/>
        <v>1.9706911936303109</v>
      </c>
    </row>
    <row r="98" spans="1:7" ht="16.5" hidden="1" customHeight="1" x14ac:dyDescent="0.25">
      <c r="A98" s="546">
        <v>2004</v>
      </c>
      <c r="B98" s="549" t="s">
        <v>29</v>
      </c>
      <c r="C98" s="584">
        <v>2.9085999999999999</v>
      </c>
      <c r="D98" s="580">
        <f t="shared" si="17"/>
        <v>-0.17846111606837356</v>
      </c>
      <c r="E98" s="580">
        <f t="shared" si="14"/>
        <v>0.67146614979924912</v>
      </c>
      <c r="F98" s="581">
        <f t="shared" si="15"/>
        <v>-13.253802564867289</v>
      </c>
      <c r="G98" s="582">
        <f t="shared" si="16"/>
        <v>1.9742143986797775</v>
      </c>
    </row>
    <row r="99" spans="1:7" ht="16.5" hidden="1" customHeight="1" x14ac:dyDescent="0.25">
      <c r="A99" s="546">
        <v>2004</v>
      </c>
      <c r="B99" s="549" t="s">
        <v>30</v>
      </c>
      <c r="C99" s="584">
        <v>2.9447000000000001</v>
      </c>
      <c r="D99" s="580">
        <f t="shared" si="17"/>
        <v>1.2411469435467337</v>
      </c>
      <c r="E99" s="580">
        <f t="shared" si="14"/>
        <v>1.9209469749411623</v>
      </c>
      <c r="F99" s="581">
        <f t="shared" si="15"/>
        <v>1.8997854522804225</v>
      </c>
      <c r="G99" s="582">
        <f t="shared" si="16"/>
        <v>1.9500118857608586</v>
      </c>
    </row>
    <row r="100" spans="1:7" ht="16.5" hidden="1" customHeight="1" x14ac:dyDescent="0.25">
      <c r="A100" s="546">
        <v>2004</v>
      </c>
      <c r="B100" s="549" t="s">
        <v>31</v>
      </c>
      <c r="C100" s="584">
        <v>3.1291000000000002</v>
      </c>
      <c r="D100" s="580">
        <f t="shared" si="17"/>
        <v>6.2620980065881016</v>
      </c>
      <c r="E100" s="580">
        <f t="shared" si="14"/>
        <v>8.3033365637546819</v>
      </c>
      <c r="F100" s="581">
        <f t="shared" si="15"/>
        <v>5.5132182357701787</v>
      </c>
      <c r="G100" s="582">
        <f t="shared" si="16"/>
        <v>1.8350963535840976</v>
      </c>
    </row>
    <row r="101" spans="1:7" ht="16.5" hidden="1" customHeight="1" x14ac:dyDescent="0.25">
      <c r="A101" s="546">
        <v>2004</v>
      </c>
      <c r="B101" s="549" t="s">
        <v>32</v>
      </c>
      <c r="C101" s="584">
        <v>3.1074999999999999</v>
      </c>
      <c r="D101" s="580">
        <f t="shared" si="17"/>
        <v>-0.69029433383401839</v>
      </c>
      <c r="E101" s="580">
        <f t="shared" si="14"/>
        <v>7.5557247681018902</v>
      </c>
      <c r="F101" s="581">
        <f t="shared" si="15"/>
        <v>8.1998607242339752</v>
      </c>
      <c r="G101" s="582">
        <f t="shared" si="16"/>
        <v>1.8478519710378118</v>
      </c>
    </row>
    <row r="102" spans="1:7" ht="16.5" hidden="1" customHeight="1" x14ac:dyDescent="0.25">
      <c r="A102" s="546">
        <v>2004</v>
      </c>
      <c r="B102" s="549" t="s">
        <v>33</v>
      </c>
      <c r="C102" s="584">
        <v>3.0268000000000002</v>
      </c>
      <c r="D102" s="580">
        <f t="shared" si="17"/>
        <v>-2.5969428801287164</v>
      </c>
      <c r="E102" s="580">
        <f t="shared" si="14"/>
        <v>4.7625640315658302</v>
      </c>
      <c r="F102" s="581">
        <f t="shared" si="15"/>
        <v>2.0671050413083814</v>
      </c>
      <c r="G102" s="582">
        <f t="shared" si="16"/>
        <v>1.897119069644509</v>
      </c>
    </row>
    <row r="103" spans="1:7" ht="16.5" hidden="1" customHeight="1" x14ac:dyDescent="0.25">
      <c r="A103" s="546">
        <v>2004</v>
      </c>
      <c r="B103" s="549" t="s">
        <v>34</v>
      </c>
      <c r="C103" s="584">
        <v>2.9338000000000002</v>
      </c>
      <c r="D103" s="580">
        <f t="shared" si="17"/>
        <v>-3.0725518699616705</v>
      </c>
      <c r="E103" s="580">
        <f t="shared" si="14"/>
        <v>1.5436799113941468</v>
      </c>
      <c r="F103" s="581">
        <f t="shared" si="15"/>
        <v>-1.1023091184897971</v>
      </c>
      <c r="G103" s="582">
        <f t="shared" si="16"/>
        <v>1.9572568000545367</v>
      </c>
    </row>
    <row r="104" spans="1:7" ht="16.5" hidden="1" customHeight="1" x14ac:dyDescent="0.25">
      <c r="A104" s="546">
        <v>2004</v>
      </c>
      <c r="B104" s="549" t="s">
        <v>36</v>
      </c>
      <c r="C104" s="584">
        <v>2.8586</v>
      </c>
      <c r="D104" s="580">
        <f t="shared" si="17"/>
        <v>-2.5632285772718033</v>
      </c>
      <c r="E104" s="580">
        <f t="shared" si="14"/>
        <v>-1.0591167105081012</v>
      </c>
      <c r="F104" s="581">
        <f t="shared" si="15"/>
        <v>-2.216597112950669</v>
      </c>
      <c r="G104" s="582">
        <f t="shared" si="16"/>
        <v>2.0087455397747149</v>
      </c>
    </row>
    <row r="105" spans="1:7" ht="16.5" hidden="1" customHeight="1" x14ac:dyDescent="0.25">
      <c r="A105" s="546">
        <v>2004</v>
      </c>
      <c r="B105" s="549" t="s">
        <v>35</v>
      </c>
      <c r="C105" s="584">
        <v>2.8565</v>
      </c>
      <c r="D105" s="580">
        <f t="shared" si="17"/>
        <v>-7.3462534107604505E-2</v>
      </c>
      <c r="E105" s="580">
        <f t="shared" si="14"/>
        <v>-1.131801190641013</v>
      </c>
      <c r="F105" s="581">
        <f t="shared" si="15"/>
        <v>1.0503466143840789E-2</v>
      </c>
      <c r="G105" s="582">
        <f t="shared" si="16"/>
        <v>2.0102223000175039</v>
      </c>
    </row>
    <row r="106" spans="1:7" ht="16.5" hidden="1" customHeight="1" x14ac:dyDescent="0.25">
      <c r="A106" s="546">
        <v>2004</v>
      </c>
      <c r="B106" s="549" t="s">
        <v>25</v>
      </c>
      <c r="C106" s="584">
        <v>2.7303000000000002</v>
      </c>
      <c r="D106" s="580">
        <f t="shared" si="17"/>
        <v>-4.4179940486609448</v>
      </c>
      <c r="E106" s="580">
        <f t="shared" si="14"/>
        <v>-5.4997923300567635</v>
      </c>
      <c r="F106" s="581">
        <f t="shared" si="15"/>
        <v>-7.4160732451678424</v>
      </c>
      <c r="G106" s="582">
        <f t="shared" si="16"/>
        <v>2.1031388492107093</v>
      </c>
    </row>
    <row r="107" spans="1:7" ht="16.5" hidden="1" customHeight="1" x14ac:dyDescent="0.25">
      <c r="A107" s="546">
        <v>2004</v>
      </c>
      <c r="B107" s="549" t="s">
        <v>26</v>
      </c>
      <c r="C107" s="584">
        <v>2.6543999999999999</v>
      </c>
      <c r="D107" s="580">
        <f t="shared" si="17"/>
        <v>-2.7799142951324129</v>
      </c>
      <c r="E107" s="580">
        <f t="shared" si="14"/>
        <v>-8.1268171120033372</v>
      </c>
      <c r="F107" s="581">
        <f t="shared" si="15"/>
        <v>-8.1268171120033372</v>
      </c>
      <c r="G107" s="582">
        <f t="shared" si="16"/>
        <v>2.1632760699216398</v>
      </c>
    </row>
    <row r="108" spans="1:7" ht="16.5" hidden="1" customHeight="1" x14ac:dyDescent="0.25">
      <c r="A108" s="546">
        <v>2005</v>
      </c>
      <c r="B108" s="549" t="s">
        <v>27</v>
      </c>
      <c r="C108" s="584">
        <v>2.6248</v>
      </c>
      <c r="D108" s="580">
        <f t="shared" si="17"/>
        <v>-1.1151295961422503</v>
      </c>
      <c r="E108" s="580">
        <f t="shared" ref="E108:E119" si="18">+((C108/C$107)-1)*100</f>
        <v>-1.1151295961422503</v>
      </c>
      <c r="F108" s="581">
        <f t="shared" ref="F108:F171" si="19">+((C108/C96-1)*100)</f>
        <v>-10.748410350572957</v>
      </c>
      <c r="G108" s="582">
        <f t="shared" si="16"/>
        <v>2.1876714416336482</v>
      </c>
    </row>
    <row r="109" spans="1:7" ht="16.5" hidden="1" customHeight="1" x14ac:dyDescent="0.25">
      <c r="A109" s="546">
        <v>2005</v>
      </c>
      <c r="B109" s="549" t="s">
        <v>28</v>
      </c>
      <c r="C109" s="584">
        <v>2.5950000000000002</v>
      </c>
      <c r="D109" s="580">
        <f t="shared" si="17"/>
        <v>-1.1353245961597036</v>
      </c>
      <c r="E109" s="580">
        <f t="shared" si="18"/>
        <v>-2.2377938517178952</v>
      </c>
      <c r="F109" s="581">
        <f t="shared" si="19"/>
        <v>-10.941039192806645</v>
      </c>
      <c r="G109" s="582">
        <f t="shared" si="16"/>
        <v>2.2127938342967246</v>
      </c>
    </row>
    <row r="110" spans="1:7" ht="16.5" hidden="1" customHeight="1" x14ac:dyDescent="0.25">
      <c r="A110" s="546">
        <v>2005</v>
      </c>
      <c r="B110" s="549" t="s">
        <v>29</v>
      </c>
      <c r="C110" s="584">
        <v>2.6661999999999999</v>
      </c>
      <c r="D110" s="580">
        <f t="shared" si="17"/>
        <v>2.7437379576107812</v>
      </c>
      <c r="E110" s="580">
        <f t="shared" si="18"/>
        <v>0.44454490657022117</v>
      </c>
      <c r="F110" s="581">
        <f t="shared" si="19"/>
        <v>-8.3339063466960077</v>
      </c>
      <c r="G110" s="582">
        <f t="shared" si="16"/>
        <v>2.153701897832121</v>
      </c>
    </row>
    <row r="111" spans="1:7" ht="16.5" hidden="1" customHeight="1" x14ac:dyDescent="0.25">
      <c r="A111" s="546">
        <v>2005</v>
      </c>
      <c r="B111" s="549" t="s">
        <v>30</v>
      </c>
      <c r="C111" s="584">
        <v>2.5312999999999999</v>
      </c>
      <c r="D111" s="580">
        <f t="shared" si="17"/>
        <v>-5.0596354362013374</v>
      </c>
      <c r="E111" s="580">
        <f t="shared" si="18"/>
        <v>-4.6375828812537652</v>
      </c>
      <c r="F111" s="581">
        <f t="shared" si="19"/>
        <v>-14.038781539715428</v>
      </c>
      <c r="G111" s="582">
        <f t="shared" si="16"/>
        <v>2.2684786473353618</v>
      </c>
    </row>
    <row r="112" spans="1:7" ht="16.5" hidden="1" customHeight="1" x14ac:dyDescent="0.25">
      <c r="A112" s="546">
        <v>2005</v>
      </c>
      <c r="B112" s="549" t="s">
        <v>31</v>
      </c>
      <c r="C112" s="584">
        <v>2.4089999999999998</v>
      </c>
      <c r="D112" s="580">
        <f t="shared" si="17"/>
        <v>-4.8315095010468934</v>
      </c>
      <c r="E112" s="580">
        <f t="shared" si="18"/>
        <v>-9.2450271247739639</v>
      </c>
      <c r="F112" s="581">
        <f t="shared" si="19"/>
        <v>-23.013006934901426</v>
      </c>
      <c r="G112" s="582">
        <f t="shared" si="16"/>
        <v>2.3836446658364472</v>
      </c>
    </row>
    <row r="113" spans="1:7" ht="16.5" hidden="1" customHeight="1" x14ac:dyDescent="0.25">
      <c r="A113" s="546">
        <v>2005</v>
      </c>
      <c r="B113" s="549" t="s">
        <v>32</v>
      </c>
      <c r="C113" s="584">
        <v>2.3504</v>
      </c>
      <c r="D113" s="580">
        <f t="shared" si="17"/>
        <v>-2.4325446243254389</v>
      </c>
      <c r="E113" s="580">
        <f t="shared" si="18"/>
        <v>-11.452682338758279</v>
      </c>
      <c r="F113" s="581">
        <f t="shared" si="19"/>
        <v>-24.363636363636367</v>
      </c>
      <c r="G113" s="582">
        <f t="shared" si="16"/>
        <v>2.443073519400953</v>
      </c>
    </row>
    <row r="114" spans="1:7" ht="16.5" hidden="1" customHeight="1" x14ac:dyDescent="0.25">
      <c r="A114" s="546">
        <v>2005</v>
      </c>
      <c r="B114" s="549" t="s">
        <v>19</v>
      </c>
      <c r="C114" s="584">
        <v>2.3904999999999998</v>
      </c>
      <c r="D114" s="580">
        <f t="shared" si="17"/>
        <v>1.7060925799863735</v>
      </c>
      <c r="E114" s="580">
        <f t="shared" si="18"/>
        <v>-9.9419831223628741</v>
      </c>
      <c r="F114" s="581">
        <f t="shared" si="19"/>
        <v>-21.022201665124896</v>
      </c>
      <c r="G114" s="582">
        <f t="shared" si="16"/>
        <v>2.4020916126333405</v>
      </c>
    </row>
    <row r="115" spans="1:7" ht="16.5" hidden="1" customHeight="1" x14ac:dyDescent="0.25">
      <c r="A115" s="546">
        <v>2005</v>
      </c>
      <c r="B115" s="549" t="s">
        <v>20</v>
      </c>
      <c r="C115" s="584">
        <v>2.3637000000000001</v>
      </c>
      <c r="D115" s="580">
        <f t="shared" si="17"/>
        <v>-1.1211043714703939</v>
      </c>
      <c r="E115" s="580">
        <f t="shared" si="18"/>
        <v>-10.951627486437598</v>
      </c>
      <c r="F115" s="581">
        <f t="shared" si="19"/>
        <v>-19.432135796577821</v>
      </c>
      <c r="G115" s="582">
        <f t="shared" si="16"/>
        <v>2.429326902737234</v>
      </c>
    </row>
    <row r="116" spans="1:7" ht="16.5" hidden="1" customHeight="1" x14ac:dyDescent="0.25">
      <c r="A116" s="546">
        <v>2005</v>
      </c>
      <c r="B116" s="549" t="s">
        <v>21</v>
      </c>
      <c r="C116" s="584">
        <v>2.2222</v>
      </c>
      <c r="D116" s="580">
        <f t="shared" si="17"/>
        <v>-5.9863772898422045</v>
      </c>
      <c r="E116" s="580">
        <f t="shared" si="18"/>
        <v>-16.282399035563589</v>
      </c>
      <c r="F116" s="581">
        <f t="shared" si="19"/>
        <v>-22.262646050514245</v>
      </c>
      <c r="G116" s="582">
        <f t="shared" si="16"/>
        <v>2.5840158401584019</v>
      </c>
    </row>
    <row r="117" spans="1:7" ht="16.5" hidden="1" customHeight="1" x14ac:dyDescent="0.25">
      <c r="A117" s="546">
        <v>2005</v>
      </c>
      <c r="B117" s="549" t="s">
        <v>22</v>
      </c>
      <c r="C117" s="584">
        <v>2.2543000000000002</v>
      </c>
      <c r="D117" s="580">
        <f t="shared" si="17"/>
        <v>1.4445144451444625</v>
      </c>
      <c r="E117" s="580">
        <f t="shared" si="18"/>
        <v>-15.073086196503905</v>
      </c>
      <c r="F117" s="581">
        <f t="shared" si="19"/>
        <v>-21.081743392263252</v>
      </c>
      <c r="G117" s="582">
        <f t="shared" si="16"/>
        <v>2.5472208667879164</v>
      </c>
    </row>
    <row r="118" spans="1:7" ht="16.5" hidden="1" customHeight="1" x14ac:dyDescent="0.25">
      <c r="A118" s="546">
        <v>2005</v>
      </c>
      <c r="B118" s="549" t="s">
        <v>23</v>
      </c>
      <c r="C118" s="584">
        <v>2.2069999999999999</v>
      </c>
      <c r="D118" s="580">
        <f t="shared" si="17"/>
        <v>-2.0982123053719715</v>
      </c>
      <c r="E118" s="580">
        <f t="shared" si="18"/>
        <v>-16.855033152501509</v>
      </c>
      <c r="F118" s="581">
        <f t="shared" si="19"/>
        <v>-19.166391971578221</v>
      </c>
      <c r="G118" s="582">
        <f t="shared" si="16"/>
        <v>2.6018124150430451</v>
      </c>
    </row>
    <row r="119" spans="1:7" ht="16.5" hidden="1" customHeight="1" x14ac:dyDescent="0.25">
      <c r="A119" s="546">
        <v>2005</v>
      </c>
      <c r="B119" s="549" t="s">
        <v>12</v>
      </c>
      <c r="C119" s="584">
        <v>2.3407</v>
      </c>
      <c r="D119" s="580">
        <f t="shared" si="17"/>
        <v>6.0579972813774363</v>
      </c>
      <c r="E119" s="580">
        <f t="shared" si="18"/>
        <v>-11.818113321277879</v>
      </c>
      <c r="F119" s="581">
        <f t="shared" si="19"/>
        <v>-11.818113321277879</v>
      </c>
      <c r="G119" s="582">
        <f t="shared" si="16"/>
        <v>2.4531977613534415</v>
      </c>
    </row>
    <row r="120" spans="1:7" ht="16.5" hidden="1" customHeight="1" x14ac:dyDescent="0.25">
      <c r="A120" s="546">
        <v>2006</v>
      </c>
      <c r="B120" s="549" t="s">
        <v>13</v>
      </c>
      <c r="C120" s="584">
        <v>2.2160000000000002</v>
      </c>
      <c r="D120" s="580">
        <f t="shared" si="17"/>
        <v>-5.327466142606907</v>
      </c>
      <c r="E120" s="580">
        <f t="shared" ref="E120:E131" si="20">+((C120/C$119)-1)*100</f>
        <v>-5.327466142606907</v>
      </c>
      <c r="F120" s="581">
        <f t="shared" si="19"/>
        <v>-15.574519963425782</v>
      </c>
      <c r="G120" s="582">
        <f t="shared" si="16"/>
        <v>2.5912454873646209</v>
      </c>
    </row>
    <row r="121" spans="1:7" ht="16.5" hidden="1" customHeight="1" x14ac:dyDescent="0.25">
      <c r="A121" s="546">
        <v>2006</v>
      </c>
      <c r="B121" s="549" t="s">
        <v>14</v>
      </c>
      <c r="C121" s="584">
        <v>2.1355</v>
      </c>
      <c r="D121" s="580">
        <f t="shared" si="17"/>
        <v>-3.6326714801444115</v>
      </c>
      <c r="E121" s="580">
        <f t="shared" si="20"/>
        <v>-8.7666082795744842</v>
      </c>
      <c r="F121" s="581">
        <f t="shared" si="19"/>
        <v>-17.707129094412345</v>
      </c>
      <c r="G121" s="582">
        <f t="shared" si="16"/>
        <v>2.688925310231796</v>
      </c>
    </row>
    <row r="122" spans="1:7" ht="16.5" hidden="1" customHeight="1" x14ac:dyDescent="0.25">
      <c r="A122" s="546">
        <v>2006</v>
      </c>
      <c r="B122" s="549" t="s">
        <v>29</v>
      </c>
      <c r="C122" s="584">
        <v>2.1724000000000001</v>
      </c>
      <c r="D122" s="580">
        <f t="shared" si="17"/>
        <v>1.7279325684851354</v>
      </c>
      <c r="E122" s="580">
        <f t="shared" si="20"/>
        <v>-7.1901567907036279</v>
      </c>
      <c r="F122" s="581">
        <f t="shared" si="19"/>
        <v>-18.520741129697694</v>
      </c>
      <c r="G122" s="582">
        <f t="shared" si="16"/>
        <v>2.6432517031854172</v>
      </c>
    </row>
    <row r="123" spans="1:7" ht="16.5" hidden="1" customHeight="1" x14ac:dyDescent="0.25">
      <c r="A123" s="546">
        <v>2006</v>
      </c>
      <c r="B123" s="549" t="s">
        <v>30</v>
      </c>
      <c r="C123" s="584">
        <v>2.0891999999999999</v>
      </c>
      <c r="D123" s="580">
        <f t="shared" si="17"/>
        <v>-3.8298655864481779</v>
      </c>
      <c r="E123" s="580">
        <f t="shared" si="20"/>
        <v>-10.744649036612985</v>
      </c>
      <c r="F123" s="581">
        <f t="shared" si="19"/>
        <v>-17.465334018093472</v>
      </c>
      <c r="G123" s="582">
        <f t="shared" si="16"/>
        <v>2.7485161784415091</v>
      </c>
    </row>
    <row r="124" spans="1:7" ht="16.5" hidden="1" customHeight="1" x14ac:dyDescent="0.25">
      <c r="A124" s="546">
        <v>2006</v>
      </c>
      <c r="B124" s="549" t="s">
        <v>31</v>
      </c>
      <c r="C124" s="584">
        <v>2.3005</v>
      </c>
      <c r="D124" s="580">
        <f t="shared" si="17"/>
        <v>10.113919203522892</v>
      </c>
      <c r="E124" s="580">
        <f t="shared" si="20"/>
        <v>-1.7174349553552348</v>
      </c>
      <c r="F124" s="581">
        <f t="shared" si="19"/>
        <v>-4.5039435450394238</v>
      </c>
      <c r="G124" s="582">
        <f t="shared" si="16"/>
        <v>2.4960660725929147</v>
      </c>
    </row>
    <row r="125" spans="1:7" ht="16.5" hidden="1" customHeight="1" x14ac:dyDescent="0.25">
      <c r="A125" s="546">
        <v>2006</v>
      </c>
      <c r="B125" s="549" t="s">
        <v>32</v>
      </c>
      <c r="C125" s="584">
        <v>2.1642999999999999</v>
      </c>
      <c r="D125" s="580">
        <f t="shared" si="17"/>
        <v>-5.9204520756357404</v>
      </c>
      <c r="E125" s="580">
        <f t="shared" si="20"/>
        <v>-7.5362071175289476</v>
      </c>
      <c r="F125" s="581">
        <f t="shared" si="19"/>
        <v>-7.917801225323351</v>
      </c>
      <c r="G125" s="582">
        <f t="shared" si="16"/>
        <v>2.653144203668623</v>
      </c>
    </row>
    <row r="126" spans="1:7" ht="16.5" hidden="1" customHeight="1" x14ac:dyDescent="0.25">
      <c r="A126" s="546">
        <v>2006</v>
      </c>
      <c r="B126" s="549" t="s">
        <v>33</v>
      </c>
      <c r="C126" s="584">
        <v>2.1762000000000001</v>
      </c>
      <c r="D126" s="580">
        <f t="shared" si="17"/>
        <v>0.54983135424850893</v>
      </c>
      <c r="E126" s="580">
        <f t="shared" si="20"/>
        <v>-7.0278121929337356</v>
      </c>
      <c r="F126" s="581">
        <f t="shared" si="19"/>
        <v>-8.9646517464965321</v>
      </c>
      <c r="G126" s="582">
        <f t="shared" si="16"/>
        <v>2.6386361547651869</v>
      </c>
    </row>
    <row r="127" spans="1:7" ht="16.5" hidden="1" customHeight="1" x14ac:dyDescent="0.25">
      <c r="A127" s="546">
        <v>2006</v>
      </c>
      <c r="B127" s="549" t="s">
        <v>34</v>
      </c>
      <c r="C127" s="584">
        <v>2.1387999999999998</v>
      </c>
      <c r="D127" s="580">
        <f t="shared" si="17"/>
        <v>-1.7185920411727063</v>
      </c>
      <c r="E127" s="580">
        <f t="shared" si="20"/>
        <v>-8.6256248130901056</v>
      </c>
      <c r="F127" s="581">
        <f t="shared" si="19"/>
        <v>-9.5147438338198711</v>
      </c>
      <c r="G127" s="582">
        <f t="shared" si="16"/>
        <v>2.684776510192632</v>
      </c>
    </row>
    <row r="128" spans="1:7" ht="16.5" hidden="1" customHeight="1" x14ac:dyDescent="0.25">
      <c r="A128" s="546">
        <v>2006</v>
      </c>
      <c r="B128" s="549" t="s">
        <v>36</v>
      </c>
      <c r="C128" s="584">
        <v>2.1741999999999999</v>
      </c>
      <c r="D128" s="580">
        <f t="shared" si="17"/>
        <v>1.6551337198429161</v>
      </c>
      <c r="E128" s="580">
        <f t="shared" si="20"/>
        <v>-7.1132567180757889</v>
      </c>
      <c r="F128" s="581">
        <f t="shared" si="19"/>
        <v>-2.160021600216</v>
      </c>
      <c r="G128" s="582">
        <f t="shared" ref="G128:G159" si="21">+$C$350/C128</f>
        <v>2.6410633796338887</v>
      </c>
    </row>
    <row r="129" spans="1:7" ht="16.5" hidden="1" customHeight="1" x14ac:dyDescent="0.25">
      <c r="A129" s="546">
        <v>2006</v>
      </c>
      <c r="B129" s="549" t="s">
        <v>35</v>
      </c>
      <c r="C129" s="584">
        <v>2.1429999999999998</v>
      </c>
      <c r="D129" s="580">
        <f t="shared" si="17"/>
        <v>-1.4350105786036349</v>
      </c>
      <c r="E129" s="580">
        <f t="shared" si="20"/>
        <v>-8.4461913102918054</v>
      </c>
      <c r="F129" s="581">
        <f t="shared" si="19"/>
        <v>-4.9372310695116166</v>
      </c>
      <c r="G129" s="582">
        <f t="shared" si="21"/>
        <v>2.6795146990200656</v>
      </c>
    </row>
    <row r="130" spans="1:7" ht="16.5" hidden="1" customHeight="1" x14ac:dyDescent="0.25">
      <c r="A130" s="546">
        <v>2006</v>
      </c>
      <c r="B130" s="549" t="s">
        <v>25</v>
      </c>
      <c r="C130" s="584">
        <v>2.1667999999999998</v>
      </c>
      <c r="D130" s="580">
        <f t="shared" si="17"/>
        <v>1.1105926271582023</v>
      </c>
      <c r="E130" s="580">
        <f t="shared" si="20"/>
        <v>-7.4294014611013814</v>
      </c>
      <c r="F130" s="581">
        <f t="shared" si="19"/>
        <v>-1.8214771182600842</v>
      </c>
      <c r="G130" s="582">
        <f t="shared" si="21"/>
        <v>2.650083071810966</v>
      </c>
    </row>
    <row r="131" spans="1:7" ht="16.5" hidden="1" customHeight="1" x14ac:dyDescent="0.25">
      <c r="A131" s="546">
        <v>2006</v>
      </c>
      <c r="B131" s="549" t="s">
        <v>26</v>
      </c>
      <c r="C131" s="584">
        <v>2.137</v>
      </c>
      <c r="D131" s="580">
        <f t="shared" si="17"/>
        <v>-1.3752999815395905</v>
      </c>
      <c r="E131" s="580">
        <f t="shared" si="20"/>
        <v>-8.7025248857179438</v>
      </c>
      <c r="F131" s="581">
        <f t="shared" si="19"/>
        <v>-8.7025248857179438</v>
      </c>
      <c r="G131" s="582">
        <f t="shared" si="21"/>
        <v>2.6870379036031822</v>
      </c>
    </row>
    <row r="132" spans="1:7" ht="16.5" hidden="1" customHeight="1" x14ac:dyDescent="0.25">
      <c r="A132" s="546">
        <v>2007</v>
      </c>
      <c r="B132" s="549" t="s">
        <v>27</v>
      </c>
      <c r="C132" s="584">
        <v>2.1246999999999998</v>
      </c>
      <c r="D132" s="580">
        <f t="shared" si="17"/>
        <v>-0.5755732335049224</v>
      </c>
      <c r="E132" s="580">
        <f t="shared" ref="E132:E140" si="22">+((C132/C$131)-1)*100</f>
        <v>-0.5755732335049224</v>
      </c>
      <c r="F132" s="581">
        <f t="shared" si="19"/>
        <v>-4.1200361010830466</v>
      </c>
      <c r="G132" s="582">
        <f t="shared" si="21"/>
        <v>2.7025933072904413</v>
      </c>
    </row>
    <row r="133" spans="1:7" ht="16.5" hidden="1" customHeight="1" x14ac:dyDescent="0.25">
      <c r="A133" s="546">
        <v>2007</v>
      </c>
      <c r="B133" s="549" t="s">
        <v>28</v>
      </c>
      <c r="C133" s="584">
        <v>2.1181999999999999</v>
      </c>
      <c r="D133" s="580">
        <f t="shared" si="17"/>
        <v>-0.3059255424295193</v>
      </c>
      <c r="E133" s="580">
        <f t="shared" si="22"/>
        <v>-0.87973795039776315</v>
      </c>
      <c r="F133" s="581">
        <f t="shared" si="19"/>
        <v>-0.81011472723016009</v>
      </c>
      <c r="G133" s="582">
        <f t="shared" si="21"/>
        <v>2.7108866018317443</v>
      </c>
    </row>
    <row r="134" spans="1:7" ht="16.5" hidden="1" customHeight="1" x14ac:dyDescent="0.25">
      <c r="A134" s="546">
        <v>2007</v>
      </c>
      <c r="B134" s="549" t="s">
        <v>29</v>
      </c>
      <c r="C134" s="584">
        <v>2.0503999999999998</v>
      </c>
      <c r="D134" s="580">
        <f t="shared" si="17"/>
        <v>-3.2008308941554153</v>
      </c>
      <c r="E134" s="580">
        <f t="shared" si="22"/>
        <v>-4.0524099204492403</v>
      </c>
      <c r="F134" s="581">
        <f t="shared" si="19"/>
        <v>-5.6159086724360314</v>
      </c>
      <c r="G134" s="582">
        <f t="shared" si="21"/>
        <v>2.8005267264923921</v>
      </c>
    </row>
    <row r="135" spans="1:7" ht="16.5" hidden="1" customHeight="1" x14ac:dyDescent="0.25">
      <c r="A135" s="546">
        <v>2007</v>
      </c>
      <c r="B135" s="549" t="s">
        <v>30</v>
      </c>
      <c r="C135" s="584">
        <v>2.0339</v>
      </c>
      <c r="D135" s="580">
        <f t="shared" si="17"/>
        <v>-0.80472103004290974</v>
      </c>
      <c r="E135" s="580">
        <f t="shared" si="22"/>
        <v>-4.8245203556387395</v>
      </c>
      <c r="F135" s="581">
        <f t="shared" si="19"/>
        <v>-2.6469461995021981</v>
      </c>
      <c r="G135" s="582">
        <f t="shared" si="21"/>
        <v>2.8232459806283496</v>
      </c>
    </row>
    <row r="136" spans="1:7" ht="16.5" hidden="1" customHeight="1" x14ac:dyDescent="0.25">
      <c r="A136" s="546">
        <v>2007</v>
      </c>
      <c r="B136" s="549" t="s">
        <v>31</v>
      </c>
      <c r="C136" s="584">
        <v>1.9298</v>
      </c>
      <c r="D136" s="580">
        <f t="shared" si="17"/>
        <v>-5.1182457347952237</v>
      </c>
      <c r="E136" s="580">
        <f t="shared" si="22"/>
        <v>-9.6958352831071579</v>
      </c>
      <c r="F136" s="581">
        <f t="shared" si="19"/>
        <v>-16.113888285155397</v>
      </c>
      <c r="G136" s="582">
        <f t="shared" si="21"/>
        <v>2.975541506891906</v>
      </c>
    </row>
    <row r="137" spans="1:7" ht="16.5" hidden="1" customHeight="1" x14ac:dyDescent="0.25">
      <c r="A137" s="546">
        <v>2007</v>
      </c>
      <c r="B137" s="549" t="s">
        <v>32</v>
      </c>
      <c r="C137" s="584">
        <v>1.9259999999999999</v>
      </c>
      <c r="D137" s="580">
        <f t="shared" si="17"/>
        <v>-0.19691159705669259</v>
      </c>
      <c r="E137" s="580">
        <f t="shared" si="22"/>
        <v>-9.8736546560599052</v>
      </c>
      <c r="F137" s="581">
        <f t="shared" si="19"/>
        <v>-11.010488379614658</v>
      </c>
      <c r="G137" s="582">
        <f t="shared" si="21"/>
        <v>2.9814122533748706</v>
      </c>
    </row>
    <row r="138" spans="1:7" ht="16.5" hidden="1" customHeight="1" x14ac:dyDescent="0.25">
      <c r="A138" s="546">
        <v>2007</v>
      </c>
      <c r="B138" s="549" t="s">
        <v>33</v>
      </c>
      <c r="C138" s="584">
        <v>1.883</v>
      </c>
      <c r="D138" s="580">
        <f t="shared" si="17"/>
        <v>-2.2326064382139132</v>
      </c>
      <c r="E138" s="580">
        <f t="shared" si="22"/>
        <v>-11.885821244735606</v>
      </c>
      <c r="F138" s="581">
        <f t="shared" si="19"/>
        <v>-13.473026376252184</v>
      </c>
      <c r="G138" s="582">
        <f t="shared" si="21"/>
        <v>3.0494954859267129</v>
      </c>
    </row>
    <row r="139" spans="1:7" ht="16.5" hidden="1" customHeight="1" x14ac:dyDescent="0.25">
      <c r="A139" s="546">
        <v>2007</v>
      </c>
      <c r="B139" s="549" t="s">
        <v>34</v>
      </c>
      <c r="C139" s="584">
        <v>1.964</v>
      </c>
      <c r="D139" s="580">
        <f t="shared" si="17"/>
        <v>4.3016463090812529</v>
      </c>
      <c r="E139" s="580">
        <f t="shared" si="22"/>
        <v>-8.0954609265325281</v>
      </c>
      <c r="F139" s="581">
        <f t="shared" si="19"/>
        <v>-8.1728071815971521</v>
      </c>
      <c r="G139" s="582">
        <f t="shared" si="21"/>
        <v>2.923727087576375</v>
      </c>
    </row>
    <row r="140" spans="1:7" ht="16.5" hidden="1" customHeight="1" x14ac:dyDescent="0.25">
      <c r="A140" s="546">
        <v>2007</v>
      </c>
      <c r="B140" s="549" t="s">
        <v>36</v>
      </c>
      <c r="C140" s="584">
        <v>1.8340000000000001</v>
      </c>
      <c r="D140" s="580">
        <f t="shared" si="17"/>
        <v>-6.619144602851323</v>
      </c>
      <c r="E140" s="580">
        <f t="shared" si="22"/>
        <v>-14.178755264389331</v>
      </c>
      <c r="F140" s="581">
        <f t="shared" si="19"/>
        <v>-15.647134578235667</v>
      </c>
      <c r="G140" s="582">
        <f t="shared" si="21"/>
        <v>3.1309705561613961</v>
      </c>
    </row>
    <row r="141" spans="1:7" ht="16.5" hidden="1" customHeight="1" x14ac:dyDescent="0.25">
      <c r="A141" s="546">
        <v>2007</v>
      </c>
      <c r="B141" s="549" t="s">
        <v>35</v>
      </c>
      <c r="C141" s="584">
        <v>1.7370000000000001</v>
      </c>
      <c r="D141" s="580">
        <f t="shared" si="17"/>
        <v>-5.2889858233369669</v>
      </c>
      <c r="E141" s="580">
        <f>+((C141/C$131)-1)*100</f>
        <v>-18.717828731867105</v>
      </c>
      <c r="F141" s="581">
        <f t="shared" si="19"/>
        <v>-18.945403639757341</v>
      </c>
      <c r="G141" s="582">
        <f t="shared" si="21"/>
        <v>3.3058146229130685</v>
      </c>
    </row>
    <row r="142" spans="1:7" ht="16.5" hidden="1" customHeight="1" x14ac:dyDescent="0.25">
      <c r="A142" s="546">
        <v>2007</v>
      </c>
      <c r="B142" s="549" t="s">
        <v>25</v>
      </c>
      <c r="C142" s="584">
        <v>1.7929999999999999</v>
      </c>
      <c r="D142" s="580">
        <f t="shared" si="17"/>
        <v>3.2239493379389694</v>
      </c>
      <c r="E142" s="580">
        <f>+((C142/C$131)-1)*100</f>
        <v>-16.097332709405709</v>
      </c>
      <c r="F142" s="581">
        <f t="shared" si="19"/>
        <v>-17.251246077164485</v>
      </c>
      <c r="G142" s="582">
        <f t="shared" si="21"/>
        <v>3.2025655326268825</v>
      </c>
    </row>
    <row r="143" spans="1:7" ht="16.5" hidden="1" customHeight="1" x14ac:dyDescent="0.25">
      <c r="A143" s="546">
        <v>2007</v>
      </c>
      <c r="B143" s="549" t="s">
        <v>26</v>
      </c>
      <c r="C143" s="584">
        <v>1.7713000000000001</v>
      </c>
      <c r="D143" s="580">
        <f t="shared" si="17"/>
        <v>-1.2102621305075223</v>
      </c>
      <c r="E143" s="580">
        <f>+((C143/C$131)-1)*100</f>
        <v>-17.112774918109498</v>
      </c>
      <c r="F143" s="581">
        <f t="shared" si="19"/>
        <v>-17.112774918109498</v>
      </c>
      <c r="G143" s="582">
        <f t="shared" si="21"/>
        <v>3.2417998080505845</v>
      </c>
    </row>
    <row r="144" spans="1:7" ht="16.5" hidden="1" customHeight="1" x14ac:dyDescent="0.25">
      <c r="A144" s="546">
        <v>2008</v>
      </c>
      <c r="B144" s="549" t="s">
        <v>27</v>
      </c>
      <c r="C144" s="584">
        <v>1.7609999999999999</v>
      </c>
      <c r="D144" s="580">
        <f t="shared" si="17"/>
        <v>-0.58149381809970979</v>
      </c>
      <c r="E144" s="580">
        <f t="shared" ref="E144:E155" si="23">+((C144/C$143)-1)*100</f>
        <v>-0.58149381809970979</v>
      </c>
      <c r="F144" s="581">
        <f t="shared" si="19"/>
        <v>-17.117710735633263</v>
      </c>
      <c r="G144" s="582">
        <f t="shared" si="21"/>
        <v>3.2607609312890409</v>
      </c>
    </row>
    <row r="145" spans="1:7" ht="16.5" hidden="1" customHeight="1" x14ac:dyDescent="0.25">
      <c r="A145" s="546">
        <v>2008</v>
      </c>
      <c r="B145" s="549" t="s">
        <v>28</v>
      </c>
      <c r="C145" s="584">
        <v>1.6919999999999999</v>
      </c>
      <c r="D145" s="580">
        <f t="shared" si="17"/>
        <v>-3.918228279386704</v>
      </c>
      <c r="E145" s="580">
        <f t="shared" si="23"/>
        <v>-4.4769378422627515</v>
      </c>
      <c r="F145" s="581">
        <f t="shared" si="19"/>
        <v>-20.120857331696719</v>
      </c>
      <c r="G145" s="582">
        <f t="shared" si="21"/>
        <v>3.3937352245862886</v>
      </c>
    </row>
    <row r="146" spans="1:7" ht="16.5" hidden="1" customHeight="1" x14ac:dyDescent="0.25">
      <c r="A146" s="546">
        <v>2008</v>
      </c>
      <c r="B146" s="549" t="s">
        <v>29</v>
      </c>
      <c r="C146" s="584">
        <v>1.7529999999999999</v>
      </c>
      <c r="D146" s="580">
        <f t="shared" si="17"/>
        <v>3.6052009456264633</v>
      </c>
      <c r="E146" s="580">
        <f t="shared" si="23"/>
        <v>-1.0331395020606426</v>
      </c>
      <c r="F146" s="581">
        <f t="shared" si="19"/>
        <v>-14.504486929379635</v>
      </c>
      <c r="G146" s="582">
        <f t="shared" si="21"/>
        <v>3.275641756988021</v>
      </c>
    </row>
    <row r="147" spans="1:7" ht="16.5" hidden="1" customHeight="1" x14ac:dyDescent="0.25">
      <c r="A147" s="546">
        <v>2008</v>
      </c>
      <c r="B147" s="549" t="s">
        <v>30</v>
      </c>
      <c r="C147" s="584">
        <v>1.663</v>
      </c>
      <c r="D147" s="580">
        <f t="shared" si="17"/>
        <v>-5.1340559041642813</v>
      </c>
      <c r="E147" s="580">
        <f t="shared" si="23"/>
        <v>-6.1141534466211294</v>
      </c>
      <c r="F147" s="581">
        <f t="shared" si="19"/>
        <v>-18.235901470082105</v>
      </c>
      <c r="G147" s="582">
        <f t="shared" si="21"/>
        <v>3.4529164161154542</v>
      </c>
    </row>
    <row r="148" spans="1:7" ht="16.5" hidden="1" customHeight="1" x14ac:dyDescent="0.25">
      <c r="A148" s="546">
        <v>2008</v>
      </c>
      <c r="B148" s="549" t="s">
        <v>31</v>
      </c>
      <c r="C148" s="584">
        <v>1.6279999999999999</v>
      </c>
      <c r="D148" s="580">
        <f t="shared" si="17"/>
        <v>-2.1046301864101058</v>
      </c>
      <c r="E148" s="580">
        <f t="shared" si="23"/>
        <v>-8.0901033139502143</v>
      </c>
      <c r="F148" s="581">
        <f t="shared" si="19"/>
        <v>-15.638926313607627</v>
      </c>
      <c r="G148" s="582">
        <f t="shared" si="21"/>
        <v>3.5271498771498777</v>
      </c>
    </row>
    <row r="149" spans="1:7" ht="16.5" hidden="1" customHeight="1" x14ac:dyDescent="0.25">
      <c r="A149" s="546">
        <v>2008</v>
      </c>
      <c r="B149" s="549" t="s">
        <v>32</v>
      </c>
      <c r="C149" s="584">
        <v>1.597</v>
      </c>
      <c r="D149" s="580">
        <f t="shared" si="17"/>
        <v>-1.9041769041769019</v>
      </c>
      <c r="E149" s="580">
        <f t="shared" si="23"/>
        <v>-9.8402303392988273</v>
      </c>
      <c r="F149" s="581">
        <f t="shared" si="19"/>
        <v>-17.082035306334376</v>
      </c>
      <c r="G149" s="582">
        <f t="shared" si="21"/>
        <v>3.5956167814652478</v>
      </c>
    </row>
    <row r="150" spans="1:7" ht="16.5" hidden="1" customHeight="1" x14ac:dyDescent="0.25">
      <c r="A150" s="546">
        <v>2008</v>
      </c>
      <c r="B150" s="549" t="s">
        <v>33</v>
      </c>
      <c r="C150" s="584">
        <v>1.5629999999999999</v>
      </c>
      <c r="D150" s="580">
        <f t="shared" si="17"/>
        <v>-2.1289918597370061</v>
      </c>
      <c r="E150" s="580">
        <f t="shared" si="23"/>
        <v>-11.759724496132796</v>
      </c>
      <c r="F150" s="581">
        <f t="shared" si="19"/>
        <v>-16.994158258098778</v>
      </c>
      <c r="G150" s="582">
        <f t="shared" si="21"/>
        <v>3.6738323736404355</v>
      </c>
    </row>
    <row r="151" spans="1:7" ht="16.5" hidden="1" customHeight="1" x14ac:dyDescent="0.25">
      <c r="A151" s="546">
        <v>2008</v>
      </c>
      <c r="B151" s="549" t="s">
        <v>34</v>
      </c>
      <c r="C151" s="584">
        <v>1.633</v>
      </c>
      <c r="D151" s="580">
        <f t="shared" si="17"/>
        <v>4.4785668586052596</v>
      </c>
      <c r="E151" s="580">
        <f t="shared" si="23"/>
        <v>-7.8078247614746239</v>
      </c>
      <c r="F151" s="581">
        <f t="shared" si="19"/>
        <v>-16.853360488798362</v>
      </c>
      <c r="G151" s="582">
        <f t="shared" si="21"/>
        <v>3.5163502755664422</v>
      </c>
    </row>
    <row r="152" spans="1:7" ht="16.5" hidden="1" customHeight="1" x14ac:dyDescent="0.25">
      <c r="A152" s="546">
        <v>2008</v>
      </c>
      <c r="B152" s="549" t="s">
        <v>36</v>
      </c>
      <c r="C152" s="584">
        <v>1.9059999999999999</v>
      </c>
      <c r="D152" s="580">
        <f>((C152/C151)-1)*100</f>
        <v>16.717697489283513</v>
      </c>
      <c r="E152" s="580">
        <f t="shared" si="23"/>
        <v>7.6045842036921885</v>
      </c>
      <c r="F152" s="581">
        <f t="shared" si="19"/>
        <v>3.9258451472191869</v>
      </c>
      <c r="G152" s="582">
        <f t="shared" si="21"/>
        <v>3.0126967471143762</v>
      </c>
    </row>
    <row r="153" spans="1:7" ht="16.5" hidden="1" customHeight="1" x14ac:dyDescent="0.25">
      <c r="A153" s="546">
        <v>2008</v>
      </c>
      <c r="B153" s="549" t="s">
        <v>35</v>
      </c>
      <c r="C153" s="584">
        <v>2.1560000000000001</v>
      </c>
      <c r="D153" s="580">
        <f t="shared" si="17"/>
        <v>13.116474291710389</v>
      </c>
      <c r="E153" s="580">
        <f t="shared" si="23"/>
        <v>21.718511827471353</v>
      </c>
      <c r="F153" s="581">
        <f t="shared" si="19"/>
        <v>24.122049510650555</v>
      </c>
      <c r="G153" s="582">
        <f t="shared" si="21"/>
        <v>2.6633580705009279</v>
      </c>
    </row>
    <row r="154" spans="1:7" ht="16.5" hidden="1" customHeight="1" x14ac:dyDescent="0.25">
      <c r="A154" s="546">
        <v>2008</v>
      </c>
      <c r="B154" s="549" t="s">
        <v>25</v>
      </c>
      <c r="C154" s="584">
        <v>2.3149999999999999</v>
      </c>
      <c r="D154" s="580">
        <f t="shared" si="17"/>
        <v>7.3747680890537959</v>
      </c>
      <c r="E154" s="580">
        <f t="shared" si="23"/>
        <v>30.694969796194883</v>
      </c>
      <c r="F154" s="581">
        <f t="shared" si="19"/>
        <v>29.113218070273295</v>
      </c>
      <c r="G154" s="582">
        <f t="shared" si="21"/>
        <v>2.4804319654427647</v>
      </c>
    </row>
    <row r="155" spans="1:7" ht="16.5" hidden="1" customHeight="1" x14ac:dyDescent="0.25">
      <c r="A155" s="546">
        <v>2008</v>
      </c>
      <c r="B155" s="549" t="s">
        <v>26</v>
      </c>
      <c r="C155" s="584">
        <v>2.3330000000000002</v>
      </c>
      <c r="D155" s="580">
        <f t="shared" si="17"/>
        <v>0.77753779697624648</v>
      </c>
      <c r="E155" s="580">
        <f t="shared" si="23"/>
        <v>31.711172585106983</v>
      </c>
      <c r="F155" s="581">
        <f t="shared" si="19"/>
        <v>31.711172585106983</v>
      </c>
      <c r="G155" s="582">
        <f t="shared" si="21"/>
        <v>2.4612944706386628</v>
      </c>
    </row>
    <row r="156" spans="1:7" ht="16.5" hidden="1" customHeight="1" x14ac:dyDescent="0.25">
      <c r="A156" s="546">
        <v>2009</v>
      </c>
      <c r="B156" s="549" t="s">
        <v>27</v>
      </c>
      <c r="C156" s="584">
        <v>2.3140000000000001</v>
      </c>
      <c r="D156" s="580">
        <f t="shared" si="17"/>
        <v>-0.81440205743678051</v>
      </c>
      <c r="E156" s="580">
        <f t="shared" ref="E156:E167" si="24">+((C156/C$155-1)*100)</f>
        <v>-0.81440205743678051</v>
      </c>
      <c r="F156" s="581">
        <f t="shared" si="19"/>
        <v>31.402612152186272</v>
      </c>
      <c r="G156" s="582">
        <f t="shared" si="21"/>
        <v>2.481503889369058</v>
      </c>
    </row>
    <row r="157" spans="1:7" ht="16.5" hidden="1" customHeight="1" x14ac:dyDescent="0.25">
      <c r="A157" s="546">
        <v>2009</v>
      </c>
      <c r="B157" s="549" t="s">
        <v>28</v>
      </c>
      <c r="C157" s="584">
        <v>2.371</v>
      </c>
      <c r="D157" s="580">
        <f t="shared" si="17"/>
        <v>2.4632670700086345</v>
      </c>
      <c r="E157" s="580">
        <f t="shared" si="24"/>
        <v>1.6288041148735388</v>
      </c>
      <c r="F157" s="581">
        <f t="shared" si="19"/>
        <v>40.130023640661939</v>
      </c>
      <c r="G157" s="582">
        <f t="shared" si="21"/>
        <v>2.4218473218051457</v>
      </c>
    </row>
    <row r="158" spans="1:7" ht="16.5" hidden="1" customHeight="1" x14ac:dyDescent="0.25">
      <c r="A158" s="546">
        <v>2009</v>
      </c>
      <c r="B158" s="549" t="s">
        <v>29</v>
      </c>
      <c r="C158" s="584">
        <v>2.3180000000000001</v>
      </c>
      <c r="D158" s="580">
        <f t="shared" si="17"/>
        <v>-2.2353437368199058</v>
      </c>
      <c r="E158" s="580">
        <f t="shared" si="24"/>
        <v>-0.64294899271325479</v>
      </c>
      <c r="F158" s="581">
        <f t="shared" si="19"/>
        <v>32.230462065031396</v>
      </c>
      <c r="G158" s="582">
        <f t="shared" si="21"/>
        <v>2.4772217428817949</v>
      </c>
    </row>
    <row r="159" spans="1:7" ht="16.5" hidden="1" customHeight="1" x14ac:dyDescent="0.25">
      <c r="A159" s="546">
        <v>2009</v>
      </c>
      <c r="B159" s="549" t="s">
        <v>30</v>
      </c>
      <c r="C159" s="584">
        <v>2.1783000000000001</v>
      </c>
      <c r="D159" s="580">
        <f t="shared" si="17"/>
        <v>-6.0267471958584951</v>
      </c>
      <c r="E159" s="580">
        <f t="shared" si="24"/>
        <v>-6.6309472781825978</v>
      </c>
      <c r="F159" s="581">
        <f t="shared" si="19"/>
        <v>30.986169573060728</v>
      </c>
      <c r="G159" s="582">
        <f t="shared" si="21"/>
        <v>2.6360923656062067</v>
      </c>
    </row>
    <row r="160" spans="1:7" ht="16.5" hidden="1" customHeight="1" x14ac:dyDescent="0.25">
      <c r="A160" s="546">
        <v>2009</v>
      </c>
      <c r="B160" s="549" t="s">
        <v>31</v>
      </c>
      <c r="C160" s="584">
        <v>1.9750000000000001</v>
      </c>
      <c r="D160" s="580">
        <f t="shared" si="17"/>
        <v>-9.3329660744617353</v>
      </c>
      <c r="E160" s="580">
        <f t="shared" si="24"/>
        <v>-15.345049292756109</v>
      </c>
      <c r="F160" s="581">
        <f t="shared" si="19"/>
        <v>21.314496314496335</v>
      </c>
      <c r="G160" s="582">
        <f t="shared" ref="G160:G182" si="25">+$C$350/C160</f>
        <v>2.9074430379746836</v>
      </c>
    </row>
    <row r="161" spans="1:7" ht="16.5" hidden="1" customHeight="1" x14ac:dyDescent="0.25">
      <c r="A161" s="546">
        <v>2009</v>
      </c>
      <c r="B161" s="549" t="s">
        <v>32</v>
      </c>
      <c r="C161" s="584">
        <v>1.92</v>
      </c>
      <c r="D161" s="580">
        <f t="shared" ref="D161:D224" si="26">((C161/C160)-1)*100</f>
        <v>-2.7848101265822822</v>
      </c>
      <c r="E161" s="580">
        <f t="shared" si="24"/>
        <v>-17.702528932704688</v>
      </c>
      <c r="F161" s="581">
        <f t="shared" si="19"/>
        <v>20.225422667501558</v>
      </c>
      <c r="G161" s="582">
        <f t="shared" si="25"/>
        <v>2.9907291666666671</v>
      </c>
    </row>
    <row r="162" spans="1:7" ht="16.5" hidden="1" customHeight="1" x14ac:dyDescent="0.25">
      <c r="A162" s="546">
        <v>2009</v>
      </c>
      <c r="B162" s="549" t="s">
        <v>33</v>
      </c>
      <c r="C162" s="584">
        <v>1.8717999999999999</v>
      </c>
      <c r="D162" s="580">
        <f t="shared" si="26"/>
        <v>-2.5104166666666705</v>
      </c>
      <c r="E162" s="580">
        <f t="shared" si="24"/>
        <v>-19.768538362623246</v>
      </c>
      <c r="F162" s="581">
        <f t="shared" si="19"/>
        <v>19.756877799104288</v>
      </c>
      <c r="G162" s="582">
        <f t="shared" si="25"/>
        <v>3.0677422801581371</v>
      </c>
    </row>
    <row r="163" spans="1:7" ht="16.5" hidden="1" customHeight="1" x14ac:dyDescent="0.25">
      <c r="A163" s="546">
        <v>2009</v>
      </c>
      <c r="B163" s="549" t="s">
        <v>34</v>
      </c>
      <c r="C163" s="584">
        <v>1.8864000000000001</v>
      </c>
      <c r="D163" s="580">
        <f t="shared" si="26"/>
        <v>0.77999786301956586</v>
      </c>
      <c r="E163" s="580">
        <f t="shared" si="24"/>
        <v>-19.142734676382346</v>
      </c>
      <c r="F163" s="581">
        <f t="shared" si="19"/>
        <v>15.517452541334965</v>
      </c>
      <c r="G163" s="582">
        <f t="shared" si="25"/>
        <v>3.0439991518235794</v>
      </c>
    </row>
    <row r="164" spans="1:7" ht="16.5" hidden="1" customHeight="1" x14ac:dyDescent="0.25">
      <c r="A164" s="546">
        <v>2009</v>
      </c>
      <c r="B164" s="549" t="s">
        <v>36</v>
      </c>
      <c r="C164" s="584">
        <v>1.7781</v>
      </c>
      <c r="D164" s="580">
        <f t="shared" si="26"/>
        <v>-5.7410941475827038</v>
      </c>
      <c r="E164" s="580">
        <f t="shared" si="24"/>
        <v>-23.784826403771973</v>
      </c>
      <c r="F164" s="581">
        <f t="shared" si="19"/>
        <v>-6.710388247639032</v>
      </c>
      <c r="G164" s="582">
        <f t="shared" si="25"/>
        <v>3.2294021708565324</v>
      </c>
    </row>
    <row r="165" spans="1:7" ht="16.5" hidden="1" customHeight="1" x14ac:dyDescent="0.25">
      <c r="A165" s="546">
        <v>2009</v>
      </c>
      <c r="B165" s="549" t="s">
        <v>35</v>
      </c>
      <c r="C165" s="584">
        <v>1.754</v>
      </c>
      <c r="D165" s="580">
        <f t="shared" si="26"/>
        <v>-1.3553793374950773</v>
      </c>
      <c r="E165" s="580">
        <f t="shared" si="24"/>
        <v>-24.817831118731249</v>
      </c>
      <c r="F165" s="581">
        <f t="shared" si="19"/>
        <v>-18.64564007421151</v>
      </c>
      <c r="G165" s="582">
        <f t="shared" si="25"/>
        <v>3.2737742303306732</v>
      </c>
    </row>
    <row r="166" spans="1:7" ht="16.5" hidden="1" customHeight="1" x14ac:dyDescent="0.25">
      <c r="A166" s="546">
        <v>2009</v>
      </c>
      <c r="B166" s="549" t="s">
        <v>25</v>
      </c>
      <c r="C166" s="584">
        <v>1.7509999999999999</v>
      </c>
      <c r="D166" s="580">
        <f t="shared" si="26"/>
        <v>-0.17103762827822555</v>
      </c>
      <c r="E166" s="580">
        <f t="shared" si="24"/>
        <v>-24.946420917273905</v>
      </c>
      <c r="F166" s="581">
        <f t="shared" si="19"/>
        <v>-24.362850971922246</v>
      </c>
      <c r="G166" s="582">
        <f t="shared" si="25"/>
        <v>3.2793832095945179</v>
      </c>
    </row>
    <row r="167" spans="1:7" ht="16.5" hidden="1" customHeight="1" x14ac:dyDescent="0.25">
      <c r="A167" s="546">
        <v>2009</v>
      </c>
      <c r="B167" s="549" t="s">
        <v>26</v>
      </c>
      <c r="C167" s="584">
        <v>1.7430000000000001</v>
      </c>
      <c r="D167" s="580">
        <f t="shared" si="26"/>
        <v>-0.45688178183893591</v>
      </c>
      <c r="E167" s="580">
        <f t="shared" si="24"/>
        <v>-25.289327046720967</v>
      </c>
      <c r="F167" s="581">
        <f t="shared" si="19"/>
        <v>-25.289327046720967</v>
      </c>
      <c r="G167" s="582">
        <f t="shared" si="25"/>
        <v>3.2944348823866898</v>
      </c>
    </row>
    <row r="168" spans="1:7" ht="16.5" hidden="1" customHeight="1" x14ac:dyDescent="0.25">
      <c r="A168" s="546">
        <v>2010</v>
      </c>
      <c r="B168" s="549" t="s">
        <v>27</v>
      </c>
      <c r="C168" s="584">
        <v>1.8102</v>
      </c>
      <c r="D168" s="580">
        <f t="shared" si="26"/>
        <v>3.8554216867469737</v>
      </c>
      <c r="E168" s="580">
        <f t="shared" ref="E168:E179" si="27">+((C168/C$167-1)*100)</f>
        <v>3.8554216867469737</v>
      </c>
      <c r="F168" s="581">
        <f t="shared" si="19"/>
        <v>-21.771823681936041</v>
      </c>
      <c r="G168" s="582">
        <f t="shared" si="25"/>
        <v>3.1721356756159542</v>
      </c>
    </row>
    <row r="169" spans="1:7" ht="16.5" hidden="1" customHeight="1" x14ac:dyDescent="0.25">
      <c r="A169" s="546">
        <v>2010</v>
      </c>
      <c r="B169" s="549" t="s">
        <v>28</v>
      </c>
      <c r="C169" s="584">
        <v>1.8089999999999999</v>
      </c>
      <c r="D169" s="580">
        <f t="shared" si="26"/>
        <v>-6.6291017567121635E-2</v>
      </c>
      <c r="E169" s="580">
        <f t="shared" si="27"/>
        <v>3.7865748709122071</v>
      </c>
      <c r="F169" s="581">
        <f t="shared" si="19"/>
        <v>-23.703078869675242</v>
      </c>
      <c r="G169" s="582">
        <f t="shared" si="25"/>
        <v>3.1742399115533448</v>
      </c>
    </row>
    <row r="170" spans="1:7" ht="16.5" hidden="1" customHeight="1" x14ac:dyDescent="0.25">
      <c r="A170" s="546">
        <v>2010</v>
      </c>
      <c r="B170" s="549" t="s">
        <v>29</v>
      </c>
      <c r="C170" s="584">
        <v>1.7809999999999999</v>
      </c>
      <c r="D170" s="580">
        <f t="shared" si="26"/>
        <v>-1.5478164731896116</v>
      </c>
      <c r="E170" s="580">
        <f t="shared" si="27"/>
        <v>2.1801491681009644</v>
      </c>
      <c r="F170" s="581">
        <f t="shared" si="19"/>
        <v>-23.166522864538397</v>
      </c>
      <c r="G170" s="582">
        <f t="shared" si="25"/>
        <v>3.2241437394722072</v>
      </c>
    </row>
    <row r="171" spans="1:7" ht="16.5" hidden="1" customHeight="1" x14ac:dyDescent="0.25">
      <c r="A171" s="546">
        <v>2010</v>
      </c>
      <c r="B171" s="549" t="s">
        <v>30</v>
      </c>
      <c r="C171" s="584">
        <v>1.738</v>
      </c>
      <c r="D171" s="580">
        <f t="shared" si="26"/>
        <v>-2.4143739472206605</v>
      </c>
      <c r="E171" s="580">
        <f t="shared" si="27"/>
        <v>-0.28686173264487191</v>
      </c>
      <c r="F171" s="581">
        <f t="shared" si="19"/>
        <v>-20.213010145526333</v>
      </c>
      <c r="G171" s="582">
        <f t="shared" si="25"/>
        <v>3.3039125431530496</v>
      </c>
    </row>
    <row r="172" spans="1:7" ht="16.5" hidden="1" customHeight="1" x14ac:dyDescent="0.25">
      <c r="A172" s="546">
        <v>2010</v>
      </c>
      <c r="B172" s="549" t="s">
        <v>31</v>
      </c>
      <c r="C172" s="584">
        <v>1.8167</v>
      </c>
      <c r="D172" s="580">
        <f t="shared" si="26"/>
        <v>4.528193325661678</v>
      </c>
      <c r="E172" s="580">
        <f t="shared" si="27"/>
        <v>4.2283419391853094</v>
      </c>
      <c r="F172" s="581">
        <f t="shared" ref="F172:F235" si="28">+((C172/C160-1)*100)</f>
        <v>-8.0151898734177269</v>
      </c>
      <c r="G172" s="582">
        <f t="shared" si="25"/>
        <v>3.1607860406231083</v>
      </c>
    </row>
    <row r="173" spans="1:7" ht="16.5" hidden="1" customHeight="1" x14ac:dyDescent="0.25">
      <c r="A173" s="546">
        <v>2010</v>
      </c>
      <c r="B173" s="549" t="s">
        <v>32</v>
      </c>
      <c r="C173" s="584">
        <v>1.804</v>
      </c>
      <c r="D173" s="580">
        <f t="shared" si="26"/>
        <v>-0.69906974183959747</v>
      </c>
      <c r="E173" s="580">
        <f t="shared" si="27"/>
        <v>3.4997131382673574</v>
      </c>
      <c r="F173" s="581">
        <f t="shared" si="28"/>
        <v>-6.0416666666666563</v>
      </c>
      <c r="G173" s="582">
        <f t="shared" si="25"/>
        <v>3.1830376940133038</v>
      </c>
    </row>
    <row r="174" spans="1:7" ht="16.5" hidden="1" customHeight="1" x14ac:dyDescent="0.25">
      <c r="A174" s="546">
        <v>2010</v>
      </c>
      <c r="B174" s="549" t="s">
        <v>33</v>
      </c>
      <c r="C174" s="584">
        <v>1.7572000000000001</v>
      </c>
      <c r="D174" s="580">
        <f t="shared" si="26"/>
        <v>-2.5942350332594177</v>
      </c>
      <c r="E174" s="580">
        <f t="shared" si="27"/>
        <v>0.81468732071141581</v>
      </c>
      <c r="F174" s="581">
        <f t="shared" si="28"/>
        <v>-6.122448979591832</v>
      </c>
      <c r="G174" s="582">
        <f t="shared" si="25"/>
        <v>3.2678124288641022</v>
      </c>
    </row>
    <row r="175" spans="1:7" ht="16.5" hidden="1" customHeight="1" x14ac:dyDescent="0.25">
      <c r="A175" s="546">
        <v>2010</v>
      </c>
      <c r="B175" s="549" t="s">
        <v>34</v>
      </c>
      <c r="C175" s="584">
        <v>1.756</v>
      </c>
      <c r="D175" s="580">
        <f t="shared" si="26"/>
        <v>-6.8290462098796745E-2</v>
      </c>
      <c r="E175" s="580">
        <f t="shared" si="27"/>
        <v>0.74584050487664921</v>
      </c>
      <c r="F175" s="581">
        <f t="shared" si="28"/>
        <v>-6.9126378286683661</v>
      </c>
      <c r="G175" s="582">
        <f t="shared" si="25"/>
        <v>3.2700455580865606</v>
      </c>
    </row>
    <row r="176" spans="1:7" ht="16.5" hidden="1" customHeight="1" x14ac:dyDescent="0.25">
      <c r="A176" s="546">
        <v>2010</v>
      </c>
      <c r="B176" s="549" t="s">
        <v>36</v>
      </c>
      <c r="C176" s="584">
        <v>1.6941999999999999</v>
      </c>
      <c r="D176" s="580">
        <f t="shared" si="26"/>
        <v>-3.5193621867881553</v>
      </c>
      <c r="E176" s="580">
        <f t="shared" si="27"/>
        <v>-2.799770510613897</v>
      </c>
      <c r="F176" s="581">
        <f t="shared" si="28"/>
        <v>-4.7185197682920066</v>
      </c>
      <c r="G176" s="582">
        <f t="shared" si="25"/>
        <v>3.3893282965411409</v>
      </c>
    </row>
    <row r="177" spans="1:7" ht="16.5" hidden="1" customHeight="1" x14ac:dyDescent="0.25">
      <c r="A177" s="546">
        <v>2010</v>
      </c>
      <c r="B177" s="549" t="s">
        <v>35</v>
      </c>
      <c r="C177" s="584">
        <v>1.7030000000000001</v>
      </c>
      <c r="D177" s="580">
        <f t="shared" si="26"/>
        <v>0.51941919490026134</v>
      </c>
      <c r="E177" s="580">
        <f t="shared" si="27"/>
        <v>-2.2948938611589198</v>
      </c>
      <c r="F177" s="581">
        <f t="shared" si="28"/>
        <v>-2.9076396807297566</v>
      </c>
      <c r="G177" s="582">
        <f t="shared" si="25"/>
        <v>3.3718144450968879</v>
      </c>
    </row>
    <row r="178" spans="1:7" ht="16.5" hidden="1" customHeight="1" x14ac:dyDescent="0.25">
      <c r="A178" s="546">
        <v>2010</v>
      </c>
      <c r="B178" s="549" t="s">
        <v>23</v>
      </c>
      <c r="C178" s="584">
        <v>1.7161</v>
      </c>
      <c r="D178" s="580">
        <f t="shared" si="26"/>
        <v>0.7692307692307665</v>
      </c>
      <c r="E178" s="580">
        <f t="shared" si="27"/>
        <v>-1.5433161216293789</v>
      </c>
      <c r="F178" s="581">
        <f t="shared" si="28"/>
        <v>-1.993146773272414</v>
      </c>
      <c r="G178" s="582">
        <f t="shared" si="25"/>
        <v>3.346075403531263</v>
      </c>
    </row>
    <row r="179" spans="1:7" ht="16.5" hidden="1" customHeight="1" x14ac:dyDescent="0.25">
      <c r="A179" s="546">
        <v>2010</v>
      </c>
      <c r="B179" s="549" t="s">
        <v>12</v>
      </c>
      <c r="C179" s="584">
        <v>1.649</v>
      </c>
      <c r="D179" s="580">
        <f t="shared" si="26"/>
        <v>-3.9100285531146195</v>
      </c>
      <c r="E179" s="580">
        <f t="shared" si="27"/>
        <v>-5.3930005737234721</v>
      </c>
      <c r="F179" s="581">
        <f t="shared" si="28"/>
        <v>-5.3930005737234721</v>
      </c>
      <c r="G179" s="582">
        <f t="shared" si="25"/>
        <v>3.4822316555488175</v>
      </c>
    </row>
    <row r="180" spans="1:7" ht="16.5" customHeight="1" x14ac:dyDescent="0.25">
      <c r="A180" s="552">
        <v>2011</v>
      </c>
      <c r="B180" s="553" t="s">
        <v>13</v>
      </c>
      <c r="C180" s="585">
        <v>1.6719999999999999</v>
      </c>
      <c r="D180" s="586">
        <f t="shared" si="26"/>
        <v>1.3947847180109108</v>
      </c>
      <c r="E180" s="586">
        <f>+((C180/C$179-1)*100)</f>
        <v>1.3947847180109108</v>
      </c>
      <c r="F180" s="587">
        <f t="shared" si="28"/>
        <v>-7.6345155231466233</v>
      </c>
      <c r="G180" s="588">
        <f>+$C$351/C180</f>
        <v>3.3856459330143545</v>
      </c>
    </row>
    <row r="181" spans="1:7" ht="16.5" customHeight="1" x14ac:dyDescent="0.25">
      <c r="A181" s="556">
        <v>2011</v>
      </c>
      <c r="B181" s="557" t="s">
        <v>14</v>
      </c>
      <c r="C181" s="589">
        <v>1.663</v>
      </c>
      <c r="D181" s="590">
        <f t="shared" si="26"/>
        <v>-0.53827751196171558</v>
      </c>
      <c r="E181" s="590">
        <f t="shared" ref="E181:E191" si="29">+((C181/C$179-1)*100)</f>
        <v>0.84899939357185872</v>
      </c>
      <c r="F181" s="591">
        <f t="shared" si="28"/>
        <v>-8.0707573244886639</v>
      </c>
      <c r="G181" s="592">
        <f>+$C$351/C181</f>
        <v>3.4039687312086588</v>
      </c>
    </row>
    <row r="182" spans="1:7" ht="16.5" customHeight="1" x14ac:dyDescent="0.25">
      <c r="A182" s="556">
        <v>2011</v>
      </c>
      <c r="B182" s="557" t="s">
        <v>15</v>
      </c>
      <c r="C182" s="589">
        <v>1.629</v>
      </c>
      <c r="D182" s="590">
        <f t="shared" si="26"/>
        <v>-2.0444978953698123</v>
      </c>
      <c r="E182" s="590">
        <f t="shared" si="29"/>
        <v>-1.2128562765312267</v>
      </c>
      <c r="F182" s="591">
        <f t="shared" si="28"/>
        <v>-8.5345311622683884</v>
      </c>
      <c r="G182" s="592">
        <f t="shared" ref="G182:G245" si="30">+$C$351/C182</f>
        <v>3.4750153468385512</v>
      </c>
    </row>
    <row r="183" spans="1:7" ht="16.5" customHeight="1" x14ac:dyDescent="0.25">
      <c r="A183" s="556">
        <v>2011</v>
      </c>
      <c r="B183" s="557" t="s">
        <v>16</v>
      </c>
      <c r="C183" s="589">
        <v>1.571</v>
      </c>
      <c r="D183" s="590">
        <f t="shared" si="26"/>
        <v>-3.5604665438919603</v>
      </c>
      <c r="E183" s="590">
        <f t="shared" si="29"/>
        <v>-4.7301394784718065</v>
      </c>
      <c r="F183" s="591">
        <f t="shared" si="28"/>
        <v>-9.6087456846950516</v>
      </c>
      <c r="G183" s="592">
        <f t="shared" si="30"/>
        <v>3.6033099936346278</v>
      </c>
    </row>
    <row r="184" spans="1:7" ht="16.5" customHeight="1" x14ac:dyDescent="0.25">
      <c r="A184" s="556">
        <v>2011</v>
      </c>
      <c r="B184" s="557" t="s">
        <v>17</v>
      </c>
      <c r="C184" s="589">
        <v>1.58</v>
      </c>
      <c r="D184" s="590">
        <f t="shared" si="26"/>
        <v>0.57288351368556256</v>
      </c>
      <c r="E184" s="590">
        <f t="shared" si="29"/>
        <v>-4.1843541540327429</v>
      </c>
      <c r="F184" s="591">
        <f t="shared" si="28"/>
        <v>-13.029118731766387</v>
      </c>
      <c r="G184" s="592">
        <f t="shared" si="30"/>
        <v>3.582784810126582</v>
      </c>
    </row>
    <row r="185" spans="1:7" ht="16.5" customHeight="1" x14ac:dyDescent="0.25">
      <c r="A185" s="556">
        <v>2011</v>
      </c>
      <c r="B185" s="557" t="s">
        <v>18</v>
      </c>
      <c r="C185" s="589">
        <v>1.5590999999999999</v>
      </c>
      <c r="D185" s="590">
        <f t="shared" si="26"/>
        <v>-1.3227848101265871</v>
      </c>
      <c r="E185" s="590">
        <f t="shared" si="29"/>
        <v>-5.4517889630078864</v>
      </c>
      <c r="F185" s="591">
        <f t="shared" si="28"/>
        <v>-13.575388026607548</v>
      </c>
      <c r="G185" s="592">
        <f t="shared" si="30"/>
        <v>3.6308126483227503</v>
      </c>
    </row>
    <row r="186" spans="1:7" ht="16.5" customHeight="1" x14ac:dyDescent="0.25">
      <c r="A186" s="556">
        <v>2011</v>
      </c>
      <c r="B186" s="557" t="s">
        <v>19</v>
      </c>
      <c r="C186" s="589">
        <v>1.554</v>
      </c>
      <c r="D186" s="590">
        <f t="shared" si="26"/>
        <v>-0.32711179526648815</v>
      </c>
      <c r="E186" s="590">
        <f t="shared" si="29"/>
        <v>-5.7610673135233492</v>
      </c>
      <c r="F186" s="591">
        <f t="shared" si="28"/>
        <v>-11.563851582062378</v>
      </c>
      <c r="G186" s="592">
        <f t="shared" si="30"/>
        <v>3.6427284427284428</v>
      </c>
    </row>
    <row r="187" spans="1:7" ht="16.5" customHeight="1" x14ac:dyDescent="0.25">
      <c r="A187" s="556">
        <v>2011</v>
      </c>
      <c r="B187" s="557" t="s">
        <v>34</v>
      </c>
      <c r="C187" s="589">
        <v>1.5871999999999999</v>
      </c>
      <c r="D187" s="590">
        <f t="shared" si="26"/>
        <v>2.1364221364221336</v>
      </c>
      <c r="E187" s="590">
        <f t="shared" si="29"/>
        <v>-3.7477258944815128</v>
      </c>
      <c r="F187" s="591">
        <f t="shared" si="28"/>
        <v>-9.6127562642369107</v>
      </c>
      <c r="G187" s="592">
        <f t="shared" si="30"/>
        <v>3.5665322580645165</v>
      </c>
    </row>
    <row r="188" spans="1:7" ht="16.5" customHeight="1" x14ac:dyDescent="0.25">
      <c r="A188" s="556">
        <v>2011</v>
      </c>
      <c r="B188" s="557" t="s">
        <v>36</v>
      </c>
      <c r="C188" s="589">
        <v>1.8544</v>
      </c>
      <c r="D188" s="590">
        <f t="shared" si="26"/>
        <v>16.834677419354847</v>
      </c>
      <c r="E188" s="590">
        <f t="shared" si="29"/>
        <v>12.456033959975743</v>
      </c>
      <c r="F188" s="591">
        <f t="shared" si="28"/>
        <v>9.4557903435249724</v>
      </c>
      <c r="G188" s="592">
        <f t="shared" si="30"/>
        <v>3.0526315789473686</v>
      </c>
    </row>
    <row r="189" spans="1:7" ht="16.5" customHeight="1" x14ac:dyDescent="0.25">
      <c r="A189" s="556">
        <v>2011</v>
      </c>
      <c r="B189" s="557" t="s">
        <v>35</v>
      </c>
      <c r="C189" s="589">
        <v>1.6884999999999999</v>
      </c>
      <c r="D189" s="590">
        <f t="shared" si="26"/>
        <v>-8.9462899050905982</v>
      </c>
      <c r="E189" s="590">
        <f t="shared" si="29"/>
        <v>2.3953911461491728</v>
      </c>
      <c r="F189" s="591">
        <f t="shared" si="28"/>
        <v>-0.85143863769818751</v>
      </c>
      <c r="G189" s="592">
        <f t="shared" si="30"/>
        <v>3.3525614450695889</v>
      </c>
    </row>
    <row r="190" spans="1:7" ht="16.5" customHeight="1" x14ac:dyDescent="0.25">
      <c r="A190" s="556">
        <v>2011</v>
      </c>
      <c r="B190" s="557" t="s">
        <v>25</v>
      </c>
      <c r="C190" s="589">
        <v>1.8109</v>
      </c>
      <c r="D190" s="590">
        <f t="shared" si="26"/>
        <v>7.2490376073438112</v>
      </c>
      <c r="E190" s="590">
        <f t="shared" si="29"/>
        <v>9.8180715585203018</v>
      </c>
      <c r="F190" s="591">
        <f t="shared" si="28"/>
        <v>5.524153604102322</v>
      </c>
      <c r="G190" s="592">
        <f t="shared" si="30"/>
        <v>3.1259594676680105</v>
      </c>
    </row>
    <row r="191" spans="1:7" ht="16.5" customHeight="1" x14ac:dyDescent="0.25">
      <c r="A191" s="556">
        <v>2011</v>
      </c>
      <c r="B191" s="557" t="s">
        <v>26</v>
      </c>
      <c r="C191" s="589">
        <v>1.8757999999999999</v>
      </c>
      <c r="D191" s="590">
        <f t="shared" si="26"/>
        <v>3.5838533325970534</v>
      </c>
      <c r="E191" s="590">
        <f t="shared" si="29"/>
        <v>13.753790175864156</v>
      </c>
      <c r="F191" s="591">
        <f t="shared" si="28"/>
        <v>13.753790175864156</v>
      </c>
      <c r="G191" s="592">
        <f t="shared" si="30"/>
        <v>3.0178057362192132</v>
      </c>
    </row>
    <row r="192" spans="1:7" ht="16.5" customHeight="1" x14ac:dyDescent="0.25">
      <c r="A192" s="556">
        <f>2012</f>
        <v>2012</v>
      </c>
      <c r="B192" s="557" t="s">
        <v>27</v>
      </c>
      <c r="C192" s="589">
        <v>1.7391000000000001</v>
      </c>
      <c r="D192" s="590">
        <f t="shared" si="26"/>
        <v>-7.2875573088815315</v>
      </c>
      <c r="E192" s="590">
        <f t="shared" ref="E192:E203" si="31">+((C192/C$191-1)*100)</f>
        <v>-7.2875573088815315</v>
      </c>
      <c r="F192" s="591">
        <f t="shared" si="28"/>
        <v>4.0131578947368629</v>
      </c>
      <c r="G192" s="592">
        <f t="shared" si="30"/>
        <v>3.2550169627968488</v>
      </c>
    </row>
    <row r="193" spans="1:7" ht="16.5" customHeight="1" x14ac:dyDescent="0.25">
      <c r="A193" s="556">
        <f>2012</f>
        <v>2012</v>
      </c>
      <c r="B193" s="557" t="s">
        <v>28</v>
      </c>
      <c r="C193" s="589">
        <v>1.7092000000000001</v>
      </c>
      <c r="D193" s="590">
        <f t="shared" si="26"/>
        <v>-1.7192800874015313</v>
      </c>
      <c r="E193" s="590">
        <f t="shared" si="31"/>
        <v>-8.8815438746134951</v>
      </c>
      <c r="F193" s="591">
        <f t="shared" si="28"/>
        <v>2.7781118460613374</v>
      </c>
      <c r="G193" s="592">
        <f t="shared" si="30"/>
        <v>3.3119588111397142</v>
      </c>
    </row>
    <row r="194" spans="1:7" ht="16.5" customHeight="1" x14ac:dyDescent="0.25">
      <c r="A194" s="556">
        <f>2012</f>
        <v>2012</v>
      </c>
      <c r="B194" s="557" t="s">
        <v>29</v>
      </c>
      <c r="C194" s="589">
        <v>1.8221000000000001</v>
      </c>
      <c r="D194" s="590">
        <f t="shared" si="26"/>
        <v>6.6054294406739933</v>
      </c>
      <c r="E194" s="590">
        <f t="shared" si="31"/>
        <v>-2.8627785478195888</v>
      </c>
      <c r="F194" s="591">
        <f t="shared" si="28"/>
        <v>11.853898096992022</v>
      </c>
      <c r="G194" s="592">
        <f t="shared" si="30"/>
        <v>3.1067449646012841</v>
      </c>
    </row>
    <row r="195" spans="1:7" ht="16.5" customHeight="1" x14ac:dyDescent="0.25">
      <c r="A195" s="556">
        <f>2012</f>
        <v>2012</v>
      </c>
      <c r="B195" s="557" t="s">
        <v>30</v>
      </c>
      <c r="C195" s="589">
        <v>1.8917999999999999</v>
      </c>
      <c r="D195" s="590">
        <f t="shared" si="26"/>
        <v>3.8252565720871434</v>
      </c>
      <c r="E195" s="590">
        <f t="shared" si="31"/>
        <v>0.85296939972279162</v>
      </c>
      <c r="F195" s="591">
        <f t="shared" si="28"/>
        <v>20.420114576702741</v>
      </c>
      <c r="G195" s="592">
        <f t="shared" si="30"/>
        <v>2.9922824822919973</v>
      </c>
    </row>
    <row r="196" spans="1:7" ht="16.5" customHeight="1" x14ac:dyDescent="0.25">
      <c r="A196" s="556">
        <f>2012</f>
        <v>2012</v>
      </c>
      <c r="B196" s="557" t="s">
        <v>31</v>
      </c>
      <c r="C196" s="589">
        <v>2.0223</v>
      </c>
      <c r="D196" s="590">
        <f t="shared" si="26"/>
        <v>6.8981921979067495</v>
      </c>
      <c r="E196" s="590">
        <f t="shared" si="31"/>
        <v>7.8100010662117469</v>
      </c>
      <c r="F196" s="591">
        <f t="shared" si="28"/>
        <v>27.99367088607594</v>
      </c>
      <c r="G196" s="592">
        <f t="shared" si="30"/>
        <v>2.7991890421796963</v>
      </c>
    </row>
    <row r="197" spans="1:7" ht="16.5" customHeight="1" x14ac:dyDescent="0.25">
      <c r="A197" s="556">
        <f>2012</f>
        <v>2012</v>
      </c>
      <c r="B197" s="557" t="s">
        <v>32</v>
      </c>
      <c r="C197" s="589">
        <v>2.0213000000000001</v>
      </c>
      <c r="D197" s="590">
        <f t="shared" si="26"/>
        <v>-4.9448647579486416E-2</v>
      </c>
      <c r="E197" s="590">
        <f t="shared" si="31"/>
        <v>7.7566904787290891</v>
      </c>
      <c r="F197" s="591">
        <f t="shared" si="28"/>
        <v>29.64530819062281</v>
      </c>
      <c r="G197" s="592">
        <f t="shared" si="30"/>
        <v>2.8005738880918218</v>
      </c>
    </row>
    <row r="198" spans="1:7" ht="16.5" customHeight="1" x14ac:dyDescent="0.25">
      <c r="A198" s="556">
        <f>2012</f>
        <v>2012</v>
      </c>
      <c r="B198" s="557" t="s">
        <v>33</v>
      </c>
      <c r="C198" s="589">
        <v>2.0499000000000001</v>
      </c>
      <c r="D198" s="590">
        <f t="shared" si="26"/>
        <v>1.4149309850096436</v>
      </c>
      <c r="E198" s="590">
        <f t="shared" si="31"/>
        <v>9.2813732807335505</v>
      </c>
      <c r="F198" s="591">
        <f t="shared" si="28"/>
        <v>31.911196911196903</v>
      </c>
      <c r="G198" s="592">
        <f t="shared" si="30"/>
        <v>2.7615005610029759</v>
      </c>
    </row>
    <row r="199" spans="1:7" ht="16.5" customHeight="1" x14ac:dyDescent="0.25">
      <c r="A199" s="556">
        <f>2012</f>
        <v>2012</v>
      </c>
      <c r="B199" s="557" t="s">
        <v>34</v>
      </c>
      <c r="C199" s="589">
        <v>2.0371999999999999</v>
      </c>
      <c r="D199" s="590">
        <f t="shared" si="26"/>
        <v>-0.61954241670325594</v>
      </c>
      <c r="E199" s="590">
        <f t="shared" si="31"/>
        <v>8.6043288197035892</v>
      </c>
      <c r="F199" s="591">
        <f t="shared" si="28"/>
        <v>28.351814516129025</v>
      </c>
      <c r="G199" s="592">
        <f t="shared" si="30"/>
        <v>2.778715884547418</v>
      </c>
    </row>
    <row r="200" spans="1:7" ht="16.5" customHeight="1" x14ac:dyDescent="0.25">
      <c r="A200" s="556">
        <f>2012</f>
        <v>2012</v>
      </c>
      <c r="B200" s="557" t="s">
        <v>36</v>
      </c>
      <c r="C200" s="589">
        <v>2.0280789473684213</v>
      </c>
      <c r="D200" s="590">
        <f t="shared" si="26"/>
        <v>-0.44772494755441761</v>
      </c>
      <c r="E200" s="590">
        <f t="shared" si="31"/>
        <v>8.1180801454537423</v>
      </c>
      <c r="F200" s="591">
        <f t="shared" si="28"/>
        <v>9.3657758503246988</v>
      </c>
      <c r="G200" s="592">
        <f t="shared" si="30"/>
        <v>2.7912128407749099</v>
      </c>
    </row>
    <row r="201" spans="1:7" ht="16.5" customHeight="1" x14ac:dyDescent="0.25">
      <c r="A201" s="556">
        <f>2012</f>
        <v>2012</v>
      </c>
      <c r="B201" s="557" t="s">
        <v>35</v>
      </c>
      <c r="C201" s="589">
        <v>2.0298454545454545</v>
      </c>
      <c r="D201" s="590">
        <f t="shared" si="26"/>
        <v>8.7102485794510187E-2</v>
      </c>
      <c r="E201" s="590">
        <f t="shared" si="31"/>
        <v>8.2122536808537419</v>
      </c>
      <c r="F201" s="591">
        <f t="shared" si="28"/>
        <v>20.215898995881233</v>
      </c>
      <c r="G201" s="592">
        <f t="shared" si="30"/>
        <v>2.7887837408132281</v>
      </c>
    </row>
    <row r="202" spans="1:7" ht="16.5" customHeight="1" x14ac:dyDescent="0.25">
      <c r="A202" s="556">
        <f>2012</f>
        <v>2012</v>
      </c>
      <c r="B202" s="557" t="s">
        <v>25</v>
      </c>
      <c r="C202" s="589">
        <v>2.1074000000000002</v>
      </c>
      <c r="D202" s="590">
        <f t="shared" si="26"/>
        <v>3.8207118320696232</v>
      </c>
      <c r="E202" s="590">
        <f t="shared" si="31"/>
        <v>12.346732060987332</v>
      </c>
      <c r="F202" s="591">
        <f t="shared" si="28"/>
        <v>16.373074162018895</v>
      </c>
      <c r="G202" s="592">
        <f t="shared" si="30"/>
        <v>2.6861535541425452</v>
      </c>
    </row>
    <row r="203" spans="1:7" ht="16.5" customHeight="1" x14ac:dyDescent="0.25">
      <c r="A203" s="556">
        <f>2012</f>
        <v>2012</v>
      </c>
      <c r="B203" s="557" t="s">
        <v>26</v>
      </c>
      <c r="C203" s="589">
        <v>2.0434999999999999</v>
      </c>
      <c r="D203" s="590">
        <f t="shared" si="26"/>
        <v>-3.0321723450697724</v>
      </c>
      <c r="E203" s="590">
        <f t="shared" si="31"/>
        <v>8.9401855208444339</v>
      </c>
      <c r="F203" s="591">
        <f t="shared" si="28"/>
        <v>8.9401855208444339</v>
      </c>
      <c r="G203" s="592">
        <f t="shared" si="30"/>
        <v>2.7701492537313435</v>
      </c>
    </row>
    <row r="204" spans="1:7" ht="16.5" customHeight="1" x14ac:dyDescent="0.25">
      <c r="A204" s="556">
        <f>2013</f>
        <v>2013</v>
      </c>
      <c r="B204" s="557" t="s">
        <v>27</v>
      </c>
      <c r="C204" s="589">
        <v>1.9883</v>
      </c>
      <c r="D204" s="590">
        <f t="shared" si="26"/>
        <v>-2.7012478590653255</v>
      </c>
      <c r="E204" s="590">
        <f t="shared" ref="E204:E215" si="32">+((C204/C$203-1)*100)</f>
        <v>-2.7012478590653255</v>
      </c>
      <c r="F204" s="591">
        <f t="shared" si="28"/>
        <v>14.329250761888336</v>
      </c>
      <c r="G204" s="592">
        <f t="shared" si="30"/>
        <v>2.8470552733490924</v>
      </c>
    </row>
    <row r="205" spans="1:7" ht="16.5" customHeight="1" x14ac:dyDescent="0.25">
      <c r="A205" s="556">
        <f>2013</f>
        <v>2013</v>
      </c>
      <c r="B205" s="557" t="s">
        <v>28</v>
      </c>
      <c r="C205" s="589">
        <v>1.9754</v>
      </c>
      <c r="D205" s="590">
        <f t="shared" si="26"/>
        <v>-0.64879545340239542</v>
      </c>
      <c r="E205" s="590">
        <f t="shared" si="32"/>
        <v>-3.3325177391729799</v>
      </c>
      <c r="F205" s="591">
        <f t="shared" si="28"/>
        <v>15.574537795459854</v>
      </c>
      <c r="G205" s="592">
        <f t="shared" si="30"/>
        <v>2.8656474638047991</v>
      </c>
    </row>
    <row r="206" spans="1:7" ht="16.5" customHeight="1" x14ac:dyDescent="0.25">
      <c r="A206" s="556">
        <f>2013</f>
        <v>2013</v>
      </c>
      <c r="B206" s="557" t="s">
        <v>29</v>
      </c>
      <c r="C206" s="589">
        <v>2.0137999999999998</v>
      </c>
      <c r="D206" s="590">
        <f t="shared" si="26"/>
        <v>1.94391009415813</v>
      </c>
      <c r="E206" s="590">
        <f t="shared" si="32"/>
        <v>-1.4533887937362433</v>
      </c>
      <c r="F206" s="591">
        <f t="shared" si="28"/>
        <v>10.52082761648645</v>
      </c>
      <c r="G206" s="592">
        <f t="shared" si="30"/>
        <v>2.8110040719038638</v>
      </c>
    </row>
    <row r="207" spans="1:7" ht="16.5" customHeight="1" x14ac:dyDescent="0.25">
      <c r="A207" s="556">
        <f>2013</f>
        <v>2013</v>
      </c>
      <c r="B207" s="557" t="s">
        <v>30</v>
      </c>
      <c r="C207" s="589">
        <v>2.0017</v>
      </c>
      <c r="D207" s="590">
        <f t="shared" si="26"/>
        <v>-0.60085410666400607</v>
      </c>
      <c r="E207" s="590">
        <f t="shared" si="32"/>
        <v>-2.0455101541472898</v>
      </c>
      <c r="F207" s="591">
        <f t="shared" si="28"/>
        <v>5.8092821651337445</v>
      </c>
      <c r="G207" s="592">
        <f t="shared" si="30"/>
        <v>2.827996203227257</v>
      </c>
    </row>
    <row r="208" spans="1:7" ht="16.5" customHeight="1" x14ac:dyDescent="0.25">
      <c r="A208" s="556">
        <f>2013</f>
        <v>2013</v>
      </c>
      <c r="B208" s="557" t="s">
        <v>31</v>
      </c>
      <c r="C208" s="589">
        <v>2.1318999999999999</v>
      </c>
      <c r="D208" s="590">
        <f t="shared" si="26"/>
        <v>6.5044711994804327</v>
      </c>
      <c r="E208" s="590">
        <f t="shared" si="32"/>
        <v>4.3259114264741827</v>
      </c>
      <c r="F208" s="591">
        <f t="shared" si="28"/>
        <v>5.419571774711951</v>
      </c>
      <c r="G208" s="592">
        <f t="shared" si="30"/>
        <v>2.6552840189502325</v>
      </c>
    </row>
    <row r="209" spans="1:7" ht="16.5" customHeight="1" x14ac:dyDescent="0.25">
      <c r="A209" s="556">
        <f>2013</f>
        <v>2013</v>
      </c>
      <c r="B209" s="557" t="s">
        <v>32</v>
      </c>
      <c r="C209" s="589">
        <v>2.2155999999999998</v>
      </c>
      <c r="D209" s="590">
        <f t="shared" si="26"/>
        <v>3.9260753318635988</v>
      </c>
      <c r="E209" s="590">
        <f t="shared" si="32"/>
        <v>8.4218252997308554</v>
      </c>
      <c r="F209" s="591">
        <f t="shared" si="28"/>
        <v>9.6126255380200689</v>
      </c>
      <c r="G209" s="592">
        <f t="shared" si="30"/>
        <v>2.5549738219895293</v>
      </c>
    </row>
    <row r="210" spans="1:7" ht="16.5" customHeight="1" x14ac:dyDescent="0.25">
      <c r="A210" s="556">
        <f>2013</f>
        <v>2013</v>
      </c>
      <c r="B210" s="557" t="s">
        <v>33</v>
      </c>
      <c r="C210" s="589">
        <v>2.2902999999999998</v>
      </c>
      <c r="D210" s="590">
        <f t="shared" si="26"/>
        <v>3.3715472106878419</v>
      </c>
      <c r="E210" s="590">
        <f t="shared" si="32"/>
        <v>12.077318326400777</v>
      </c>
      <c r="F210" s="591">
        <f t="shared" si="28"/>
        <v>11.727401336650555</v>
      </c>
      <c r="G210" s="592">
        <f t="shared" si="30"/>
        <v>2.4716412697026593</v>
      </c>
    </row>
    <row r="211" spans="1:7" ht="16.5" customHeight="1" x14ac:dyDescent="0.25">
      <c r="A211" s="556">
        <f>2013</f>
        <v>2013</v>
      </c>
      <c r="B211" s="557" t="s">
        <v>34</v>
      </c>
      <c r="C211" s="589">
        <v>2.3725000000000001</v>
      </c>
      <c r="D211" s="590">
        <f t="shared" si="26"/>
        <v>3.589049469501826</v>
      </c>
      <c r="E211" s="590">
        <f t="shared" si="32"/>
        <v>16.099828725226327</v>
      </c>
      <c r="F211" s="591">
        <f t="shared" si="28"/>
        <v>16.458865108973121</v>
      </c>
      <c r="G211" s="592">
        <f t="shared" si="30"/>
        <v>2.3860063224446786</v>
      </c>
    </row>
    <row r="212" spans="1:7" ht="16.5" customHeight="1" x14ac:dyDescent="0.25">
      <c r="A212" s="556">
        <f>2013</f>
        <v>2013</v>
      </c>
      <c r="B212" s="557" t="s">
        <v>36</v>
      </c>
      <c r="C212" s="589">
        <v>2.23</v>
      </c>
      <c r="D212" s="590">
        <f t="shared" si="26"/>
        <v>-6.006322444678613</v>
      </c>
      <c r="E212" s="590">
        <f t="shared" si="32"/>
        <v>9.1264986542696427</v>
      </c>
      <c r="F212" s="591">
        <f t="shared" si="28"/>
        <v>9.9562718154333041</v>
      </c>
      <c r="G212" s="592">
        <f t="shared" si="30"/>
        <v>2.53847533632287</v>
      </c>
    </row>
    <row r="213" spans="1:7" ht="16.5" customHeight="1" x14ac:dyDescent="0.25">
      <c r="A213" s="556">
        <f>2013</f>
        <v>2013</v>
      </c>
      <c r="B213" s="557" t="s">
        <v>35</v>
      </c>
      <c r="C213" s="589">
        <v>2.2025999999999999</v>
      </c>
      <c r="D213" s="590">
        <f t="shared" si="26"/>
        <v>-1.228699551569512</v>
      </c>
      <c r="E213" s="590">
        <f t="shared" si="32"/>
        <v>7.7856618546611189</v>
      </c>
      <c r="F213" s="591">
        <f t="shared" si="28"/>
        <v>8.5107240587057653</v>
      </c>
      <c r="G213" s="592">
        <f t="shared" si="30"/>
        <v>2.570053573050032</v>
      </c>
    </row>
    <row r="214" spans="1:7" ht="16.5" customHeight="1" x14ac:dyDescent="0.25">
      <c r="A214" s="556">
        <f>2013</f>
        <v>2013</v>
      </c>
      <c r="B214" s="557" t="s">
        <v>25</v>
      </c>
      <c r="C214" s="589">
        <v>2.3249</v>
      </c>
      <c r="D214" s="590">
        <f t="shared" si="26"/>
        <v>5.5525288295650732</v>
      </c>
      <c r="E214" s="590">
        <f t="shared" si="32"/>
        <v>13.770491803278695</v>
      </c>
      <c r="F214" s="591">
        <f t="shared" si="28"/>
        <v>10.320774413969813</v>
      </c>
      <c r="G214" s="592">
        <f t="shared" si="30"/>
        <v>2.4348574132220739</v>
      </c>
    </row>
    <row r="215" spans="1:7" ht="16.5" customHeight="1" x14ac:dyDescent="0.25">
      <c r="A215" s="556">
        <f>2013</f>
        <v>2013</v>
      </c>
      <c r="B215" s="557" t="s">
        <v>12</v>
      </c>
      <c r="C215" s="589">
        <v>2.3426</v>
      </c>
      <c r="D215" s="590">
        <f t="shared" si="26"/>
        <v>0.76132306765883673</v>
      </c>
      <c r="E215" s="590">
        <f t="shared" si="32"/>
        <v>14.636652801565941</v>
      </c>
      <c r="F215" s="591">
        <f t="shared" si="28"/>
        <v>14.636652801565941</v>
      </c>
      <c r="G215" s="592">
        <f t="shared" si="30"/>
        <v>2.4164603432084011</v>
      </c>
    </row>
    <row r="216" spans="1:7" ht="16.5" customHeight="1" x14ac:dyDescent="0.25">
      <c r="A216" s="556">
        <f>2014</f>
        <v>2014</v>
      </c>
      <c r="B216" s="557" t="s">
        <v>13</v>
      </c>
      <c r="C216" s="589">
        <v>2.4262999999999999</v>
      </c>
      <c r="D216" s="590">
        <f t="shared" si="26"/>
        <v>3.5729531290019656</v>
      </c>
      <c r="E216" s="590">
        <f t="shared" ref="E216:E227" si="33">+((C216/C$215-1)*100)</f>
        <v>3.5729531290019656</v>
      </c>
      <c r="F216" s="591">
        <f t="shared" si="28"/>
        <v>22.028868882965334</v>
      </c>
      <c r="G216" s="592">
        <f t="shared" si="30"/>
        <v>2.3330997815604007</v>
      </c>
    </row>
    <row r="217" spans="1:7" ht="16.5" customHeight="1" x14ac:dyDescent="0.25">
      <c r="A217" s="556">
        <f>2014</f>
        <v>2014</v>
      </c>
      <c r="B217" s="557" t="s">
        <v>14</v>
      </c>
      <c r="C217" s="589">
        <v>2.3334000000000001</v>
      </c>
      <c r="D217" s="590">
        <f t="shared" si="26"/>
        <v>-3.8288752421382299</v>
      </c>
      <c r="E217" s="590">
        <f t="shared" si="33"/>
        <v>-0.39272603090582114</v>
      </c>
      <c r="F217" s="591">
        <f t="shared" si="28"/>
        <v>18.122911815328546</v>
      </c>
      <c r="G217" s="592">
        <f t="shared" si="30"/>
        <v>2.4259878289191734</v>
      </c>
    </row>
    <row r="218" spans="1:7" ht="16.5" customHeight="1" x14ac:dyDescent="0.25">
      <c r="A218" s="556">
        <f>2014</f>
        <v>2014</v>
      </c>
      <c r="B218" s="557" t="s">
        <v>15</v>
      </c>
      <c r="C218" s="589">
        <v>2.2629999999999999</v>
      </c>
      <c r="D218" s="590">
        <f t="shared" si="26"/>
        <v>-3.0170566555241418</v>
      </c>
      <c r="E218" s="590">
        <f t="shared" si="33"/>
        <v>-3.3979339195765457</v>
      </c>
      <c r="F218" s="591">
        <f t="shared" si="28"/>
        <v>12.374615155427549</v>
      </c>
      <c r="G218" s="592">
        <f t="shared" si="30"/>
        <v>2.5014582412726472</v>
      </c>
    </row>
    <row r="219" spans="1:7" ht="16.5" customHeight="1" x14ac:dyDescent="0.25">
      <c r="A219" s="556">
        <f>2014</f>
        <v>2014</v>
      </c>
      <c r="B219" s="557" t="s">
        <v>16</v>
      </c>
      <c r="C219" s="589">
        <v>2.2360000000000002</v>
      </c>
      <c r="D219" s="590">
        <f t="shared" si="26"/>
        <v>-1.193106495802021</v>
      </c>
      <c r="E219" s="590">
        <f t="shared" si="33"/>
        <v>-4.5504994450610408</v>
      </c>
      <c r="F219" s="591">
        <f t="shared" si="28"/>
        <v>11.705050706899133</v>
      </c>
      <c r="G219" s="592">
        <f t="shared" si="30"/>
        <v>2.5316636851520569</v>
      </c>
    </row>
    <row r="220" spans="1:7" ht="16.5" customHeight="1" x14ac:dyDescent="0.25">
      <c r="A220" s="556">
        <f>2014</f>
        <v>2014</v>
      </c>
      <c r="B220" s="557" t="s">
        <v>17</v>
      </c>
      <c r="C220" s="589">
        <v>2.2389999999999999</v>
      </c>
      <c r="D220" s="590">
        <f t="shared" si="26"/>
        <v>0.13416815742395283</v>
      </c>
      <c r="E220" s="590">
        <f t="shared" si="33"/>
        <v>-4.422436608896108</v>
      </c>
      <c r="F220" s="591">
        <f t="shared" si="28"/>
        <v>5.0236877902340549</v>
      </c>
      <c r="G220" s="592">
        <f t="shared" si="30"/>
        <v>2.5282715497990176</v>
      </c>
    </row>
    <row r="221" spans="1:7" ht="16.5" customHeight="1" x14ac:dyDescent="0.25">
      <c r="A221" s="556">
        <f>2014</f>
        <v>2014</v>
      </c>
      <c r="B221" s="557" t="s">
        <v>18</v>
      </c>
      <c r="C221" s="589">
        <v>2.2025000000000001</v>
      </c>
      <c r="D221" s="590">
        <f t="shared" si="26"/>
        <v>-1.6301920500223166</v>
      </c>
      <c r="E221" s="590">
        <f t="shared" si="33"/>
        <v>-5.9805344489029189</v>
      </c>
      <c r="F221" s="591">
        <f t="shared" si="28"/>
        <v>-0.5912619606426972</v>
      </c>
      <c r="G221" s="592">
        <f t="shared" si="30"/>
        <v>2.5701702610669694</v>
      </c>
    </row>
    <row r="222" spans="1:7" ht="16.5" customHeight="1" x14ac:dyDescent="0.25">
      <c r="A222" s="556">
        <f>2014</f>
        <v>2014</v>
      </c>
      <c r="B222" s="557" t="s">
        <v>19</v>
      </c>
      <c r="C222" s="589">
        <f>[8]Julho!$C$32</f>
        <v>2.2673999999999999</v>
      </c>
      <c r="D222" s="590">
        <f t="shared" si="26"/>
        <v>2.9466515323495868</v>
      </c>
      <c r="E222" s="590">
        <f t="shared" si="33"/>
        <v>-3.2101084265346302</v>
      </c>
      <c r="F222" s="591">
        <f t="shared" si="28"/>
        <v>-0.99986901279307538</v>
      </c>
      <c r="G222" s="592">
        <f t="shared" si="30"/>
        <v>2.496604039869454</v>
      </c>
    </row>
    <row r="223" spans="1:7" ht="16.5" customHeight="1" x14ac:dyDescent="0.25">
      <c r="A223" s="556">
        <f>2014</f>
        <v>2014</v>
      </c>
      <c r="B223" s="557" t="s">
        <v>20</v>
      </c>
      <c r="C223" s="589">
        <f>[8]Agosto!$C$30</f>
        <v>2.2395999999999998</v>
      </c>
      <c r="D223" s="590">
        <f t="shared" si="26"/>
        <v>-1.2260739172620605</v>
      </c>
      <c r="E223" s="590">
        <f t="shared" si="33"/>
        <v>-4.3968240416631161</v>
      </c>
      <c r="F223" s="591">
        <f t="shared" si="28"/>
        <v>-5.6016859852476397</v>
      </c>
      <c r="G223" s="592">
        <f t="shared" si="30"/>
        <v>2.5275942132523666</v>
      </c>
    </row>
    <row r="224" spans="1:7" ht="16.5" customHeight="1" x14ac:dyDescent="0.25">
      <c r="A224" s="556">
        <f>2014</f>
        <v>2014</v>
      </c>
      <c r="B224" s="557" t="s">
        <v>21</v>
      </c>
      <c r="C224" s="589">
        <f>[8]Setembro!$C$31</f>
        <v>2.4510000000000001</v>
      </c>
      <c r="D224" s="590">
        <f t="shared" si="26"/>
        <v>9.4391855688515935</v>
      </c>
      <c r="E224" s="590">
        <f t="shared" si="33"/>
        <v>4.6273371467600022</v>
      </c>
      <c r="F224" s="591">
        <f t="shared" si="28"/>
        <v>9.9103139013452903</v>
      </c>
      <c r="G224" s="592">
        <f t="shared" si="30"/>
        <v>2.3095879232966134</v>
      </c>
    </row>
    <row r="225" spans="1:10" ht="16.5" customHeight="1" x14ac:dyDescent="0.25">
      <c r="A225" s="556">
        <f>2014</f>
        <v>2014</v>
      </c>
      <c r="B225" s="557" t="s">
        <v>22</v>
      </c>
      <c r="C225" s="589">
        <f>[8]Outubro!$C$32</f>
        <v>2.4441999999999999</v>
      </c>
      <c r="D225" s="590">
        <f t="shared" ref="D225:D288" si="34">((C225/C224)-1)*100</f>
        <v>-0.27743778049775791</v>
      </c>
      <c r="E225" s="590">
        <f t="shared" si="33"/>
        <v>4.3370613847861339</v>
      </c>
      <c r="F225" s="591">
        <f t="shared" si="28"/>
        <v>10.968854989557798</v>
      </c>
      <c r="G225" s="592">
        <f t="shared" si="30"/>
        <v>2.3160134195237707</v>
      </c>
    </row>
    <row r="226" spans="1:10" ht="16.5" customHeight="1" x14ac:dyDescent="0.25">
      <c r="A226" s="556">
        <f>2014</f>
        <v>2014</v>
      </c>
      <c r="B226" s="557" t="s">
        <v>23</v>
      </c>
      <c r="C226" s="589">
        <f>[8]Novembro!$C$29</f>
        <v>2.5600999999999998</v>
      </c>
      <c r="D226" s="590">
        <f t="shared" si="34"/>
        <v>4.7418378201456557</v>
      </c>
      <c r="E226" s="590">
        <f t="shared" si="33"/>
        <v>9.2845556219584893</v>
      </c>
      <c r="F226" s="591">
        <f t="shared" si="28"/>
        <v>10.116564153296913</v>
      </c>
      <c r="G226" s="592">
        <f t="shared" si="30"/>
        <v>2.2111636264208432</v>
      </c>
      <c r="H226" s="593">
        <f t="shared" ref="H226:H289" si="35">100*(C226/$C$9-1)</f>
        <v>172.35106382978725</v>
      </c>
      <c r="I226" s="593">
        <f t="shared" ref="I226:I289" si="36">100*(C226/C202-1)</f>
        <v>21.481446331973018</v>
      </c>
      <c r="J226" s="190"/>
    </row>
    <row r="227" spans="1:10" ht="16.5" customHeight="1" x14ac:dyDescent="0.25">
      <c r="A227" s="556">
        <f>2014</f>
        <v>2014</v>
      </c>
      <c r="B227" s="557" t="s">
        <v>12</v>
      </c>
      <c r="C227" s="589">
        <f>[8]Dezembro!$C$25</f>
        <v>2.6562000000000001</v>
      </c>
      <c r="D227" s="590">
        <f t="shared" si="34"/>
        <v>3.7537596187648958</v>
      </c>
      <c r="E227" s="590">
        <f t="shared" si="33"/>
        <v>13.386835140442255</v>
      </c>
      <c r="F227" s="591">
        <f t="shared" si="28"/>
        <v>13.386835140442255</v>
      </c>
      <c r="G227" s="592">
        <f t="shared" si="30"/>
        <v>2.1311648219260597</v>
      </c>
      <c r="H227" s="593">
        <f t="shared" si="35"/>
        <v>182.57446808510642</v>
      </c>
      <c r="I227" s="593">
        <f t="shared" si="36"/>
        <v>29.982872522632743</v>
      </c>
      <c r="J227" s="190"/>
    </row>
    <row r="228" spans="1:10" ht="16.5" customHeight="1" x14ac:dyDescent="0.25">
      <c r="A228" s="556">
        <f>2015</f>
        <v>2015</v>
      </c>
      <c r="B228" s="557" t="s">
        <v>13</v>
      </c>
      <c r="C228" s="589">
        <f>[9]Janeiro!$C$24</f>
        <v>2.6623000000000001</v>
      </c>
      <c r="D228" s="590">
        <f t="shared" si="34"/>
        <v>0.22965138167305721</v>
      </c>
      <c r="E228" s="590">
        <f t="shared" ref="E228:E239" si="37">+((C228/C$227-1)*100)</f>
        <v>0.22965138167305721</v>
      </c>
      <c r="F228" s="591">
        <f t="shared" si="28"/>
        <v>9.7267444256687199</v>
      </c>
      <c r="G228" s="592">
        <f t="shared" si="30"/>
        <v>2.1262817864252712</v>
      </c>
      <c r="H228" s="593">
        <f t="shared" si="35"/>
        <v>183.22340425531917</v>
      </c>
      <c r="I228" s="593">
        <f t="shared" si="36"/>
        <v>33.898305084745758</v>
      </c>
      <c r="J228" s="190"/>
    </row>
    <row r="229" spans="1:10" ht="16.5" customHeight="1" x14ac:dyDescent="0.25">
      <c r="A229" s="556">
        <f>2015</f>
        <v>2015</v>
      </c>
      <c r="B229" s="557" t="s">
        <v>14</v>
      </c>
      <c r="C229" s="589">
        <f>[9]Fevereiro!$C$18</f>
        <v>2.8782000000000001</v>
      </c>
      <c r="D229" s="590">
        <f t="shared" si="34"/>
        <v>8.1095293543177007</v>
      </c>
      <c r="E229" s="590">
        <f t="shared" si="37"/>
        <v>8.3578043822001291</v>
      </c>
      <c r="F229" s="591">
        <f t="shared" si="28"/>
        <v>23.347904345590131</v>
      </c>
      <c r="G229" s="592">
        <f t="shared" si="30"/>
        <v>1.9667847960530886</v>
      </c>
      <c r="H229" s="593">
        <f t="shared" si="35"/>
        <v>206.19148936170214</v>
      </c>
      <c r="I229" s="593">
        <f t="shared" si="36"/>
        <v>45.702136276197237</v>
      </c>
      <c r="J229" s="190"/>
    </row>
    <row r="230" spans="1:10" ht="16.5" customHeight="1" x14ac:dyDescent="0.25">
      <c r="A230" s="556">
        <f>2015</f>
        <v>2015</v>
      </c>
      <c r="B230" s="557" t="s">
        <v>15</v>
      </c>
      <c r="C230" s="589">
        <f>[9]Março!$C$25</f>
        <v>3.2080000000000002</v>
      </c>
      <c r="D230" s="590">
        <f t="shared" si="34"/>
        <v>11.458550482940733</v>
      </c>
      <c r="E230" s="590">
        <f t="shared" si="37"/>
        <v>20.774038099540704</v>
      </c>
      <c r="F230" s="591">
        <f t="shared" si="28"/>
        <v>41.758727353071158</v>
      </c>
      <c r="G230" s="592">
        <f t="shared" si="30"/>
        <v>1.7645885286783041</v>
      </c>
      <c r="H230" s="593">
        <f t="shared" si="35"/>
        <v>241.27659574468089</v>
      </c>
      <c r="I230" s="593">
        <f t="shared" si="36"/>
        <v>59.300824312245524</v>
      </c>
      <c r="J230" s="190"/>
    </row>
    <row r="231" spans="1:10" ht="16.5" customHeight="1" x14ac:dyDescent="0.25">
      <c r="A231" s="556">
        <f>2015</f>
        <v>2015</v>
      </c>
      <c r="B231" s="557" t="s">
        <v>16</v>
      </c>
      <c r="C231" s="589">
        <f>[9]Abril!$C$23</f>
        <v>2.9935999999999998</v>
      </c>
      <c r="D231" s="590">
        <f t="shared" si="34"/>
        <v>-6.6832917705735735</v>
      </c>
      <c r="E231" s="590">
        <f t="shared" si="37"/>
        <v>12.702356750244693</v>
      </c>
      <c r="F231" s="591">
        <f t="shared" si="28"/>
        <v>33.881932021466874</v>
      </c>
      <c r="G231" s="592">
        <f t="shared" si="30"/>
        <v>1.890967397113843</v>
      </c>
      <c r="H231" s="593">
        <f t="shared" si="35"/>
        <v>218.46808510638297</v>
      </c>
      <c r="I231" s="593">
        <f t="shared" si="36"/>
        <v>49.552880051955817</v>
      </c>
      <c r="J231" s="190"/>
    </row>
    <row r="232" spans="1:10" ht="16.5" customHeight="1" x14ac:dyDescent="0.25">
      <c r="A232" s="556">
        <f>2015</f>
        <v>2015</v>
      </c>
      <c r="B232" s="557" t="s">
        <v>17</v>
      </c>
      <c r="C232" s="589">
        <f>[9]Maio!$C$23</f>
        <v>3.1787999999999998</v>
      </c>
      <c r="D232" s="590">
        <f t="shared" si="34"/>
        <v>6.1865312667022998</v>
      </c>
      <c r="E232" s="590">
        <f t="shared" si="37"/>
        <v>19.674723288908957</v>
      </c>
      <c r="F232" s="591">
        <f t="shared" si="28"/>
        <v>41.974095578383206</v>
      </c>
      <c r="G232" s="592">
        <f t="shared" si="30"/>
        <v>1.7807977853277968</v>
      </c>
      <c r="H232" s="593">
        <f t="shared" si="35"/>
        <v>238.17021276595747</v>
      </c>
      <c r="I232" s="593">
        <f t="shared" si="36"/>
        <v>49.106430883249686</v>
      </c>
      <c r="J232" s="190"/>
    </row>
    <row r="233" spans="1:10" ht="16.5" customHeight="1" x14ac:dyDescent="0.25">
      <c r="A233" s="556">
        <f>2015</f>
        <v>2015</v>
      </c>
      <c r="B233" s="557" t="s">
        <v>18</v>
      </c>
      <c r="C233" s="589">
        <f>[9]Junho!$C$24</f>
        <v>3.1025999999999998</v>
      </c>
      <c r="D233" s="590">
        <f t="shared" si="34"/>
        <v>-2.3971309928274787</v>
      </c>
      <c r="E233" s="590">
        <f t="shared" si="37"/>
        <v>16.805963406369994</v>
      </c>
      <c r="F233" s="591">
        <f t="shared" si="28"/>
        <v>40.867196367763881</v>
      </c>
      <c r="G233" s="592">
        <f t="shared" si="30"/>
        <v>1.8245342615870561</v>
      </c>
      <c r="H233" s="593">
        <f t="shared" si="35"/>
        <v>230.06382978723403</v>
      </c>
      <c r="I233" s="593">
        <f t="shared" si="36"/>
        <v>40.034302220617434</v>
      </c>
      <c r="J233" s="190"/>
    </row>
    <row r="234" spans="1:10" ht="16.5" customHeight="1" x14ac:dyDescent="0.25">
      <c r="A234" s="556">
        <f>2015</f>
        <v>2015</v>
      </c>
      <c r="B234" s="557" t="s">
        <v>19</v>
      </c>
      <c r="C234" s="589">
        <f>[9]Julho!$C$26</f>
        <v>3.3940000000000001</v>
      </c>
      <c r="D234" s="590">
        <f t="shared" si="34"/>
        <v>9.3921227357700143</v>
      </c>
      <c r="E234" s="590">
        <f t="shared" si="37"/>
        <v>27.776522852194873</v>
      </c>
      <c r="F234" s="591">
        <f t="shared" si="28"/>
        <v>49.68686601393668</v>
      </c>
      <c r="G234" s="592">
        <f t="shared" si="30"/>
        <v>1.6678845020624631</v>
      </c>
      <c r="H234" s="593">
        <f t="shared" si="35"/>
        <v>261.06382978723406</v>
      </c>
      <c r="I234" s="593">
        <f t="shared" si="36"/>
        <v>48.190193424442242</v>
      </c>
      <c r="J234" s="190"/>
    </row>
    <row r="235" spans="1:10" ht="16.5" customHeight="1" x14ac:dyDescent="0.25">
      <c r="A235" s="556">
        <f>2015</f>
        <v>2015</v>
      </c>
      <c r="B235" s="557" t="s">
        <v>20</v>
      </c>
      <c r="C235" s="589">
        <f>[9]Agosto!$C$24</f>
        <v>3.6467000000000001</v>
      </c>
      <c r="D235" s="590">
        <f t="shared" si="34"/>
        <v>7.4454920447849071</v>
      </c>
      <c r="E235" s="590">
        <f t="shared" si="37"/>
        <v>37.290113696257812</v>
      </c>
      <c r="F235" s="591">
        <f t="shared" si="28"/>
        <v>62.828183604215049</v>
      </c>
      <c r="G235" s="592">
        <f t="shared" si="30"/>
        <v>1.5523075657443717</v>
      </c>
      <c r="H235" s="593">
        <f t="shared" si="35"/>
        <v>287.94680851063833</v>
      </c>
      <c r="I235" s="593">
        <f t="shared" si="36"/>
        <v>53.707060063224453</v>
      </c>
      <c r="J235" s="190"/>
    </row>
    <row r="236" spans="1:10" ht="16.5" customHeight="1" x14ac:dyDescent="0.25">
      <c r="A236" s="556">
        <f>2015</f>
        <v>2015</v>
      </c>
      <c r="B236" s="557" t="s">
        <v>21</v>
      </c>
      <c r="C236" s="589">
        <f>[9]Setembro!$C$24</f>
        <v>3.9729000000000001</v>
      </c>
      <c r="D236" s="590">
        <f t="shared" si="34"/>
        <v>8.9450736282118193</v>
      </c>
      <c r="E236" s="590">
        <f t="shared" si="37"/>
        <v>49.570815450643771</v>
      </c>
      <c r="F236" s="591">
        <f t="shared" ref="F236:F299" si="38">+((C236/C224-1)*100)</f>
        <v>62.093023255813961</v>
      </c>
      <c r="G236" s="592">
        <f t="shared" si="30"/>
        <v>1.4248533816607516</v>
      </c>
      <c r="H236" s="593">
        <f t="shared" si="35"/>
        <v>322.64893617021278</v>
      </c>
      <c r="I236" s="593">
        <f t="shared" si="36"/>
        <v>78.156950672645735</v>
      </c>
      <c r="J236" s="190"/>
    </row>
    <row r="237" spans="1:10" ht="16.5" customHeight="1" x14ac:dyDescent="0.25">
      <c r="A237" s="556">
        <f>2015</f>
        <v>2015</v>
      </c>
      <c r="B237" s="557" t="s">
        <v>22</v>
      </c>
      <c r="C237" s="589">
        <f>[9]Outubro!$C$24</f>
        <v>3.8589000000000002</v>
      </c>
      <c r="D237" s="590">
        <f t="shared" si="34"/>
        <v>-2.8694404591104727</v>
      </c>
      <c r="E237" s="590">
        <f t="shared" si="37"/>
        <v>45.278969957081536</v>
      </c>
      <c r="F237" s="591">
        <f t="shared" si="38"/>
        <v>57.879878896980628</v>
      </c>
      <c r="G237" s="592">
        <f t="shared" si="30"/>
        <v>1.4669465391691932</v>
      </c>
      <c r="H237" s="593">
        <f t="shared" si="35"/>
        <v>310.52127659574478</v>
      </c>
      <c r="I237" s="593">
        <f t="shared" si="36"/>
        <v>75.197493870879882</v>
      </c>
      <c r="J237" s="190"/>
    </row>
    <row r="238" spans="1:10" ht="16.5" customHeight="1" x14ac:dyDescent="0.25">
      <c r="A238" s="556">
        <f>2015</f>
        <v>2015</v>
      </c>
      <c r="B238" s="557" t="s">
        <v>23</v>
      </c>
      <c r="C238" s="589">
        <f>[9]Novembro!$C$23</f>
        <v>3.8506</v>
      </c>
      <c r="D238" s="590">
        <f t="shared" si="34"/>
        <v>-0.21508720101584</v>
      </c>
      <c r="E238" s="590">
        <f t="shared" si="37"/>
        <v>44.966493486936223</v>
      </c>
      <c r="F238" s="591">
        <f t="shared" si="38"/>
        <v>50.408187180188293</v>
      </c>
      <c r="G238" s="592">
        <f t="shared" si="30"/>
        <v>1.4701085545109853</v>
      </c>
      <c r="H238" s="593">
        <f t="shared" si="35"/>
        <v>309.63829787234044</v>
      </c>
      <c r="I238" s="593">
        <f t="shared" si="36"/>
        <v>65.62432792808292</v>
      </c>
      <c r="J238" s="190"/>
    </row>
    <row r="239" spans="1:10" ht="16.5" customHeight="1" x14ac:dyDescent="0.25">
      <c r="A239" s="556">
        <f>2015</f>
        <v>2015</v>
      </c>
      <c r="B239" s="557" t="s">
        <v>12</v>
      </c>
      <c r="C239" s="589">
        <f>[9]Dezembro!$C$25</f>
        <v>3.9047999999999998</v>
      </c>
      <c r="D239" s="590">
        <f t="shared" si="34"/>
        <v>1.4075728457902503</v>
      </c>
      <c r="E239" s="590">
        <f t="shared" si="37"/>
        <v>47.007002484752647</v>
      </c>
      <c r="F239" s="591">
        <f t="shared" si="38"/>
        <v>47.007002484752647</v>
      </c>
      <c r="G239" s="592">
        <f t="shared" si="30"/>
        <v>1.449702929727515</v>
      </c>
      <c r="H239" s="593">
        <f t="shared" si="35"/>
        <v>315.40425531914894</v>
      </c>
      <c r="I239" s="593">
        <f t="shared" si="36"/>
        <v>66.686587552292309</v>
      </c>
      <c r="J239" s="190"/>
    </row>
    <row r="240" spans="1:10" x14ac:dyDescent="0.25">
      <c r="A240" s="556">
        <f>2016</f>
        <v>2016</v>
      </c>
      <c r="B240" s="557" t="s">
        <v>13</v>
      </c>
      <c r="C240" s="589">
        <f>[10]Janeiro!$C$23</f>
        <v>4.0427999999999997</v>
      </c>
      <c r="D240" s="590">
        <f t="shared" si="34"/>
        <v>3.5341118623232859</v>
      </c>
      <c r="E240" s="590">
        <f t="shared" ref="E240:E246" si="39">+((C240/C$239-1)*100)</f>
        <v>3.5341118623232859</v>
      </c>
      <c r="F240" s="591">
        <f t="shared" si="38"/>
        <v>51.853660368853973</v>
      </c>
      <c r="G240" s="592">
        <f t="shared" si="30"/>
        <v>1.4002176709211438</v>
      </c>
      <c r="H240" s="593">
        <f t="shared" si="35"/>
        <v>330.08510638297872</v>
      </c>
      <c r="I240" s="593">
        <f t="shared" si="36"/>
        <v>66.62407781395541</v>
      </c>
      <c r="J240" s="190"/>
    </row>
    <row r="241" spans="1:10" ht="16.5" customHeight="1" x14ac:dyDescent="0.25">
      <c r="A241" s="556">
        <f>2016</f>
        <v>2016</v>
      </c>
      <c r="B241" s="557" t="s">
        <v>14</v>
      </c>
      <c r="C241" s="589">
        <f>[10]Fevereiro!$C$22</f>
        <v>3.9796</v>
      </c>
      <c r="D241" s="590">
        <f t="shared" si="34"/>
        <v>-1.5632729791233757</v>
      </c>
      <c r="E241" s="590">
        <f t="shared" si="39"/>
        <v>1.9155910674042209</v>
      </c>
      <c r="F241" s="591">
        <f t="shared" si="38"/>
        <v>38.266972413313873</v>
      </c>
      <c r="G241" s="592">
        <f t="shared" si="30"/>
        <v>1.4224545180420143</v>
      </c>
      <c r="H241" s="593">
        <f t="shared" si="35"/>
        <v>323.36170212765961</v>
      </c>
      <c r="I241" s="593">
        <f t="shared" si="36"/>
        <v>70.549412873917873</v>
      </c>
      <c r="J241" s="190"/>
    </row>
    <row r="242" spans="1:10" ht="16.5" customHeight="1" x14ac:dyDescent="0.25">
      <c r="A242" s="556">
        <f>2016</f>
        <v>2016</v>
      </c>
      <c r="B242" s="557" t="s">
        <v>15</v>
      </c>
      <c r="C242" s="589">
        <f>[10]Março!$C$25</f>
        <v>3.5589</v>
      </c>
      <c r="D242" s="590">
        <f t="shared" si="34"/>
        <v>-10.571414212483665</v>
      </c>
      <c r="E242" s="590">
        <f t="shared" si="39"/>
        <v>-8.8583282114320756</v>
      </c>
      <c r="F242" s="591">
        <f t="shared" si="38"/>
        <v>10.938279301745624</v>
      </c>
      <c r="G242" s="592">
        <f t="shared" si="30"/>
        <v>1.5906038382646324</v>
      </c>
      <c r="H242" s="593">
        <f t="shared" si="35"/>
        <v>278.60638297872339</v>
      </c>
      <c r="I242" s="593">
        <f t="shared" si="36"/>
        <v>57.264692885550161</v>
      </c>
      <c r="J242" s="190"/>
    </row>
    <row r="243" spans="1:10" ht="16.5" customHeight="1" x14ac:dyDescent="0.25">
      <c r="A243" s="556">
        <f>2016</f>
        <v>2016</v>
      </c>
      <c r="B243" s="557" t="s">
        <v>16</v>
      </c>
      <c r="C243" s="589">
        <f>[10]Abril!$C$23</f>
        <v>3.4508000000000001</v>
      </c>
      <c r="D243" s="590">
        <f t="shared" si="34"/>
        <v>-3.0374553935204607</v>
      </c>
      <c r="E243" s="590">
        <f t="shared" si="39"/>
        <v>-11.626715836918656</v>
      </c>
      <c r="F243" s="591">
        <f t="shared" si="38"/>
        <v>15.272581507215399</v>
      </c>
      <c r="G243" s="592">
        <f t="shared" si="30"/>
        <v>1.6404312043584097</v>
      </c>
      <c r="H243" s="593">
        <f t="shared" si="35"/>
        <v>267.10638297872345</v>
      </c>
      <c r="I243" s="593">
        <f t="shared" si="36"/>
        <v>54.329159212880128</v>
      </c>
      <c r="J243" s="190"/>
    </row>
    <row r="244" spans="1:10" ht="16.5" customHeight="1" x14ac:dyDescent="0.25">
      <c r="A244" s="556">
        <f>2016</f>
        <v>2016</v>
      </c>
      <c r="B244" s="557" t="s">
        <v>17</v>
      </c>
      <c r="C244" s="589">
        <f>[10]Maio!$C$24</f>
        <v>3.5951</v>
      </c>
      <c r="D244" s="590">
        <f t="shared" si="34"/>
        <v>4.1816390402225512</v>
      </c>
      <c r="E244" s="590">
        <f t="shared" si="39"/>
        <v>-7.9312640852284293</v>
      </c>
      <c r="F244" s="591">
        <f t="shared" si="38"/>
        <v>13.096136907008948</v>
      </c>
      <c r="G244" s="592">
        <f t="shared" si="30"/>
        <v>1.5745876331673667</v>
      </c>
      <c r="H244" s="593">
        <f t="shared" si="35"/>
        <v>282.45744680851061</v>
      </c>
      <c r="I244" s="593">
        <f t="shared" si="36"/>
        <v>60.567217507815997</v>
      </c>
      <c r="J244" s="190"/>
    </row>
    <row r="245" spans="1:10" ht="16.5" customHeight="1" x14ac:dyDescent="0.25">
      <c r="A245" s="556">
        <f>2016</f>
        <v>2016</v>
      </c>
      <c r="B245" s="557" t="s">
        <v>18</v>
      </c>
      <c r="C245" s="589">
        <f>[10]Junho!$C$25</f>
        <v>3.2098</v>
      </c>
      <c r="D245" s="590">
        <f t="shared" si="34"/>
        <v>-10.717365302773219</v>
      </c>
      <c r="E245" s="590">
        <f t="shared" si="39"/>
        <v>-17.798606842860064</v>
      </c>
      <c r="F245" s="591">
        <f t="shared" si="38"/>
        <v>3.4551666344356358</v>
      </c>
      <c r="G245" s="592">
        <f t="shared" si="30"/>
        <v>1.7635989781294785</v>
      </c>
      <c r="H245" s="593">
        <f t="shared" si="35"/>
        <v>241.46808510638297</v>
      </c>
      <c r="I245" s="593">
        <f t="shared" si="36"/>
        <v>45.734392735527798</v>
      </c>
      <c r="J245" s="190"/>
    </row>
    <row r="246" spans="1:10" ht="16.5" customHeight="1" x14ac:dyDescent="0.25">
      <c r="A246" s="556">
        <f>2016</f>
        <v>2016</v>
      </c>
      <c r="B246" s="557" t="s">
        <v>19</v>
      </c>
      <c r="C246" s="589">
        <f>[10]Julho!$C$24</f>
        <v>3.2389999999999999</v>
      </c>
      <c r="D246" s="590">
        <f t="shared" si="34"/>
        <v>0.90971400087231924</v>
      </c>
      <c r="E246" s="590">
        <f t="shared" si="39"/>
        <v>-17.050809260397457</v>
      </c>
      <c r="F246" s="591">
        <f t="shared" si="38"/>
        <v>-4.5668827342368985</v>
      </c>
      <c r="G246" s="592">
        <f t="shared" ref="G246:G309" si="40">+$C$351/C246</f>
        <v>1.7476999073788206</v>
      </c>
      <c r="H246" s="593">
        <f t="shared" si="35"/>
        <v>244.57446808510639</v>
      </c>
      <c r="I246" s="593">
        <f t="shared" si="36"/>
        <v>42.850842374525897</v>
      </c>
      <c r="J246" s="190"/>
    </row>
    <row r="247" spans="1:10" ht="16.5" customHeight="1" x14ac:dyDescent="0.25">
      <c r="A247" s="556">
        <f>2016</f>
        <v>2016</v>
      </c>
      <c r="B247" s="557" t="s">
        <v>20</v>
      </c>
      <c r="C247" s="589">
        <f>[10]Agosto!$C$26</f>
        <v>3.2403</v>
      </c>
      <c r="D247" s="590">
        <f t="shared" si="34"/>
        <v>4.0135844396416154E-2</v>
      </c>
      <c r="E247" s="590">
        <f>+((C247/C$239-1)*100)</f>
        <v>-17.017516902274121</v>
      </c>
      <c r="F247" s="591">
        <f t="shared" si="38"/>
        <v>-11.144322263964678</v>
      </c>
      <c r="G247" s="592">
        <f t="shared" si="40"/>
        <v>1.7469987346850602</v>
      </c>
      <c r="H247" s="593">
        <f t="shared" si="35"/>
        <v>244.71276595744683</v>
      </c>
      <c r="I247" s="593">
        <f t="shared" si="36"/>
        <v>44.68208608680122</v>
      </c>
      <c r="J247" s="190"/>
    </row>
    <row r="248" spans="1:10" ht="16.5" customHeight="1" x14ac:dyDescent="0.25">
      <c r="A248" s="556">
        <f>2016</f>
        <v>2016</v>
      </c>
      <c r="B248" s="557" t="s">
        <v>21</v>
      </c>
      <c r="C248" s="589">
        <f>[10]Setembro!$C$25</f>
        <v>3.2563714285714291</v>
      </c>
      <c r="D248" s="590">
        <f t="shared" si="34"/>
        <v>0.49598582141867631</v>
      </c>
      <c r="E248" s="590">
        <f>+((C248/C$239-1)*100)</f>
        <v>-16.605935551848262</v>
      </c>
      <c r="F248" s="591">
        <f t="shared" si="38"/>
        <v>-18.035404148822543</v>
      </c>
      <c r="G248" s="592">
        <f t="shared" si="40"/>
        <v>1.7383766330622161</v>
      </c>
      <c r="H248" s="593">
        <f t="shared" si="35"/>
        <v>246.42249240121589</v>
      </c>
      <c r="I248" s="593">
        <f t="shared" si="36"/>
        <v>32.858891414582978</v>
      </c>
      <c r="J248" s="190"/>
    </row>
    <row r="249" spans="1:10" ht="16.5" customHeight="1" x14ac:dyDescent="0.25">
      <c r="A249" s="556">
        <f>2016</f>
        <v>2016</v>
      </c>
      <c r="B249" s="557" t="s">
        <v>22</v>
      </c>
      <c r="C249" s="589">
        <f>[10]Outubro!$C$23</f>
        <v>3.1810999999999998</v>
      </c>
      <c r="D249" s="590">
        <f t="shared" si="34"/>
        <v>-2.311512375738134</v>
      </c>
      <c r="E249" s="590">
        <f>+((C249/C$239-1)*100)</f>
        <v>-18.533599672198321</v>
      </c>
      <c r="F249" s="591">
        <f t="shared" si="38"/>
        <v>-17.564590945606273</v>
      </c>
      <c r="G249" s="592">
        <f t="shared" si="40"/>
        <v>1.7795102323095786</v>
      </c>
      <c r="H249" s="593">
        <f t="shared" si="35"/>
        <v>238.41489361702125</v>
      </c>
      <c r="I249" s="593">
        <f t="shared" si="36"/>
        <v>30.148923983307419</v>
      </c>
      <c r="J249" s="190"/>
    </row>
    <row r="250" spans="1:10" ht="16.5" customHeight="1" x14ac:dyDescent="0.25">
      <c r="A250" s="556">
        <f>2016</f>
        <v>2016</v>
      </c>
      <c r="B250" s="557" t="s">
        <v>23</v>
      </c>
      <c r="C250" s="589">
        <f>[10]Novembro!$C$23</f>
        <v>3.3967000000000001</v>
      </c>
      <c r="D250" s="590">
        <f t="shared" si="34"/>
        <v>6.7775297852944005</v>
      </c>
      <c r="E250" s="590">
        <f>+((C250/C$239-1)*100)</f>
        <v>-13.012190124974389</v>
      </c>
      <c r="F250" s="591">
        <f t="shared" si="38"/>
        <v>-11.787773334025864</v>
      </c>
      <c r="G250" s="592">
        <f t="shared" si="40"/>
        <v>1.6665587187564401</v>
      </c>
      <c r="H250" s="593">
        <f t="shared" si="35"/>
        <v>261.35106382978728</v>
      </c>
      <c r="I250" s="593">
        <f t="shared" si="36"/>
        <v>32.678410999570339</v>
      </c>
      <c r="J250" s="190"/>
    </row>
    <row r="251" spans="1:10" ht="16.5" customHeight="1" x14ac:dyDescent="0.25">
      <c r="A251" s="556">
        <f>2016</f>
        <v>2016</v>
      </c>
      <c r="B251" s="557" t="s">
        <v>12</v>
      </c>
      <c r="C251" s="589">
        <f>[10]Dezembro!$C$25</f>
        <v>3.2591000000000001</v>
      </c>
      <c r="D251" s="590">
        <f t="shared" si="34"/>
        <v>-4.0509906674124903</v>
      </c>
      <c r="E251" s="590">
        <f>+((C251/C$239-1)*100)</f>
        <v>-16.536058184798186</v>
      </c>
      <c r="F251" s="591">
        <f t="shared" si="38"/>
        <v>-16.536058184798186</v>
      </c>
      <c r="G251" s="592">
        <f t="shared" si="40"/>
        <v>1.736921235924028</v>
      </c>
      <c r="H251" s="593">
        <f t="shared" si="35"/>
        <v>246.71276595744683</v>
      </c>
      <c r="I251" s="593">
        <f t="shared" si="36"/>
        <v>22.697839018146215</v>
      </c>
      <c r="J251" s="190"/>
    </row>
    <row r="252" spans="1:10" ht="16.5" customHeight="1" x14ac:dyDescent="0.25">
      <c r="A252" s="556">
        <f>2017</f>
        <v>2017</v>
      </c>
      <c r="B252" s="557" t="s">
        <v>13</v>
      </c>
      <c r="C252" s="589">
        <f>[11]Janeiro!$C$25</f>
        <v>3.1269999999999998</v>
      </c>
      <c r="D252" s="590">
        <f t="shared" si="34"/>
        <v>-4.0532662391457919</v>
      </c>
      <c r="E252" s="590">
        <f t="shared" ref="E252:E263" si="41">+((C252/C$251-1)*100)</f>
        <v>-4.0532662391457919</v>
      </c>
      <c r="F252" s="591">
        <f t="shared" si="38"/>
        <v>-22.652616998120113</v>
      </c>
      <c r="G252" s="592">
        <f t="shared" si="40"/>
        <v>1.810297409657819</v>
      </c>
      <c r="H252" s="593">
        <f t="shared" si="35"/>
        <v>232.65957446808508</v>
      </c>
      <c r="I252" s="593">
        <f t="shared" si="36"/>
        <v>17.454832287871369</v>
      </c>
      <c r="J252" s="190"/>
    </row>
    <row r="253" spans="1:10" ht="16.5" customHeight="1" x14ac:dyDescent="0.25">
      <c r="A253" s="556">
        <f>2017</f>
        <v>2017</v>
      </c>
      <c r="B253" s="557" t="s">
        <v>14</v>
      </c>
      <c r="C253" s="589">
        <f>[11]Fevereiro!$C$21</f>
        <v>3.0992999999999999</v>
      </c>
      <c r="D253" s="590">
        <f t="shared" si="34"/>
        <v>-0.88583306683721608</v>
      </c>
      <c r="E253" s="590">
        <f t="shared" si="41"/>
        <v>-4.9031941333496976</v>
      </c>
      <c r="F253" s="591">
        <f t="shared" si="38"/>
        <v>-22.120313599356724</v>
      </c>
      <c r="G253" s="592">
        <f t="shared" si="40"/>
        <v>1.8264769464072532</v>
      </c>
      <c r="H253" s="593">
        <f t="shared" si="35"/>
        <v>229.71276595744681</v>
      </c>
      <c r="I253" s="593">
        <f t="shared" si="36"/>
        <v>7.6818845111527922</v>
      </c>
      <c r="J253" s="190"/>
    </row>
    <row r="254" spans="1:10" ht="16.5" customHeight="1" x14ac:dyDescent="0.25">
      <c r="A254" s="556">
        <f>2017</f>
        <v>2017</v>
      </c>
      <c r="B254" s="557" t="s">
        <v>15</v>
      </c>
      <c r="C254" s="589">
        <f>[11]Março!$C$26</f>
        <v>3.1684000000000001</v>
      </c>
      <c r="D254" s="590">
        <f t="shared" si="34"/>
        <v>2.2295357016100414</v>
      </c>
      <c r="E254" s="590">
        <f t="shared" si="41"/>
        <v>-2.7829768954619416</v>
      </c>
      <c r="F254" s="591">
        <f t="shared" si="38"/>
        <v>-10.972491500182635</v>
      </c>
      <c r="G254" s="592">
        <f t="shared" si="40"/>
        <v>1.7866431006186088</v>
      </c>
      <c r="H254" s="593">
        <f t="shared" si="35"/>
        <v>237.06382978723406</v>
      </c>
      <c r="I254" s="593">
        <f t="shared" si="36"/>
        <v>-1.2344139650872887</v>
      </c>
      <c r="J254" s="190"/>
    </row>
    <row r="255" spans="1:10" ht="16.5" customHeight="1" x14ac:dyDescent="0.25">
      <c r="A255" s="556">
        <f>2017</f>
        <v>2017</v>
      </c>
      <c r="B255" s="557" t="s">
        <v>16</v>
      </c>
      <c r="C255" s="589">
        <f>[11]Abril!$C$21</f>
        <v>3.1983999999999999</v>
      </c>
      <c r="D255" s="590">
        <f t="shared" si="34"/>
        <v>0.94685014518367527</v>
      </c>
      <c r="E255" s="590">
        <f t="shared" si="41"/>
        <v>-1.8624773710533615</v>
      </c>
      <c r="F255" s="591">
        <f t="shared" si="38"/>
        <v>-7.3142459719485409</v>
      </c>
      <c r="G255" s="592">
        <f t="shared" si="40"/>
        <v>1.7698849424712357</v>
      </c>
      <c r="H255" s="593">
        <f t="shared" si="35"/>
        <v>240.2553191489362</v>
      </c>
      <c r="I255" s="593">
        <f t="shared" si="36"/>
        <v>6.8412613575628001</v>
      </c>
      <c r="J255" s="190"/>
    </row>
    <row r="256" spans="1:10" ht="16.5" customHeight="1" x14ac:dyDescent="0.25">
      <c r="A256" s="556">
        <f>2017</f>
        <v>2017</v>
      </c>
      <c r="B256" s="557" t="s">
        <v>17</v>
      </c>
      <c r="C256" s="589">
        <f>[11]Maio!$C$25</f>
        <v>3.2437</v>
      </c>
      <c r="D256" s="590">
        <f t="shared" si="34"/>
        <v>1.4163331665832946</v>
      </c>
      <c r="E256" s="590">
        <f t="shared" si="41"/>
        <v>-0.47252308919640829</v>
      </c>
      <c r="F256" s="591">
        <f t="shared" si="38"/>
        <v>-9.7744151762120701</v>
      </c>
      <c r="G256" s="592">
        <f t="shared" si="40"/>
        <v>1.7451675555692574</v>
      </c>
      <c r="H256" s="593">
        <f t="shared" si="35"/>
        <v>245.07446808510642</v>
      </c>
      <c r="I256" s="593">
        <f t="shared" si="36"/>
        <v>2.0416509374606928</v>
      </c>
      <c r="J256" s="190"/>
    </row>
    <row r="257" spans="1:10" ht="16.5" customHeight="1" x14ac:dyDescent="0.25">
      <c r="A257" s="556">
        <f>2017</f>
        <v>2017</v>
      </c>
      <c r="B257" s="557" t="s">
        <v>18</v>
      </c>
      <c r="C257" s="589">
        <f>[11]Junho!$C$24</f>
        <v>3.3081999999999998</v>
      </c>
      <c r="D257" s="590">
        <f t="shared" si="34"/>
        <v>1.9884699571476983</v>
      </c>
      <c r="E257" s="590">
        <f t="shared" si="41"/>
        <v>1.5065508882820211</v>
      </c>
      <c r="F257" s="591">
        <f t="shared" si="38"/>
        <v>3.0656115645834481</v>
      </c>
      <c r="G257" s="592">
        <f t="shared" si="40"/>
        <v>1.711142010761139</v>
      </c>
      <c r="H257" s="593">
        <f t="shared" si="35"/>
        <v>251.93617021276594</v>
      </c>
      <c r="I257" s="593">
        <f t="shared" si="36"/>
        <v>6.6267001869399822</v>
      </c>
      <c r="J257" s="190"/>
    </row>
    <row r="258" spans="1:10" ht="16.5" customHeight="1" x14ac:dyDescent="0.25">
      <c r="A258" s="556">
        <f>2017</f>
        <v>2017</v>
      </c>
      <c r="B258" s="557" t="s">
        <v>19</v>
      </c>
      <c r="C258" s="589">
        <f>[11]Julho!$C$24</f>
        <v>3.1307</v>
      </c>
      <c r="D258" s="590">
        <f t="shared" si="34"/>
        <v>-5.3654555347318666</v>
      </c>
      <c r="E258" s="590">
        <f t="shared" si="41"/>
        <v>-3.9397379644687258</v>
      </c>
      <c r="F258" s="591">
        <f t="shared" si="38"/>
        <v>-3.3436245754862592</v>
      </c>
      <c r="G258" s="592">
        <f t="shared" si="40"/>
        <v>1.8081579199540039</v>
      </c>
      <c r="H258" s="593">
        <f t="shared" si="35"/>
        <v>233.05319148936175</v>
      </c>
      <c r="I258" s="593">
        <f t="shared" si="36"/>
        <v>-7.7578078962875718</v>
      </c>
      <c r="J258" s="190"/>
    </row>
    <row r="259" spans="1:10" ht="16.5" customHeight="1" x14ac:dyDescent="0.25">
      <c r="A259" s="556">
        <f>2017</f>
        <v>2017</v>
      </c>
      <c r="B259" s="557" t="s">
        <v>20</v>
      </c>
      <c r="C259" s="589">
        <f>[11]Agosto!$C$26</f>
        <v>3.1471</v>
      </c>
      <c r="D259" s="590">
        <f t="shared" si="34"/>
        <v>0.52384450761810974</v>
      </c>
      <c r="E259" s="590">
        <f t="shared" si="41"/>
        <v>-3.436531557792033</v>
      </c>
      <c r="F259" s="591">
        <f t="shared" si="38"/>
        <v>-2.8762768879424749</v>
      </c>
      <c r="G259" s="592">
        <f t="shared" si="40"/>
        <v>1.7987353436497093</v>
      </c>
      <c r="H259" s="593">
        <f t="shared" si="35"/>
        <v>234.79787234042556</v>
      </c>
      <c r="I259" s="593">
        <f t="shared" si="36"/>
        <v>-13.70005758631091</v>
      </c>
      <c r="J259" s="190"/>
    </row>
    <row r="260" spans="1:10" ht="16.5" customHeight="1" x14ac:dyDescent="0.25">
      <c r="A260" s="556">
        <f>2017</f>
        <v>2017</v>
      </c>
      <c r="B260" s="557" t="s">
        <v>21</v>
      </c>
      <c r="C260" s="589">
        <f>[11]Setembro!$C$23</f>
        <v>3.1680000000000001</v>
      </c>
      <c r="D260" s="590">
        <f t="shared" si="34"/>
        <v>0.66410346032856893</v>
      </c>
      <c r="E260" s="590">
        <f t="shared" si="41"/>
        <v>-2.7952502224540487</v>
      </c>
      <c r="F260" s="591">
        <f t="shared" si="38"/>
        <v>-2.7138006369929801</v>
      </c>
      <c r="G260" s="592">
        <f t="shared" si="40"/>
        <v>1.7868686868686867</v>
      </c>
      <c r="H260" s="593">
        <f t="shared" si="35"/>
        <v>237.02127659574472</v>
      </c>
      <c r="I260" s="593">
        <f t="shared" si="36"/>
        <v>-20.259759873140524</v>
      </c>
      <c r="J260" s="190"/>
    </row>
    <row r="261" spans="1:10" ht="16.5" customHeight="1" x14ac:dyDescent="0.25">
      <c r="A261" s="556">
        <f>2017</f>
        <v>2017</v>
      </c>
      <c r="B261" s="557" t="s">
        <v>22</v>
      </c>
      <c r="C261" s="589">
        <f>[11]Outubro!$C$24</f>
        <v>3.2768999999999999</v>
      </c>
      <c r="D261" s="590">
        <f t="shared" si="34"/>
        <v>3.4374999999999822</v>
      </c>
      <c r="E261" s="590">
        <f t="shared" si="41"/>
        <v>0.54616305114909558</v>
      </c>
      <c r="F261" s="591">
        <f t="shared" si="38"/>
        <v>3.0115368897551287</v>
      </c>
      <c r="G261" s="592">
        <f t="shared" si="40"/>
        <v>1.7274863438005432</v>
      </c>
      <c r="H261" s="593">
        <f t="shared" si="35"/>
        <v>248.60638297872342</v>
      </c>
      <c r="I261" s="593">
        <f t="shared" si="36"/>
        <v>-15.082018191712676</v>
      </c>
      <c r="J261" s="190"/>
    </row>
    <row r="262" spans="1:10" ht="16.5" customHeight="1" x14ac:dyDescent="0.25">
      <c r="A262" s="556">
        <f>2017</f>
        <v>2017</v>
      </c>
      <c r="B262" s="557" t="s">
        <v>23</v>
      </c>
      <c r="C262" s="589">
        <f>[11]Novembro!$C$23</f>
        <v>3.2616000000000001</v>
      </c>
      <c r="D262" s="590">
        <f t="shared" si="34"/>
        <v>-0.46690469651193833</v>
      </c>
      <c r="E262" s="590">
        <f t="shared" si="41"/>
        <v>7.6708293700722407E-2</v>
      </c>
      <c r="F262" s="591">
        <f t="shared" si="38"/>
        <v>-3.9773898195307189</v>
      </c>
      <c r="G262" s="592">
        <f t="shared" si="40"/>
        <v>1.7355898945302919</v>
      </c>
      <c r="H262" s="593">
        <f t="shared" si="35"/>
        <v>246.97872340425536</v>
      </c>
      <c r="I262" s="593">
        <f t="shared" si="36"/>
        <v>-15.296317457019681</v>
      </c>
      <c r="J262" s="190"/>
    </row>
    <row r="263" spans="1:10" ht="16.5" customHeight="1" x14ac:dyDescent="0.25">
      <c r="A263" s="556">
        <f>2017</f>
        <v>2017</v>
      </c>
      <c r="B263" s="557" t="s">
        <v>12</v>
      </c>
      <c r="C263" s="589">
        <f>[11]Dezembro!$C$23</f>
        <v>3.3079999999999998</v>
      </c>
      <c r="D263" s="590">
        <f t="shared" si="34"/>
        <v>1.4226146676477702</v>
      </c>
      <c r="E263" s="590">
        <f t="shared" si="41"/>
        <v>1.5004142247859731</v>
      </c>
      <c r="F263" s="591">
        <f t="shared" si="38"/>
        <v>1.5004142247859731</v>
      </c>
      <c r="G263" s="592">
        <f t="shared" si="40"/>
        <v>1.7112454655380895</v>
      </c>
      <c r="H263" s="593">
        <f t="shared" si="35"/>
        <v>251.91489361702128</v>
      </c>
      <c r="I263" s="593">
        <f t="shared" si="36"/>
        <v>-15.283753329235816</v>
      </c>
      <c r="J263" s="190"/>
    </row>
    <row r="264" spans="1:10" ht="16.5" customHeight="1" x14ac:dyDescent="0.25">
      <c r="A264" s="556">
        <f>2018</f>
        <v>2018</v>
      </c>
      <c r="B264" s="557" t="s">
        <v>13</v>
      </c>
      <c r="C264" s="589">
        <f>[12]Janeiro!$C$25</f>
        <v>3.1623999999999999</v>
      </c>
      <c r="D264" s="590">
        <f t="shared" si="34"/>
        <v>-4.4014510278113654</v>
      </c>
      <c r="E264" s="590">
        <f t="shared" ref="E264:E275" si="42">+((C264/C$263-1)*100)</f>
        <v>-4.4014510278113654</v>
      </c>
      <c r="F264" s="591">
        <f t="shared" si="38"/>
        <v>1.132075471698113</v>
      </c>
      <c r="G264" s="592">
        <f t="shared" si="40"/>
        <v>1.7900328864153807</v>
      </c>
      <c r="H264" s="593">
        <f t="shared" si="35"/>
        <v>236.42553191489361</v>
      </c>
      <c r="I264" s="593">
        <f t="shared" si="36"/>
        <v>-21.776986247155438</v>
      </c>
      <c r="J264" s="190"/>
    </row>
    <row r="265" spans="1:10" ht="16.5" customHeight="1" x14ac:dyDescent="0.25">
      <c r="A265" s="556">
        <f>2018</f>
        <v>2018</v>
      </c>
      <c r="B265" s="557" t="s">
        <v>14</v>
      </c>
      <c r="C265" s="589">
        <f>[12]Fevereiro!$C$21</f>
        <v>3.2448999999999999</v>
      </c>
      <c r="D265" s="590">
        <f t="shared" si="34"/>
        <v>2.6087781431823887</v>
      </c>
      <c r="E265" s="590">
        <f t="shared" si="42"/>
        <v>-1.9074969770253913</v>
      </c>
      <c r="F265" s="591">
        <f t="shared" si="38"/>
        <v>4.6978349949988729</v>
      </c>
      <c r="G265" s="592">
        <f t="shared" si="40"/>
        <v>1.7445221732564948</v>
      </c>
      <c r="H265" s="593">
        <f t="shared" si="35"/>
        <v>245.20212765957447</v>
      </c>
      <c r="I265" s="593">
        <f t="shared" si="36"/>
        <v>-18.461654437631925</v>
      </c>
      <c r="J265" s="190"/>
    </row>
    <row r="266" spans="1:10" ht="16.5" customHeight="1" x14ac:dyDescent="0.25">
      <c r="A266" s="556">
        <f>2018</f>
        <v>2018</v>
      </c>
      <c r="B266" s="557" t="s">
        <v>15</v>
      </c>
      <c r="C266" s="589">
        <f>[12]Março!$C$24</f>
        <v>3.3237999999999999</v>
      </c>
      <c r="D266" s="590">
        <f t="shared" si="34"/>
        <v>2.4315079047120047</v>
      </c>
      <c r="E266" s="590">
        <f t="shared" si="42"/>
        <v>0.47762998790810141</v>
      </c>
      <c r="F266" s="591">
        <f t="shared" si="38"/>
        <v>4.9046837520515085</v>
      </c>
      <c r="G266" s="592">
        <f t="shared" si="40"/>
        <v>1.7031108971658946</v>
      </c>
      <c r="H266" s="593">
        <f t="shared" si="35"/>
        <v>253.59574468085108</v>
      </c>
      <c r="I266" s="593">
        <f t="shared" si="36"/>
        <v>-6.6059737559358229</v>
      </c>
      <c r="J266" s="190"/>
    </row>
    <row r="267" spans="1:10" x14ac:dyDescent="0.25">
      <c r="A267" s="556">
        <f>2018</f>
        <v>2018</v>
      </c>
      <c r="B267" s="557" t="s">
        <v>16</v>
      </c>
      <c r="C267" s="589">
        <f>[12]Abril!$C$24</f>
        <v>3.4811000000000001</v>
      </c>
      <c r="D267" s="590">
        <f t="shared" si="34"/>
        <v>4.7325350502437136</v>
      </c>
      <c r="E267" s="590">
        <f t="shared" si="42"/>
        <v>5.2327690447400377</v>
      </c>
      <c r="F267" s="591">
        <f t="shared" si="38"/>
        <v>8.8387943971986118</v>
      </c>
      <c r="G267" s="592">
        <f t="shared" si="40"/>
        <v>1.6261526528970727</v>
      </c>
      <c r="H267" s="593">
        <f t="shared" si="35"/>
        <v>270.32978723404256</v>
      </c>
      <c r="I267" s="593">
        <f t="shared" si="36"/>
        <v>0.87805726208416424</v>
      </c>
      <c r="J267" s="190"/>
    </row>
    <row r="268" spans="1:10" x14ac:dyDescent="0.25">
      <c r="A268" s="556">
        <f>2018</f>
        <v>2018</v>
      </c>
      <c r="B268" s="557" t="s">
        <v>17</v>
      </c>
      <c r="C268" s="589">
        <f>[12]Maio!$C$24</f>
        <v>3.7370000000000001</v>
      </c>
      <c r="D268" s="590">
        <f t="shared" si="34"/>
        <v>7.3511246445089107</v>
      </c>
      <c r="E268" s="590">
        <f t="shared" si="42"/>
        <v>12.96856106408708</v>
      </c>
      <c r="F268" s="591">
        <f t="shared" si="38"/>
        <v>15.20794154823195</v>
      </c>
      <c r="G268" s="592">
        <f t="shared" si="40"/>
        <v>1.5147979662831148</v>
      </c>
      <c r="H268" s="593">
        <f t="shared" si="35"/>
        <v>297.55319148936172</v>
      </c>
      <c r="I268" s="593">
        <f t="shared" si="36"/>
        <v>3.94703902534006</v>
      </c>
      <c r="J268" s="190"/>
    </row>
    <row r="269" spans="1:10" x14ac:dyDescent="0.25">
      <c r="A269" s="556">
        <f>2018</f>
        <v>2018</v>
      </c>
      <c r="B269" s="557" t="s">
        <v>18</v>
      </c>
      <c r="C269" s="589">
        <f>[12]Junho!$C$24</f>
        <v>3.8557999999999999</v>
      </c>
      <c r="D269" s="590">
        <f t="shared" si="34"/>
        <v>3.179020604763183</v>
      </c>
      <c r="E269" s="590">
        <f t="shared" si="42"/>
        <v>16.559854897218873</v>
      </c>
      <c r="F269" s="591">
        <f t="shared" si="38"/>
        <v>16.552808173629163</v>
      </c>
      <c r="G269" s="592">
        <f t="shared" si="40"/>
        <v>1.4681259401421236</v>
      </c>
      <c r="H269" s="593">
        <f t="shared" si="35"/>
        <v>310.19148936170211</v>
      </c>
      <c r="I269" s="593">
        <f t="shared" si="36"/>
        <v>20.125864539846727</v>
      </c>
      <c r="J269" s="190"/>
    </row>
    <row r="270" spans="1:10" x14ac:dyDescent="0.25">
      <c r="A270" s="556">
        <f>2018</f>
        <v>2018</v>
      </c>
      <c r="B270" s="557" t="s">
        <v>19</v>
      </c>
      <c r="C270" s="589">
        <f>[12]Julho!$C$25</f>
        <v>3.7549000000000001</v>
      </c>
      <c r="D270" s="590">
        <f t="shared" si="34"/>
        <v>-2.6168369728720275</v>
      </c>
      <c r="E270" s="590">
        <f t="shared" si="42"/>
        <v>13.50967351874246</v>
      </c>
      <c r="F270" s="591">
        <f t="shared" si="38"/>
        <v>19.938033027757363</v>
      </c>
      <c r="G270" s="592">
        <f t="shared" si="40"/>
        <v>1.5075767663586246</v>
      </c>
      <c r="H270" s="593">
        <f t="shared" si="35"/>
        <v>299.45744680851067</v>
      </c>
      <c r="I270" s="593">
        <f t="shared" si="36"/>
        <v>15.927755480086446</v>
      </c>
      <c r="J270" s="190"/>
    </row>
    <row r="271" spans="1:10" x14ac:dyDescent="0.25">
      <c r="A271" s="556">
        <f>2018</f>
        <v>2018</v>
      </c>
      <c r="B271" s="557" t="s">
        <v>20</v>
      </c>
      <c r="C271" s="589">
        <f>[12]Agosto!$C$26</f>
        <v>4.1353</v>
      </c>
      <c r="D271" s="590">
        <f t="shared" si="34"/>
        <v>10.130762470372034</v>
      </c>
      <c r="E271" s="590">
        <f t="shared" si="42"/>
        <v>25.009068923821044</v>
      </c>
      <c r="F271" s="591">
        <f t="shared" si="38"/>
        <v>31.400336818022943</v>
      </c>
      <c r="G271" s="592">
        <f t="shared" si="40"/>
        <v>1.3688970570454382</v>
      </c>
      <c r="H271" s="593">
        <f t="shared" si="35"/>
        <v>339.92553191489367</v>
      </c>
      <c r="I271" s="593">
        <f t="shared" si="36"/>
        <v>27.620899299447576</v>
      </c>
      <c r="J271" s="190"/>
    </row>
    <row r="272" spans="1:10" x14ac:dyDescent="0.25">
      <c r="A272" s="556">
        <f>2018</f>
        <v>2018</v>
      </c>
      <c r="B272" s="557" t="s">
        <v>21</v>
      </c>
      <c r="C272" s="589">
        <f>[12]Setembro!$C$22</f>
        <v>4.0038999999999998</v>
      </c>
      <c r="D272" s="590">
        <f t="shared" si="34"/>
        <v>-3.1775203733707347</v>
      </c>
      <c r="E272" s="590">
        <f t="shared" si="42"/>
        <v>21.036880290205563</v>
      </c>
      <c r="F272" s="591">
        <f t="shared" si="38"/>
        <v>26.385732323232315</v>
      </c>
      <c r="G272" s="592">
        <f t="shared" si="40"/>
        <v>1.4138215240140863</v>
      </c>
      <c r="H272" s="593">
        <f t="shared" si="35"/>
        <v>325.94680851063833</v>
      </c>
      <c r="I272" s="593">
        <f t="shared" si="36"/>
        <v>22.955875514376189</v>
      </c>
      <c r="J272" s="190"/>
    </row>
    <row r="273" spans="1:10" x14ac:dyDescent="0.25">
      <c r="A273" s="556">
        <f>2018</f>
        <v>2018</v>
      </c>
      <c r="B273" s="557" t="s">
        <v>22</v>
      </c>
      <c r="C273" s="589">
        <f>[12]Outubro!$C$25</f>
        <v>3.7176999999999998</v>
      </c>
      <c r="D273" s="590">
        <f t="shared" si="34"/>
        <v>-7.1480306700966612</v>
      </c>
      <c r="E273" s="590">
        <f t="shared" si="42"/>
        <v>12.385126964933502</v>
      </c>
      <c r="F273" s="591">
        <f t="shared" si="38"/>
        <v>13.451737923037022</v>
      </c>
      <c r="G273" s="592">
        <f t="shared" si="40"/>
        <v>1.5226618608279314</v>
      </c>
      <c r="H273" s="593">
        <f t="shared" si="35"/>
        <v>295.5</v>
      </c>
      <c r="I273" s="593">
        <f t="shared" si="36"/>
        <v>16.868378862657572</v>
      </c>
      <c r="J273" s="190"/>
    </row>
    <row r="274" spans="1:10" x14ac:dyDescent="0.25">
      <c r="A274" s="556">
        <f>2018</f>
        <v>2018</v>
      </c>
      <c r="B274" s="557" t="s">
        <v>23</v>
      </c>
      <c r="C274" s="589">
        <f>[12]Novembro!$C$23</f>
        <v>3.8633000000000002</v>
      </c>
      <c r="D274" s="590">
        <f t="shared" si="34"/>
        <v>3.9163999246846215</v>
      </c>
      <c r="E274" s="590">
        <f t="shared" si="42"/>
        <v>16.786577992744878</v>
      </c>
      <c r="F274" s="591">
        <f t="shared" si="38"/>
        <v>18.448000981113566</v>
      </c>
      <c r="G274" s="592">
        <f t="shared" si="40"/>
        <v>1.4652758004814537</v>
      </c>
      <c r="H274" s="593">
        <f t="shared" si="35"/>
        <v>310.98936170212772</v>
      </c>
      <c r="I274" s="593">
        <f t="shared" si="36"/>
        <v>13.736862248653114</v>
      </c>
      <c r="J274" s="190"/>
    </row>
    <row r="275" spans="1:10" x14ac:dyDescent="0.25">
      <c r="A275" s="556">
        <f>2018</f>
        <v>2018</v>
      </c>
      <c r="B275" s="557" t="s">
        <v>12</v>
      </c>
      <c r="C275" s="589">
        <f>[12]Dezembro!$C$23</f>
        <v>3.8748</v>
      </c>
      <c r="D275" s="590">
        <f t="shared" si="34"/>
        <v>0.29767297388243463</v>
      </c>
      <c r="E275" s="590">
        <f t="shared" si="42"/>
        <v>17.134220072551386</v>
      </c>
      <c r="F275" s="591">
        <f t="shared" si="38"/>
        <v>17.134220072551386</v>
      </c>
      <c r="G275" s="592">
        <f t="shared" si="40"/>
        <v>1.4609270155879013</v>
      </c>
      <c r="H275" s="593">
        <f t="shared" si="35"/>
        <v>312.21276595744689</v>
      </c>
      <c r="I275" s="593">
        <f t="shared" si="36"/>
        <v>18.891718572612071</v>
      </c>
      <c r="J275" s="190"/>
    </row>
    <row r="276" spans="1:10" x14ac:dyDescent="0.25">
      <c r="A276" s="556">
        <f>2019</f>
        <v>2019</v>
      </c>
      <c r="B276" s="557" t="s">
        <v>13</v>
      </c>
      <c r="C276" s="589">
        <f>[13]Janeiro!$C$24</f>
        <v>3.7151000000000001</v>
      </c>
      <c r="D276" s="590">
        <f t="shared" si="34"/>
        <v>-4.1215030453184642</v>
      </c>
      <c r="E276" s="590">
        <f t="shared" ref="E276:E287" si="43">+((C276/C$275-1)*100)</f>
        <v>-4.1215030453184642</v>
      </c>
      <c r="F276" s="591">
        <f t="shared" si="38"/>
        <v>17.477232481659509</v>
      </c>
      <c r="G276" s="592">
        <f t="shared" si="40"/>
        <v>1.5237274905116955</v>
      </c>
      <c r="H276" s="593">
        <f t="shared" si="35"/>
        <v>295.22340425531917</v>
      </c>
      <c r="I276" s="593">
        <f t="shared" si="36"/>
        <v>18.807163415414152</v>
      </c>
      <c r="J276" s="190"/>
    </row>
    <row r="277" spans="1:10" x14ac:dyDescent="0.25">
      <c r="A277" s="560">
        <f>2019</f>
        <v>2019</v>
      </c>
      <c r="B277" s="561" t="s">
        <v>14</v>
      </c>
      <c r="C277" s="594">
        <f>[13]Fevereiro!$C$23</f>
        <v>3.7385000000000002</v>
      </c>
      <c r="D277" s="595">
        <f t="shared" si="34"/>
        <v>0.629861914887897</v>
      </c>
      <c r="E277" s="595">
        <f t="shared" si="43"/>
        <v>-3.5176009084339821</v>
      </c>
      <c r="F277" s="596">
        <f t="shared" si="38"/>
        <v>15.211562760023423</v>
      </c>
      <c r="G277" s="592">
        <f t="shared" si="40"/>
        <v>1.5141901832285676</v>
      </c>
      <c r="H277" s="593">
        <f t="shared" si="35"/>
        <v>297.71276595744689</v>
      </c>
      <c r="I277" s="593">
        <f t="shared" si="36"/>
        <v>20.624011873648907</v>
      </c>
      <c r="J277" s="190"/>
    </row>
    <row r="278" spans="1:10" x14ac:dyDescent="0.25">
      <c r="A278" s="560">
        <f>2019</f>
        <v>2019</v>
      </c>
      <c r="B278" s="561" t="s">
        <v>15</v>
      </c>
      <c r="C278" s="594">
        <f>[13]Março!$C$22</f>
        <v>3.8967000000000001</v>
      </c>
      <c r="D278" s="595">
        <f t="shared" si="34"/>
        <v>4.2316437073692592</v>
      </c>
      <c r="E278" s="595">
        <f t="shared" si="43"/>
        <v>0.56519046144316576</v>
      </c>
      <c r="F278" s="596">
        <f t="shared" si="38"/>
        <v>17.236295806005188</v>
      </c>
      <c r="G278" s="592">
        <f t="shared" si="40"/>
        <v>1.4527164010573048</v>
      </c>
      <c r="H278" s="593">
        <f t="shared" si="35"/>
        <v>314.54255319148939</v>
      </c>
      <c r="I278" s="593">
        <f t="shared" si="36"/>
        <v>22.986365357909342</v>
      </c>
      <c r="J278" s="190"/>
    </row>
    <row r="279" spans="1:10" x14ac:dyDescent="0.25">
      <c r="A279" s="560">
        <f>2019</f>
        <v>2019</v>
      </c>
      <c r="B279" s="561" t="s">
        <v>16</v>
      </c>
      <c r="C279" s="594">
        <f>[13]Abril!$C$24</f>
        <v>3.9453</v>
      </c>
      <c r="D279" s="595">
        <f t="shared" si="34"/>
        <v>1.2472091769959226</v>
      </c>
      <c r="E279" s="595">
        <f t="shared" si="43"/>
        <v>1.8194487457417141</v>
      </c>
      <c r="F279" s="596">
        <f t="shared" si="38"/>
        <v>13.334865416104114</v>
      </c>
      <c r="G279" s="592">
        <f t="shared" si="40"/>
        <v>1.4348211796314603</v>
      </c>
      <c r="H279" s="593">
        <f t="shared" si="35"/>
        <v>319.71276595744678</v>
      </c>
      <c r="I279" s="593">
        <f t="shared" si="36"/>
        <v>23.352301150575293</v>
      </c>
      <c r="J279" s="190"/>
    </row>
    <row r="280" spans="1:10" x14ac:dyDescent="0.25">
      <c r="A280" s="560">
        <f>2019</f>
        <v>2019</v>
      </c>
      <c r="B280" s="561" t="s">
        <v>17</v>
      </c>
      <c r="C280" s="594">
        <f>[13]Maio!$C$25</f>
        <v>3.9407000000000001</v>
      </c>
      <c r="D280" s="595">
        <f t="shared" si="34"/>
        <v>-0.11659442881403193</v>
      </c>
      <c r="E280" s="595">
        <f t="shared" si="43"/>
        <v>1.7007329410550165</v>
      </c>
      <c r="F280" s="596">
        <f t="shared" si="38"/>
        <v>5.4508964409954563</v>
      </c>
      <c r="G280" s="592">
        <f t="shared" si="40"/>
        <v>1.4364960540005582</v>
      </c>
      <c r="H280" s="593">
        <f t="shared" si="35"/>
        <v>319.22340425531922</v>
      </c>
      <c r="I280" s="593">
        <f t="shared" si="36"/>
        <v>21.487807133828653</v>
      </c>
      <c r="J280" s="190"/>
    </row>
    <row r="281" spans="1:10" x14ac:dyDescent="0.25">
      <c r="A281" s="560">
        <f>2019</f>
        <v>2019</v>
      </c>
      <c r="B281" s="561" t="s">
        <v>18</v>
      </c>
      <c r="C281" s="594">
        <f>[13]Junho!$C$22</f>
        <v>3.8321999999999998</v>
      </c>
      <c r="D281" s="595">
        <f t="shared" si="34"/>
        <v>-2.7533179384373385</v>
      </c>
      <c r="E281" s="595">
        <f t="shared" si="43"/>
        <v>-1.099411582533294</v>
      </c>
      <c r="F281" s="596">
        <f t="shared" si="38"/>
        <v>-0.61206494112765464</v>
      </c>
      <c r="G281" s="592">
        <f t="shared" si="40"/>
        <v>1.4771671624654246</v>
      </c>
      <c r="H281" s="593">
        <f t="shared" si="35"/>
        <v>307.68085106382978</v>
      </c>
      <c r="I281" s="593">
        <f t="shared" si="36"/>
        <v>15.839429296898611</v>
      </c>
      <c r="J281" s="190"/>
    </row>
    <row r="282" spans="1:10" x14ac:dyDescent="0.25">
      <c r="A282" s="560">
        <f>2019</f>
        <v>2019</v>
      </c>
      <c r="B282" s="561" t="s">
        <v>19</v>
      </c>
      <c r="C282" s="594">
        <f>[13]Julho!$C$26</f>
        <v>3.7648999999999999</v>
      </c>
      <c r="D282" s="595">
        <f t="shared" si="34"/>
        <v>-1.7561713898021969</v>
      </c>
      <c r="E282" s="595">
        <f t="shared" si="43"/>
        <v>-2.8362754206668783</v>
      </c>
      <c r="F282" s="596">
        <f t="shared" si="38"/>
        <v>0.26631867692881173</v>
      </c>
      <c r="G282" s="592">
        <f t="shared" si="40"/>
        <v>1.5035724720444104</v>
      </c>
      <c r="H282" s="593">
        <f t="shared" si="35"/>
        <v>300.52127659574472</v>
      </c>
      <c r="I282" s="593">
        <f t="shared" si="36"/>
        <v>20.257450410451327</v>
      </c>
      <c r="J282" s="190"/>
    </row>
    <row r="283" spans="1:10" x14ac:dyDescent="0.25">
      <c r="A283" s="560">
        <f>2019</f>
        <v>2019</v>
      </c>
      <c r="B283" s="561" t="s">
        <v>20</v>
      </c>
      <c r="C283" s="594">
        <f>[13]Agosto!$C$25</f>
        <v>4.1384999999999996</v>
      </c>
      <c r="D283" s="595">
        <f t="shared" si="34"/>
        <v>9.923238333023443</v>
      </c>
      <c r="E283" s="595">
        <f t="shared" si="43"/>
        <v>6.8055125425828367</v>
      </c>
      <c r="F283" s="596">
        <f t="shared" si="38"/>
        <v>7.7382535728953705E-2</v>
      </c>
      <c r="G283" s="592">
        <f t="shared" si="40"/>
        <v>1.3678385888606985</v>
      </c>
      <c r="H283" s="593">
        <f t="shared" si="35"/>
        <v>340.26595744680844</v>
      </c>
      <c r="I283" s="593">
        <f t="shared" si="36"/>
        <v>31.502017730609122</v>
      </c>
      <c r="J283" s="190"/>
    </row>
    <row r="284" spans="1:10" x14ac:dyDescent="0.25">
      <c r="A284" s="560">
        <f>2019</f>
        <v>2019</v>
      </c>
      <c r="B284" s="561" t="s">
        <v>21</v>
      </c>
      <c r="C284" s="594">
        <f>[13]Setembro!$C$24</f>
        <v>4.1643999999999997</v>
      </c>
      <c r="D284" s="595">
        <f t="shared" si="34"/>
        <v>0.62583061495711245</v>
      </c>
      <c r="E284" s="595">
        <f t="shared" si="43"/>
        <v>7.4739341385361646</v>
      </c>
      <c r="F284" s="596">
        <f t="shared" si="38"/>
        <v>4.0085916231674013</v>
      </c>
      <c r="G284" s="592">
        <f t="shared" si="40"/>
        <v>1.3593314763231199</v>
      </c>
      <c r="H284" s="593">
        <f t="shared" si="35"/>
        <v>343.02127659574467</v>
      </c>
      <c r="I284" s="593">
        <f t="shared" si="36"/>
        <v>31.452020202020179</v>
      </c>
      <c r="J284" s="190"/>
    </row>
    <row r="285" spans="1:10" x14ac:dyDescent="0.25">
      <c r="A285" s="560">
        <f>2019</f>
        <v>2019</v>
      </c>
      <c r="B285" s="561" t="s">
        <v>22</v>
      </c>
      <c r="C285" s="594">
        <f>[13]Outubro!$C$26</f>
        <v>4.0041000000000002</v>
      </c>
      <c r="D285" s="595">
        <f t="shared" si="34"/>
        <v>-3.8492940159446598</v>
      </c>
      <c r="E285" s="595">
        <f t="shared" si="43"/>
        <v>3.3369464230411872</v>
      </c>
      <c r="F285" s="596">
        <f t="shared" si="38"/>
        <v>7.7036877639400814</v>
      </c>
      <c r="G285" s="592">
        <f t="shared" si="40"/>
        <v>1.4137509053220449</v>
      </c>
      <c r="H285" s="593">
        <f t="shared" si="35"/>
        <v>325.96808510638306</v>
      </c>
      <c r="I285" s="593">
        <f t="shared" si="36"/>
        <v>22.191705575391385</v>
      </c>
      <c r="J285" s="190"/>
    </row>
    <row r="286" spans="1:10" x14ac:dyDescent="0.25">
      <c r="A286" s="560">
        <f>2019</f>
        <v>2019</v>
      </c>
      <c r="B286" s="561" t="s">
        <v>23</v>
      </c>
      <c r="C286" s="594">
        <f>[13]Novembro!$C$23</f>
        <v>4.2240000000000002</v>
      </c>
      <c r="D286" s="595">
        <f t="shared" si="34"/>
        <v>5.4918708323967946</v>
      </c>
      <c r="E286" s="595">
        <f t="shared" si="43"/>
        <v>9.0120780427376914</v>
      </c>
      <c r="F286" s="596">
        <f t="shared" si="38"/>
        <v>9.3365775373385418</v>
      </c>
      <c r="G286" s="592">
        <f t="shared" si="40"/>
        <v>1.3401515151515151</v>
      </c>
      <c r="H286" s="593">
        <f t="shared" si="35"/>
        <v>349.36170212765961</v>
      </c>
      <c r="I286" s="593">
        <f t="shared" si="36"/>
        <v>29.506990434142754</v>
      </c>
      <c r="J286" s="190"/>
    </row>
    <row r="287" spans="1:10" x14ac:dyDescent="0.25">
      <c r="A287" s="560">
        <f>2019</f>
        <v>2019</v>
      </c>
      <c r="B287" s="561" t="s">
        <v>12</v>
      </c>
      <c r="C287" s="594">
        <f>[13]Dezembro!$C$24</f>
        <v>4.0307000000000004</v>
      </c>
      <c r="D287" s="595">
        <f t="shared" si="34"/>
        <v>-4.5762310606060508</v>
      </c>
      <c r="E287" s="595">
        <f t="shared" si="43"/>
        <v>4.0234334675338213</v>
      </c>
      <c r="F287" s="596">
        <f t="shared" si="38"/>
        <v>4.0234334675338213</v>
      </c>
      <c r="G287" s="592">
        <f t="shared" si="40"/>
        <v>1.4044210683007914</v>
      </c>
      <c r="H287" s="593">
        <f t="shared" si="35"/>
        <v>328.79787234042561</v>
      </c>
      <c r="I287" s="593">
        <f t="shared" si="36"/>
        <v>21.847037484885146</v>
      </c>
      <c r="J287" s="190"/>
    </row>
    <row r="288" spans="1:10" x14ac:dyDescent="0.25">
      <c r="A288" s="560">
        <f>2020</f>
        <v>2020</v>
      </c>
      <c r="B288" s="561" t="s">
        <v>13</v>
      </c>
      <c r="C288" s="594">
        <f>[14]Janeiro!$C$25</f>
        <v>4.2694999999999999</v>
      </c>
      <c r="D288" s="595">
        <f t="shared" si="34"/>
        <v>5.9245292380975867</v>
      </c>
      <c r="E288" s="595">
        <f t="shared" ref="E288:E299" si="44">+((C288/C$287-1)*100)</f>
        <v>5.9245292380975867</v>
      </c>
      <c r="F288" s="596">
        <f t="shared" si="38"/>
        <v>14.92288229119001</v>
      </c>
      <c r="G288" s="592">
        <f t="shared" si="40"/>
        <v>1.3258695397587541</v>
      </c>
      <c r="H288" s="593">
        <f t="shared" si="35"/>
        <v>354.20212765957444</v>
      </c>
      <c r="I288" s="593">
        <f t="shared" si="36"/>
        <v>35.008221603845179</v>
      </c>
      <c r="J288" s="190"/>
    </row>
    <row r="289" spans="1:10" x14ac:dyDescent="0.25">
      <c r="A289" s="560">
        <f>2020</f>
        <v>2020</v>
      </c>
      <c r="B289" s="561" t="s">
        <v>14</v>
      </c>
      <c r="C289" s="594">
        <f>[14]Fevereiro!$C$21</f>
        <v>4.4987000000000004</v>
      </c>
      <c r="D289" s="595">
        <f t="shared" ref="D289:D348" si="45">((C289/C288)-1)*100</f>
        <v>5.3683101065698624</v>
      </c>
      <c r="E289" s="595">
        <f t="shared" si="44"/>
        <v>11.610886446522928</v>
      </c>
      <c r="F289" s="596">
        <f t="shared" si="38"/>
        <v>20.334358700013389</v>
      </c>
      <c r="G289" s="592">
        <f t="shared" si="40"/>
        <v>1.258319069953542</v>
      </c>
      <c r="H289" s="593">
        <f t="shared" si="35"/>
        <v>378.58510638297878</v>
      </c>
      <c r="I289" s="593">
        <f t="shared" si="36"/>
        <v>38.639095195537635</v>
      </c>
      <c r="J289" s="190"/>
    </row>
    <row r="290" spans="1:10" x14ac:dyDescent="0.25">
      <c r="A290" s="560">
        <f>2020</f>
        <v>2020</v>
      </c>
      <c r="B290" s="561" t="s">
        <v>15</v>
      </c>
      <c r="C290" s="594">
        <f>[14]Março!$C$25</f>
        <v>5.1986999999999997</v>
      </c>
      <c r="D290" s="595">
        <f t="shared" si="45"/>
        <v>15.560050681307924</v>
      </c>
      <c r="E290" s="595">
        <f t="shared" si="44"/>
        <v>28.977596943458938</v>
      </c>
      <c r="F290" s="596">
        <f t="shared" si="38"/>
        <v>33.412887828162276</v>
      </c>
      <c r="G290" s="592">
        <f t="shared" si="40"/>
        <v>1.0888876065170139</v>
      </c>
      <c r="H290" s="593">
        <f t="shared" ref="H290:H348" si="46">100*(C290/$C$9-1)</f>
        <v>453.05319148936167</v>
      </c>
      <c r="I290" s="593">
        <f t="shared" ref="I290:I348" si="47">100*(C290/C266-1)</f>
        <v>56.408327817558202</v>
      </c>
      <c r="J290" s="190"/>
    </row>
    <row r="291" spans="1:10" x14ac:dyDescent="0.25">
      <c r="A291" s="560">
        <f>2020</f>
        <v>2020</v>
      </c>
      <c r="B291" s="561" t="s">
        <v>16</v>
      </c>
      <c r="C291" s="594">
        <f>[14]Abril!$C$23</f>
        <v>5.4269999999999996</v>
      </c>
      <c r="D291" s="595">
        <f t="shared" si="45"/>
        <v>4.3914824860061152</v>
      </c>
      <c r="E291" s="595">
        <f t="shared" si="44"/>
        <v>34.64162552410248</v>
      </c>
      <c r="F291" s="596">
        <f t="shared" si="38"/>
        <v>37.556079385598039</v>
      </c>
      <c r="G291" s="592">
        <f t="shared" si="40"/>
        <v>1.0430808918371108</v>
      </c>
      <c r="H291" s="593">
        <f t="shared" si="46"/>
        <v>477.34042553191489</v>
      </c>
      <c r="I291" s="593">
        <f t="shared" si="47"/>
        <v>55.89899744333686</v>
      </c>
      <c r="J291" s="190"/>
    </row>
    <row r="292" spans="1:10" x14ac:dyDescent="0.25">
      <c r="A292" s="560">
        <f>2020</f>
        <v>2020</v>
      </c>
      <c r="B292" s="561" t="s">
        <v>17</v>
      </c>
      <c r="C292" s="594">
        <f>[14]Maio!$C$23</f>
        <v>5.4263000000000003</v>
      </c>
      <c r="D292" s="595">
        <f t="shared" si="45"/>
        <v>-1.2898470609901125E-2</v>
      </c>
      <c r="E292" s="595">
        <f t="shared" si="44"/>
        <v>34.624258813605579</v>
      </c>
      <c r="F292" s="596">
        <f t="shared" si="38"/>
        <v>37.698885984723532</v>
      </c>
      <c r="G292" s="592">
        <f t="shared" si="40"/>
        <v>1.0432154506754141</v>
      </c>
      <c r="H292" s="593">
        <f t="shared" si="46"/>
        <v>477.26595744680856</v>
      </c>
      <c r="I292" s="593">
        <f t="shared" si="47"/>
        <v>45.204709660155217</v>
      </c>
      <c r="J292" s="190"/>
    </row>
    <row r="293" spans="1:10" x14ac:dyDescent="0.25">
      <c r="A293" s="560">
        <f>2020</f>
        <v>2020</v>
      </c>
      <c r="B293" s="561" t="s">
        <v>18</v>
      </c>
      <c r="C293" s="594">
        <f>[14]Junho!$C$24</f>
        <v>5.476</v>
      </c>
      <c r="D293" s="595">
        <f t="shared" si="45"/>
        <v>0.91590955162816901</v>
      </c>
      <c r="E293" s="595">
        <f t="shared" si="44"/>
        <v>35.857295258888009</v>
      </c>
      <c r="F293" s="596">
        <f t="shared" si="38"/>
        <v>42.894420959240122</v>
      </c>
      <c r="G293" s="592">
        <f t="shared" si="40"/>
        <v>1.0337472607742879</v>
      </c>
      <c r="H293" s="593">
        <f t="shared" si="46"/>
        <v>482.55319148936178</v>
      </c>
      <c r="I293" s="593">
        <f t="shared" si="47"/>
        <v>42.019814305721262</v>
      </c>
      <c r="J293" s="190"/>
    </row>
    <row r="294" spans="1:10" x14ac:dyDescent="0.25">
      <c r="A294" s="560">
        <f>2020</f>
        <v>2020</v>
      </c>
      <c r="B294" s="561" t="s">
        <v>19</v>
      </c>
      <c r="C294" s="594">
        <f>[14]Julho!$C$26</f>
        <v>5.2032999999999996</v>
      </c>
      <c r="D294" s="595">
        <f t="shared" si="45"/>
        <v>-4.9799123447772153</v>
      </c>
      <c r="E294" s="595">
        <f t="shared" si="44"/>
        <v>29.091721041010231</v>
      </c>
      <c r="F294" s="596">
        <f t="shared" si="38"/>
        <v>38.205530027357959</v>
      </c>
      <c r="G294" s="592">
        <f t="shared" si="40"/>
        <v>1.0879249706916765</v>
      </c>
      <c r="H294" s="593">
        <f t="shared" si="46"/>
        <v>453.54255319148933</v>
      </c>
      <c r="I294" s="593">
        <f t="shared" si="47"/>
        <v>38.573597166369254</v>
      </c>
      <c r="J294" s="190"/>
    </row>
    <row r="295" spans="1:10" x14ac:dyDescent="0.25">
      <c r="A295" s="560">
        <f>2020</f>
        <v>2020</v>
      </c>
      <c r="B295" s="561" t="s">
        <v>20</v>
      </c>
      <c r="C295" s="594">
        <f>[14]Agosto!$C$24</f>
        <v>5.4713000000000003</v>
      </c>
      <c r="D295" s="595">
        <f t="shared" si="45"/>
        <v>5.1505775181135194</v>
      </c>
      <c r="E295" s="595">
        <f t="shared" si="44"/>
        <v>35.740690202694324</v>
      </c>
      <c r="F295" s="596">
        <f t="shared" si="38"/>
        <v>32.204905158873999</v>
      </c>
      <c r="G295" s="592">
        <f t="shared" si="40"/>
        <v>1.0346352786357904</v>
      </c>
      <c r="H295" s="593">
        <f t="shared" si="46"/>
        <v>482.05319148936178</v>
      </c>
      <c r="I295" s="593">
        <f t="shared" si="47"/>
        <v>32.307208666843998</v>
      </c>
      <c r="J295" s="190"/>
    </row>
    <row r="296" spans="1:10" x14ac:dyDescent="0.25">
      <c r="A296" s="560">
        <f>2020</f>
        <v>2020</v>
      </c>
      <c r="B296" s="561" t="s">
        <v>21</v>
      </c>
      <c r="C296" s="594">
        <f>[14]Setembro!$C$24</f>
        <v>5.6406999999999998</v>
      </c>
      <c r="D296" s="595">
        <f t="shared" si="45"/>
        <v>3.0961563065450504</v>
      </c>
      <c r="E296" s="595">
        <f t="shared" si="44"/>
        <v>39.943434142952825</v>
      </c>
      <c r="F296" s="596">
        <f t="shared" si="38"/>
        <v>35.450485063874758</v>
      </c>
      <c r="G296" s="592">
        <f t="shared" si="40"/>
        <v>1.0035633875228251</v>
      </c>
      <c r="H296" s="593">
        <f t="shared" si="46"/>
        <v>500.07446808510633</v>
      </c>
      <c r="I296" s="593">
        <f t="shared" si="47"/>
        <v>40.880141861684869</v>
      </c>
      <c r="J296" s="190"/>
    </row>
    <row r="297" spans="1:10" x14ac:dyDescent="0.25">
      <c r="A297" s="560">
        <f>2020</f>
        <v>2020</v>
      </c>
      <c r="B297" s="561" t="s">
        <v>22</v>
      </c>
      <c r="C297" s="594">
        <f>[14]Outubro!$C$24</f>
        <v>5.7717999999999998</v>
      </c>
      <c r="D297" s="595">
        <f t="shared" si="45"/>
        <v>2.324179623096434</v>
      </c>
      <c r="E297" s="595">
        <f t="shared" si="44"/>
        <v>43.195970923164694</v>
      </c>
      <c r="F297" s="596">
        <f t="shared" si="38"/>
        <v>44.147249069703534</v>
      </c>
      <c r="G297" s="592">
        <f t="shared" si="40"/>
        <v>0.98076856439932092</v>
      </c>
      <c r="H297" s="593">
        <f t="shared" si="46"/>
        <v>514.02127659574467</v>
      </c>
      <c r="I297" s="593">
        <f t="shared" si="47"/>
        <v>55.251903058342535</v>
      </c>
      <c r="J297" s="190"/>
    </row>
    <row r="298" spans="1:10" x14ac:dyDescent="0.25">
      <c r="A298" s="560">
        <f>2020</f>
        <v>2020</v>
      </c>
      <c r="B298" s="561" t="s">
        <v>23</v>
      </c>
      <c r="C298" s="594">
        <f>[14]Novembro!$C$23</f>
        <v>5.3316999999999997</v>
      </c>
      <c r="D298" s="595">
        <f t="shared" si="45"/>
        <v>-7.6250043314044174</v>
      </c>
      <c r="E298" s="595">
        <f t="shared" si="44"/>
        <v>32.277271937876776</v>
      </c>
      <c r="F298" s="596">
        <f t="shared" si="38"/>
        <v>26.223958333333329</v>
      </c>
      <c r="G298" s="592">
        <f t="shared" si="40"/>
        <v>1.0617251533282068</v>
      </c>
      <c r="H298" s="593">
        <f t="shared" si="46"/>
        <v>467.20212765957444</v>
      </c>
      <c r="I298" s="593">
        <f t="shared" si="47"/>
        <v>38.008956073822887</v>
      </c>
      <c r="J298" s="190"/>
    </row>
    <row r="299" spans="1:10" x14ac:dyDescent="0.25">
      <c r="A299" s="560">
        <f>2020</f>
        <v>2020</v>
      </c>
      <c r="B299" s="561" t="s">
        <v>12</v>
      </c>
      <c r="C299" s="594">
        <f>[14]Dezembro!$C$25</f>
        <v>5.1966999999999999</v>
      </c>
      <c r="D299" s="595">
        <f t="shared" si="45"/>
        <v>-2.532025432788787</v>
      </c>
      <c r="E299" s="595">
        <f t="shared" si="44"/>
        <v>28.927977770610557</v>
      </c>
      <c r="F299" s="596">
        <f t="shared" si="38"/>
        <v>28.927977770610557</v>
      </c>
      <c r="G299" s="592">
        <f t="shared" si="40"/>
        <v>1.0893066753901515</v>
      </c>
      <c r="H299" s="593">
        <f t="shared" si="46"/>
        <v>452.84042553191489</v>
      </c>
      <c r="I299" s="593">
        <f t="shared" si="47"/>
        <v>34.115309177247852</v>
      </c>
      <c r="J299" s="190"/>
    </row>
    <row r="300" spans="1:10" x14ac:dyDescent="0.25">
      <c r="A300" s="560">
        <f>2021</f>
        <v>2021</v>
      </c>
      <c r="B300" s="561" t="s">
        <v>13</v>
      </c>
      <c r="C300" s="594">
        <f>[15]Janeiro!$C$23</f>
        <v>5.4759000000000002</v>
      </c>
      <c r="D300" s="595">
        <f t="shared" si="45"/>
        <v>5.3726403294398484</v>
      </c>
      <c r="E300" s="595">
        <f t="shared" ref="E300:E311" si="48">+((C300/C$299-1)*100)</f>
        <v>5.3726403294398484</v>
      </c>
      <c r="F300" s="596">
        <f t="shared" ref="F300:F348" si="49">+((C300/C288-1)*100)</f>
        <v>28.256236093219368</v>
      </c>
      <c r="G300" s="592">
        <f t="shared" si="40"/>
        <v>1.0337661388995416</v>
      </c>
      <c r="H300" s="593">
        <f t="shared" si="46"/>
        <v>482.54255319148945</v>
      </c>
      <c r="I300" s="593">
        <f t="shared" si="47"/>
        <v>47.39576323652124</v>
      </c>
      <c r="J300" s="190"/>
    </row>
    <row r="301" spans="1:10" x14ac:dyDescent="0.25">
      <c r="A301" s="560">
        <f>2021</f>
        <v>2021</v>
      </c>
      <c r="B301" s="561" t="s">
        <v>14</v>
      </c>
      <c r="C301" s="594">
        <f>[15]Fevereiro!$C$21</f>
        <v>5.5301999999999998</v>
      </c>
      <c r="D301" s="595">
        <f t="shared" si="45"/>
        <v>0.99161781624936829</v>
      </c>
      <c r="E301" s="595">
        <f t="shared" si="48"/>
        <v>6.4175342043989447</v>
      </c>
      <c r="F301" s="596">
        <f t="shared" si="49"/>
        <v>22.928846111098757</v>
      </c>
      <c r="G301" s="592">
        <f t="shared" si="40"/>
        <v>1.0236157824310153</v>
      </c>
      <c r="H301" s="593">
        <f t="shared" si="46"/>
        <v>488.31914893617022</v>
      </c>
      <c r="I301" s="593">
        <f t="shared" si="47"/>
        <v>47.925638625117003</v>
      </c>
      <c r="J301" s="190"/>
    </row>
    <row r="302" spans="1:10" x14ac:dyDescent="0.25">
      <c r="A302" s="560">
        <f>2021</f>
        <v>2021</v>
      </c>
      <c r="B302" s="561" t="s">
        <v>15</v>
      </c>
      <c r="C302" s="594">
        <f>[15]Março!$C$26</f>
        <v>5.6973000000000003</v>
      </c>
      <c r="D302" s="595">
        <f t="shared" si="45"/>
        <v>3.0215905392210196</v>
      </c>
      <c r="E302" s="595">
        <f t="shared" si="48"/>
        <v>9.6330363499913538</v>
      </c>
      <c r="F302" s="596">
        <f t="shared" si="49"/>
        <v>9.5908592532748749</v>
      </c>
      <c r="G302" s="592">
        <f t="shared" si="40"/>
        <v>0.99359345654959363</v>
      </c>
      <c r="H302" s="593">
        <f t="shared" si="46"/>
        <v>506.09574468085111</v>
      </c>
      <c r="I302" s="593">
        <f t="shared" si="47"/>
        <v>46.208330125490818</v>
      </c>
      <c r="J302" s="190"/>
    </row>
    <row r="303" spans="1:10" x14ac:dyDescent="0.25">
      <c r="A303" s="560">
        <f>2021</f>
        <v>2021</v>
      </c>
      <c r="B303" s="561" t="s">
        <v>16</v>
      </c>
      <c r="C303" s="594">
        <f>[15]Abril!$C$23</f>
        <v>5.4036</v>
      </c>
      <c r="D303" s="595">
        <f t="shared" si="45"/>
        <v>-5.1550734558475142</v>
      </c>
      <c r="E303" s="595">
        <f t="shared" si="48"/>
        <v>3.9813727942732857</v>
      </c>
      <c r="F303" s="596">
        <f t="shared" si="49"/>
        <v>-0.43117744610281505</v>
      </c>
      <c r="G303" s="592">
        <f t="shared" si="40"/>
        <v>1.0475978976978311</v>
      </c>
      <c r="H303" s="593">
        <f t="shared" si="46"/>
        <v>474.85106382978728</v>
      </c>
      <c r="I303" s="593">
        <f t="shared" si="47"/>
        <v>36.962968595544069</v>
      </c>
      <c r="J303" s="190"/>
    </row>
    <row r="304" spans="1:10" x14ac:dyDescent="0.25">
      <c r="A304" s="560">
        <f>2021</f>
        <v>2021</v>
      </c>
      <c r="B304" s="561" t="s">
        <v>17</v>
      </c>
      <c r="C304" s="594">
        <f>[15]Maio!$C$24</f>
        <v>5.2321999999999997</v>
      </c>
      <c r="D304" s="595">
        <f t="shared" si="45"/>
        <v>-3.1719594344511104</v>
      </c>
      <c r="E304" s="595">
        <f t="shared" si="48"/>
        <v>0.68312582985354808</v>
      </c>
      <c r="F304" s="596">
        <f t="shared" si="49"/>
        <v>-3.57702301752576</v>
      </c>
      <c r="G304" s="592">
        <f t="shared" si="40"/>
        <v>1.081915828905623</v>
      </c>
      <c r="H304" s="593">
        <f t="shared" si="46"/>
        <v>456.61702127659572</v>
      </c>
      <c r="I304" s="593">
        <f t="shared" si="47"/>
        <v>32.773365138173418</v>
      </c>
      <c r="J304" s="190"/>
    </row>
    <row r="305" spans="1:10" x14ac:dyDescent="0.25">
      <c r="A305" s="560">
        <f>2021</f>
        <v>2021</v>
      </c>
      <c r="B305" s="561" t="s">
        <v>18</v>
      </c>
      <c r="C305" s="594">
        <f>[15]Junho!$C$24</f>
        <v>5.0022000000000002</v>
      </c>
      <c r="D305" s="595">
        <f t="shared" si="45"/>
        <v>-4.3958564275065832</v>
      </c>
      <c r="E305" s="595">
        <f t="shared" si="48"/>
        <v>-3.7427598283526042</v>
      </c>
      <c r="F305" s="596">
        <f t="shared" si="49"/>
        <v>-8.6523009495982457</v>
      </c>
      <c r="G305" s="592">
        <f t="shared" si="40"/>
        <v>1.1316620686897765</v>
      </c>
      <c r="H305" s="593">
        <f t="shared" si="46"/>
        <v>432.14893617021283</v>
      </c>
      <c r="I305" s="593">
        <f t="shared" si="47"/>
        <v>30.530765617660883</v>
      </c>
      <c r="J305" s="190"/>
    </row>
    <row r="306" spans="1:10" x14ac:dyDescent="0.25">
      <c r="A306" s="560">
        <f>2021</f>
        <v>2021</v>
      </c>
      <c r="B306" s="561" t="s">
        <v>19</v>
      </c>
      <c r="C306" s="594">
        <f>[15]Julho!$C$25</f>
        <v>5.1215999999999999</v>
      </c>
      <c r="D306" s="595">
        <f t="shared" si="45"/>
        <v>2.3869497421134644</v>
      </c>
      <c r="E306" s="595">
        <f t="shared" si="48"/>
        <v>-1.4451478823099273</v>
      </c>
      <c r="F306" s="596">
        <f t="shared" si="49"/>
        <v>-1.5701574001114604</v>
      </c>
      <c r="G306" s="592">
        <f t="shared" si="40"/>
        <v>1.105279600124961</v>
      </c>
      <c r="H306" s="593">
        <f t="shared" si="46"/>
        <v>444.85106382978728</v>
      </c>
      <c r="I306" s="593">
        <f t="shared" si="47"/>
        <v>36.035485670270127</v>
      </c>
      <c r="J306" s="190"/>
    </row>
    <row r="307" spans="1:10" x14ac:dyDescent="0.25">
      <c r="A307" s="560">
        <f>2021</f>
        <v>2021</v>
      </c>
      <c r="B307" s="561" t="s">
        <v>20</v>
      </c>
      <c r="C307" s="594">
        <f>[15]Agosto!$C$25</f>
        <v>5.1433</v>
      </c>
      <c r="D307" s="595">
        <f t="shared" si="45"/>
        <v>0.42369572008746914</v>
      </c>
      <c r="E307" s="595">
        <f t="shared" si="48"/>
        <v>-1.0275751919487375</v>
      </c>
      <c r="F307" s="596">
        <f t="shared" si="49"/>
        <v>-5.9949189406539594</v>
      </c>
      <c r="G307" s="592">
        <f t="shared" si="40"/>
        <v>1.100616335815527</v>
      </c>
      <c r="H307" s="593">
        <f t="shared" si="46"/>
        <v>447.15957446808511</v>
      </c>
      <c r="I307" s="593">
        <f t="shared" si="47"/>
        <v>24.279328259031054</v>
      </c>
      <c r="J307" s="190"/>
    </row>
    <row r="308" spans="1:10" x14ac:dyDescent="0.25">
      <c r="A308" s="560">
        <f>2021</f>
        <v>2021</v>
      </c>
      <c r="B308" s="561" t="s">
        <v>21</v>
      </c>
      <c r="C308" s="594">
        <f>[15]Setembro!$C$24</f>
        <v>5.4394</v>
      </c>
      <c r="D308" s="595">
        <f t="shared" si="45"/>
        <v>5.7570042579666802</v>
      </c>
      <c r="E308" s="595">
        <f t="shared" si="48"/>
        <v>4.6702715184636423</v>
      </c>
      <c r="F308" s="596">
        <f t="shared" si="49"/>
        <v>-3.5687060116652125</v>
      </c>
      <c r="G308" s="592">
        <f t="shared" si="40"/>
        <v>1.0407030187152995</v>
      </c>
      <c r="H308" s="593">
        <f t="shared" si="46"/>
        <v>478.65957446808511</v>
      </c>
      <c r="I308" s="593">
        <f t="shared" si="47"/>
        <v>30.616655460570552</v>
      </c>
      <c r="J308" s="190"/>
    </row>
    <row r="309" spans="1:10" x14ac:dyDescent="0.25">
      <c r="A309" s="560">
        <f>2021</f>
        <v>2021</v>
      </c>
      <c r="B309" s="561" t="s">
        <v>22</v>
      </c>
      <c r="C309" s="594">
        <f>[15]Outubro!$C$23</f>
        <v>5.6429999999999998</v>
      </c>
      <c r="D309" s="595">
        <f t="shared" si="45"/>
        <v>3.7430598963120953</v>
      </c>
      <c r="E309" s="595">
        <f t="shared" si="48"/>
        <v>8.5881424750322353</v>
      </c>
      <c r="F309" s="596">
        <f t="shared" si="49"/>
        <v>-2.2315395543851091</v>
      </c>
      <c r="G309" s="592">
        <f t="shared" si="40"/>
        <v>1.0031543505227716</v>
      </c>
      <c r="H309" s="593">
        <f t="shared" si="46"/>
        <v>500.31914893617022</v>
      </c>
      <c r="I309" s="593">
        <f t="shared" si="47"/>
        <v>40.930546190155084</v>
      </c>
      <c r="J309" s="190"/>
    </row>
    <row r="310" spans="1:10" x14ac:dyDescent="0.25">
      <c r="A310" s="560">
        <f>2021</f>
        <v>2021</v>
      </c>
      <c r="B310" s="561" t="s">
        <v>23</v>
      </c>
      <c r="C310" s="594">
        <f>[15]Novembro!$C$23</f>
        <v>5.6199000000000003</v>
      </c>
      <c r="D310" s="595">
        <f t="shared" si="45"/>
        <v>-0.4093567251461927</v>
      </c>
      <c r="E310" s="595">
        <f t="shared" si="48"/>
        <v>8.1436296110993567</v>
      </c>
      <c r="F310" s="596">
        <f t="shared" si="49"/>
        <v>5.4054054054054168</v>
      </c>
      <c r="G310" s="592">
        <f t="shared" ref="G310:G351" si="50">+$C$351/C310</f>
        <v>1.0072777095677858</v>
      </c>
      <c r="H310" s="593">
        <f t="shared" si="46"/>
        <v>497.86170212765961</v>
      </c>
      <c r="I310" s="593">
        <f t="shared" si="47"/>
        <v>33.046875000000007</v>
      </c>
      <c r="J310" s="190"/>
    </row>
    <row r="311" spans="1:10" x14ac:dyDescent="0.25">
      <c r="A311" s="560">
        <f>2021</f>
        <v>2021</v>
      </c>
      <c r="B311" s="561" t="s">
        <v>12</v>
      </c>
      <c r="C311" s="594">
        <f>[15]Dezembro!$C$26</f>
        <v>5.5804999999999998</v>
      </c>
      <c r="D311" s="595">
        <f t="shared" si="45"/>
        <v>-0.70108009039308028</v>
      </c>
      <c r="E311" s="595">
        <f t="shared" si="48"/>
        <v>7.3854561548675202</v>
      </c>
      <c r="F311" s="596">
        <f t="shared" si="49"/>
        <v>7.3854561548675202</v>
      </c>
      <c r="G311" s="592">
        <f t="shared" si="50"/>
        <v>1.0143893916315743</v>
      </c>
      <c r="H311" s="593">
        <f t="shared" si="46"/>
        <v>493.6702127659575</v>
      </c>
      <c r="I311" s="593">
        <f t="shared" si="47"/>
        <v>38.449897040216328</v>
      </c>
      <c r="J311" s="190"/>
    </row>
    <row r="312" spans="1:10" x14ac:dyDescent="0.25">
      <c r="A312" s="560">
        <f>2022</f>
        <v>2022</v>
      </c>
      <c r="B312" s="561" t="s">
        <v>13</v>
      </c>
      <c r="C312" s="594">
        <f>[16]Janeiro!$C$24</f>
        <v>5.3574000000000002</v>
      </c>
      <c r="D312" s="595">
        <f t="shared" si="45"/>
        <v>-3.9978496550488241</v>
      </c>
      <c r="E312" s="595">
        <f t="shared" ref="E312:E323" si="51">+((C312/C$311-1)*100)</f>
        <v>-3.9978496550488241</v>
      </c>
      <c r="F312" s="596">
        <f t="shared" si="49"/>
        <v>-2.1640278310414707</v>
      </c>
      <c r="G312" s="592">
        <f t="shared" si="50"/>
        <v>1.0566319483331466</v>
      </c>
      <c r="H312" s="593">
        <f t="shared" si="46"/>
        <v>469.93617021276594</v>
      </c>
      <c r="I312" s="593">
        <f t="shared" si="47"/>
        <v>25.480735449115819</v>
      </c>
      <c r="J312" s="190"/>
    </row>
    <row r="313" spans="1:10" x14ac:dyDescent="0.25">
      <c r="A313" s="560">
        <f>2022</f>
        <v>2022</v>
      </c>
      <c r="B313" s="561" t="s">
        <v>14</v>
      </c>
      <c r="C313" s="594">
        <f>[16]Fevereiro!$C$22</f>
        <v>5.1394000000000002</v>
      </c>
      <c r="D313" s="595">
        <f t="shared" si="45"/>
        <v>-4.0691380147086287</v>
      </c>
      <c r="E313" s="595">
        <f t="shared" si="51"/>
        <v>-7.9043096496729586</v>
      </c>
      <c r="F313" s="596">
        <f t="shared" si="49"/>
        <v>-7.0666522006437305</v>
      </c>
      <c r="G313" s="592">
        <f t="shared" si="50"/>
        <v>1.1014515313071565</v>
      </c>
      <c r="H313" s="593">
        <f t="shared" si="46"/>
        <v>446.74468085106389</v>
      </c>
      <c r="I313" s="593">
        <f t="shared" si="47"/>
        <v>14.241892102162845</v>
      </c>
      <c r="J313" s="190"/>
    </row>
    <row r="314" spans="1:10" x14ac:dyDescent="0.25">
      <c r="A314" s="560">
        <f>2022</f>
        <v>2022</v>
      </c>
      <c r="B314" s="561" t="s">
        <v>15</v>
      </c>
      <c r="C314" s="594">
        <f>[16]Março!$C$25</f>
        <v>4.7378</v>
      </c>
      <c r="D314" s="595">
        <f t="shared" si="45"/>
        <v>-7.8141417286064607</v>
      </c>
      <c r="E314" s="595">
        <f t="shared" si="51"/>
        <v>-15.100797419586055</v>
      </c>
      <c r="F314" s="596">
        <f t="shared" si="49"/>
        <v>-16.841310796342135</v>
      </c>
      <c r="G314" s="592">
        <f t="shared" si="50"/>
        <v>1.1948161593988771</v>
      </c>
      <c r="H314" s="593">
        <f t="shared" si="46"/>
        <v>404.02127659574472</v>
      </c>
      <c r="I314" s="593">
        <f t="shared" si="47"/>
        <v>-8.8656779579510232</v>
      </c>
      <c r="J314" s="190"/>
    </row>
    <row r="315" spans="1:10" x14ac:dyDescent="0.25">
      <c r="A315" s="560">
        <f>2022</f>
        <v>2022</v>
      </c>
      <c r="B315" s="561" t="s">
        <v>16</v>
      </c>
      <c r="C315" s="594">
        <f>[16]Abril!$C$22</f>
        <v>4.9191000000000003</v>
      </c>
      <c r="D315" s="595">
        <f t="shared" si="45"/>
        <v>3.8266706066106604</v>
      </c>
      <c r="E315" s="595">
        <f t="shared" si="51"/>
        <v>-11.851984589194508</v>
      </c>
      <c r="F315" s="596">
        <f t="shared" si="49"/>
        <v>-8.9662447257383917</v>
      </c>
      <c r="G315" s="592">
        <f t="shared" si="50"/>
        <v>1.1507796141570612</v>
      </c>
      <c r="H315" s="593">
        <f t="shared" si="46"/>
        <v>423.30851063829789</v>
      </c>
      <c r="I315" s="593">
        <f t="shared" si="47"/>
        <v>-9.3587617468214432</v>
      </c>
      <c r="J315" s="190"/>
    </row>
    <row r="316" spans="1:10" x14ac:dyDescent="0.25">
      <c r="A316" s="560">
        <f>2022</f>
        <v>2022</v>
      </c>
      <c r="B316" s="561" t="s">
        <v>17</v>
      </c>
      <c r="C316" s="594">
        <f>[16]Maio!$C$25</f>
        <v>4.7289000000000003</v>
      </c>
      <c r="D316" s="595">
        <f t="shared" si="45"/>
        <v>-3.8665609562724912</v>
      </c>
      <c r="E316" s="595">
        <f t="shared" si="51"/>
        <v>-15.260281336797766</v>
      </c>
      <c r="F316" s="596">
        <f t="shared" si="49"/>
        <v>-9.619280608539416</v>
      </c>
      <c r="G316" s="592">
        <f t="shared" si="50"/>
        <v>1.1970648565205437</v>
      </c>
      <c r="H316" s="593">
        <f t="shared" si="46"/>
        <v>403.07446808510645</v>
      </c>
      <c r="I316" s="593">
        <f t="shared" si="47"/>
        <v>-12.852219744577331</v>
      </c>
      <c r="J316" s="190"/>
    </row>
    <row r="317" spans="1:10" x14ac:dyDescent="0.25">
      <c r="A317" s="560">
        <f>2022</f>
        <v>2022</v>
      </c>
      <c r="B317" s="561" t="s">
        <v>18</v>
      </c>
      <c r="C317" s="594">
        <f>[16]Junho!$C$24</f>
        <v>5.2380000000000004</v>
      </c>
      <c r="D317" s="595">
        <f t="shared" si="45"/>
        <v>10.765717185814893</v>
      </c>
      <c r="E317" s="595">
        <f t="shared" si="51"/>
        <v>-6.1374428814622188</v>
      </c>
      <c r="F317" s="596">
        <f t="shared" si="49"/>
        <v>4.7139258726160538</v>
      </c>
      <c r="G317" s="592">
        <f t="shared" si="50"/>
        <v>1.080717831233295</v>
      </c>
      <c r="H317" s="593">
        <f t="shared" si="46"/>
        <v>457.23404255319161</v>
      </c>
      <c r="I317" s="593">
        <f t="shared" si="47"/>
        <v>-4.3462381300219066</v>
      </c>
      <c r="J317" s="190"/>
    </row>
    <row r="318" spans="1:10" x14ac:dyDescent="0.25">
      <c r="A318" s="560">
        <f>2022</f>
        <v>2022</v>
      </c>
      <c r="B318" s="561" t="s">
        <v>19</v>
      </c>
      <c r="C318" s="594">
        <f>[16]Julho!$C$24</f>
        <v>5.1883999999999997</v>
      </c>
      <c r="D318" s="595">
        <f t="shared" si="45"/>
        <v>-0.94692630775106146</v>
      </c>
      <c r="E318" s="595">
        <f t="shared" si="51"/>
        <v>-7.026252127945531</v>
      </c>
      <c r="F318" s="596">
        <f t="shared" si="49"/>
        <v>1.3042799125273286</v>
      </c>
      <c r="G318" s="592">
        <f t="shared" si="50"/>
        <v>1.0910492637421942</v>
      </c>
      <c r="H318" s="593">
        <f t="shared" si="46"/>
        <v>451.95744680851061</v>
      </c>
      <c r="I318" s="593">
        <f t="shared" si="47"/>
        <v>-0.28635673514885163</v>
      </c>
      <c r="J318" s="190"/>
    </row>
    <row r="319" spans="1:10" x14ac:dyDescent="0.25">
      <c r="A319" s="560">
        <f>2022</f>
        <v>2022</v>
      </c>
      <c r="B319" s="561" t="s">
        <v>20</v>
      </c>
      <c r="C319" s="594">
        <f>[16]Agosto!$C$26</f>
        <v>5.1790000000000003</v>
      </c>
      <c r="D319" s="595">
        <f t="shared" si="45"/>
        <v>-0.18117338678589334</v>
      </c>
      <c r="E319" s="595">
        <f t="shared" si="51"/>
        <v>-7.194695815787111</v>
      </c>
      <c r="F319" s="596">
        <f t="shared" si="49"/>
        <v>0.69410689635058809</v>
      </c>
      <c r="G319" s="592">
        <f t="shared" si="50"/>
        <v>1.0930295423826992</v>
      </c>
      <c r="H319" s="593">
        <f t="shared" si="46"/>
        <v>450.95744680851072</v>
      </c>
      <c r="I319" s="593">
        <f t="shared" si="47"/>
        <v>-5.3424231901010755</v>
      </c>
      <c r="J319" s="190"/>
    </row>
    <row r="320" spans="1:10" x14ac:dyDescent="0.25">
      <c r="A320" s="560">
        <f>2022</f>
        <v>2022</v>
      </c>
      <c r="B320" s="561" t="s">
        <v>21</v>
      </c>
      <c r="C320" s="594">
        <f>[16]Setembro!$C$24</f>
        <v>5.4066000000000001</v>
      </c>
      <c r="D320" s="595">
        <f t="shared" si="45"/>
        <v>4.394670785865995</v>
      </c>
      <c r="E320" s="595">
        <f t="shared" si="51"/>
        <v>-3.1162082250694279</v>
      </c>
      <c r="F320" s="596">
        <f t="shared" si="49"/>
        <v>-0.60300768467109744</v>
      </c>
      <c r="G320" s="592">
        <f t="shared" si="50"/>
        <v>1.0470166093293383</v>
      </c>
      <c r="H320" s="593">
        <f t="shared" si="46"/>
        <v>475.1702127659575</v>
      </c>
      <c r="I320" s="593">
        <f t="shared" si="47"/>
        <v>-4.1501941248426544</v>
      </c>
      <c r="J320" s="190"/>
    </row>
    <row r="321" spans="1:10" x14ac:dyDescent="0.25">
      <c r="A321" s="560">
        <f>2022</f>
        <v>2022</v>
      </c>
      <c r="B321" s="561" t="s">
        <v>22</v>
      </c>
      <c r="C321" s="594">
        <f>[16]Outubro!$C$23</f>
        <v>5.2569999999999997</v>
      </c>
      <c r="D321" s="595">
        <f t="shared" si="45"/>
        <v>-2.7669884955424884</v>
      </c>
      <c r="E321" s="595">
        <f t="shared" si="51"/>
        <v>-5.7969715975271008</v>
      </c>
      <c r="F321" s="596">
        <f t="shared" si="49"/>
        <v>-6.8403331561226359</v>
      </c>
      <c r="G321" s="592">
        <f t="shared" si="50"/>
        <v>1.0768118698877687</v>
      </c>
      <c r="H321" s="593">
        <f t="shared" si="46"/>
        <v>459.25531914893617</v>
      </c>
      <c r="I321" s="593">
        <f t="shared" si="47"/>
        <v>-8.9192279704771504</v>
      </c>
      <c r="J321" s="190"/>
    </row>
    <row r="322" spans="1:10" x14ac:dyDescent="0.25">
      <c r="A322" s="560">
        <f>2022</f>
        <v>2022</v>
      </c>
      <c r="B322" s="561" t="s">
        <v>23</v>
      </c>
      <c r="C322" s="594">
        <f>[16]Novembro!$C$23</f>
        <v>5.2941000000000003</v>
      </c>
      <c r="D322" s="595">
        <f t="shared" si="45"/>
        <v>0.70572569906792726</v>
      </c>
      <c r="E322" s="595">
        <f t="shared" si="51"/>
        <v>-5.1321566167906063</v>
      </c>
      <c r="F322" s="596">
        <f t="shared" si="49"/>
        <v>-5.797256178935573</v>
      </c>
      <c r="G322" s="592">
        <f t="shared" si="50"/>
        <v>1.0692657864415103</v>
      </c>
      <c r="H322" s="593">
        <f t="shared" si="46"/>
        <v>463.20212765957456</v>
      </c>
      <c r="I322" s="593">
        <f t="shared" si="47"/>
        <v>-0.70521597239153744</v>
      </c>
      <c r="J322" s="190"/>
    </row>
    <row r="323" spans="1:10" x14ac:dyDescent="0.25">
      <c r="A323" s="560">
        <f>2022</f>
        <v>2022</v>
      </c>
      <c r="B323" s="561" t="s">
        <v>12</v>
      </c>
      <c r="C323" s="594">
        <f>[16]Dezembro!$C$25</f>
        <v>5.2176999999999998</v>
      </c>
      <c r="D323" s="595">
        <f t="shared" si="45"/>
        <v>-1.4431159214975287</v>
      </c>
      <c r="E323" s="595">
        <f t="shared" si="51"/>
        <v>-6.501209569035038</v>
      </c>
      <c r="F323" s="596">
        <f t="shared" si="49"/>
        <v>-6.501209569035038</v>
      </c>
      <c r="G323" s="592">
        <f t="shared" si="50"/>
        <v>1.0849224754202043</v>
      </c>
      <c r="H323" s="593">
        <f t="shared" si="46"/>
        <v>455.07446808510645</v>
      </c>
      <c r="I323" s="593">
        <f t="shared" si="47"/>
        <v>0.40410260357535144</v>
      </c>
      <c r="J323" s="190"/>
    </row>
    <row r="324" spans="1:10" x14ac:dyDescent="0.25">
      <c r="A324" s="560">
        <f>2023</f>
        <v>2023</v>
      </c>
      <c r="B324" s="561" t="s">
        <v>13</v>
      </c>
      <c r="C324" s="594">
        <f>[17]Janeiro!$C$25</f>
        <v>5.0993000000000004</v>
      </c>
      <c r="D324" s="595">
        <f t="shared" si="45"/>
        <v>-2.2691990723882061</v>
      </c>
      <c r="E324" s="595">
        <f t="shared" ref="E324:E335" si="52">+((C324/C$323-1)*100)</f>
        <v>-2.2691990723882061</v>
      </c>
      <c r="F324" s="596">
        <f t="shared" si="49"/>
        <v>-4.8176354201664999</v>
      </c>
      <c r="G324" s="592">
        <f t="shared" si="50"/>
        <v>1.1101131527856765</v>
      </c>
      <c r="H324" s="593">
        <f t="shared" si="46"/>
        <v>442.47872340425533</v>
      </c>
      <c r="I324" s="593">
        <f t="shared" si="47"/>
        <v>-6.8774082799174518</v>
      </c>
      <c r="J324" s="190"/>
    </row>
    <row r="325" spans="1:10" x14ac:dyDescent="0.25">
      <c r="A325" s="560">
        <f>2023</f>
        <v>2023</v>
      </c>
      <c r="B325" s="561" t="s">
        <v>14</v>
      </c>
      <c r="C325" s="594">
        <f>[17]Fevereiro!$C$21</f>
        <v>5.2077999999999998</v>
      </c>
      <c r="D325" s="595">
        <f t="shared" si="45"/>
        <v>2.127743023552231</v>
      </c>
      <c r="E325" s="595">
        <f t="shared" si="52"/>
        <v>-0.18973877378921644</v>
      </c>
      <c r="F325" s="596">
        <f t="shared" si="49"/>
        <v>1.3308946569638325</v>
      </c>
      <c r="G325" s="592">
        <f t="shared" si="50"/>
        <v>1.086984907254503</v>
      </c>
      <c r="H325" s="593">
        <f t="shared" si="46"/>
        <v>454.02127659574472</v>
      </c>
      <c r="I325" s="593">
        <f t="shared" si="47"/>
        <v>-5.8298072402444774</v>
      </c>
      <c r="J325" s="190"/>
    </row>
    <row r="326" spans="1:10" x14ac:dyDescent="0.25">
      <c r="A326" s="560">
        <f>2023</f>
        <v>2023</v>
      </c>
      <c r="B326" s="561" t="s">
        <v>15</v>
      </c>
      <c r="C326" s="594">
        <f>[17]Março!$C$26</f>
        <v>5.0804</v>
      </c>
      <c r="D326" s="595">
        <f t="shared" si="45"/>
        <v>-2.4463305042436323</v>
      </c>
      <c r="E326" s="595">
        <f t="shared" si="52"/>
        <v>-2.6314276405312587</v>
      </c>
      <c r="F326" s="596">
        <f t="shared" si="49"/>
        <v>7.2312043564523698</v>
      </c>
      <c r="G326" s="592">
        <f t="shared" si="50"/>
        <v>1.1142429729942525</v>
      </c>
      <c r="H326" s="593">
        <f t="shared" si="46"/>
        <v>440.468085106383</v>
      </c>
      <c r="I326" s="593">
        <f t="shared" si="47"/>
        <v>-10.827936039878539</v>
      </c>
      <c r="J326" s="190"/>
    </row>
    <row r="327" spans="1:10" x14ac:dyDescent="0.25">
      <c r="A327" s="560">
        <f>2023</f>
        <v>2023</v>
      </c>
      <c r="B327" s="561" t="s">
        <v>16</v>
      </c>
      <c r="C327" s="594">
        <f>[17]Abril!$C$21</f>
        <v>5.0007000000000001</v>
      </c>
      <c r="D327" s="595">
        <f t="shared" si="45"/>
        <v>-1.5687741122746179</v>
      </c>
      <c r="E327" s="595">
        <f t="shared" si="52"/>
        <v>-4.1589205971979908</v>
      </c>
      <c r="F327" s="596">
        <f t="shared" si="49"/>
        <v>1.6588400317131269</v>
      </c>
      <c r="G327" s="592">
        <f t="shared" si="50"/>
        <v>1.1320015197872297</v>
      </c>
      <c r="H327" s="593">
        <f t="shared" si="46"/>
        <v>431.98936170212772</v>
      </c>
      <c r="I327" s="593">
        <f t="shared" si="47"/>
        <v>-7.4561403508771935</v>
      </c>
      <c r="J327" s="190"/>
    </row>
    <row r="328" spans="1:10" x14ac:dyDescent="0.25">
      <c r="A328" s="560">
        <f>2023</f>
        <v>2023</v>
      </c>
      <c r="B328" s="561" t="s">
        <v>17</v>
      </c>
      <c r="C328" s="594">
        <f>[17]Maio!$C$25</f>
        <v>5.0959000000000003</v>
      </c>
      <c r="D328" s="595">
        <f t="shared" si="45"/>
        <v>1.9037334773131853</v>
      </c>
      <c r="E328" s="595">
        <f t="shared" si="52"/>
        <v>-2.3343618835885427</v>
      </c>
      <c r="F328" s="596">
        <f t="shared" si="49"/>
        <v>7.760790035737708</v>
      </c>
      <c r="G328" s="592">
        <f t="shared" si="50"/>
        <v>1.1108538236621597</v>
      </c>
      <c r="H328" s="593">
        <f t="shared" si="46"/>
        <v>442.11702127659578</v>
      </c>
      <c r="I328" s="593">
        <f t="shared" si="47"/>
        <v>-2.6050227437788953</v>
      </c>
      <c r="J328" s="190"/>
    </row>
    <row r="329" spans="1:10" x14ac:dyDescent="0.25">
      <c r="A329" s="560">
        <f>2023</f>
        <v>2023</v>
      </c>
      <c r="B329" s="561" t="s">
        <v>18</v>
      </c>
      <c r="C329" s="594">
        <f>[17]Junho!$C$24</f>
        <v>4.8192000000000004</v>
      </c>
      <c r="D329" s="595">
        <f t="shared" si="45"/>
        <v>-5.4298553739280608</v>
      </c>
      <c r="E329" s="595">
        <f t="shared" si="52"/>
        <v>-7.6374647833336473</v>
      </c>
      <c r="F329" s="596">
        <f t="shared" si="49"/>
        <v>-7.9954180985108874</v>
      </c>
      <c r="G329" s="592">
        <f t="shared" si="50"/>
        <v>1.1746347941567064</v>
      </c>
      <c r="H329" s="593">
        <f t="shared" si="46"/>
        <v>412.68085106382983</v>
      </c>
      <c r="I329" s="593">
        <f t="shared" si="47"/>
        <v>-3.6583903082643587</v>
      </c>
      <c r="J329" s="190"/>
    </row>
    <row r="330" spans="1:10" x14ac:dyDescent="0.25">
      <c r="A330" s="560">
        <f>2023</f>
        <v>2023</v>
      </c>
      <c r="B330" s="561" t="s">
        <v>19</v>
      </c>
      <c r="C330" s="594">
        <f>[17]Junho!$C$24</f>
        <v>4.8192000000000004</v>
      </c>
      <c r="D330" s="595">
        <f t="shared" si="45"/>
        <v>0</v>
      </c>
      <c r="E330" s="595">
        <f t="shared" si="52"/>
        <v>-7.6374647833336473</v>
      </c>
      <c r="F330" s="596">
        <f t="shared" si="49"/>
        <v>-7.115873872484757</v>
      </c>
      <c r="G330" s="592">
        <f t="shared" si="50"/>
        <v>1.1746347941567064</v>
      </c>
      <c r="H330" s="593">
        <f t="shared" si="46"/>
        <v>412.68085106382983</v>
      </c>
      <c r="I330" s="593">
        <f t="shared" si="47"/>
        <v>-5.9044048734770316</v>
      </c>
      <c r="J330" s="190"/>
    </row>
    <row r="331" spans="1:10" x14ac:dyDescent="0.25">
      <c r="A331" s="560">
        <f>2023</f>
        <v>2023</v>
      </c>
      <c r="B331" s="561" t="s">
        <v>20</v>
      </c>
      <c r="C331" s="594">
        <f>[17]Agosto!$C$26</f>
        <v>4.9218999999999999</v>
      </c>
      <c r="D331" s="595">
        <f t="shared" si="45"/>
        <v>2.1310590969455312</v>
      </c>
      <c r="E331" s="595">
        <f t="shared" si="52"/>
        <v>-5.6691645744293417</v>
      </c>
      <c r="F331" s="596">
        <f t="shared" si="49"/>
        <v>-4.9642788183047015</v>
      </c>
      <c r="G331" s="592">
        <f t="shared" si="50"/>
        <v>1.1501249517462768</v>
      </c>
      <c r="H331" s="593">
        <f t="shared" si="46"/>
        <v>423.60638297872345</v>
      </c>
      <c r="I331" s="593">
        <f t="shared" si="47"/>
        <v>-4.3046293235860293</v>
      </c>
      <c r="J331" s="190"/>
    </row>
    <row r="332" spans="1:10" x14ac:dyDescent="0.25">
      <c r="A332" s="560">
        <f>2023</f>
        <v>2023</v>
      </c>
      <c r="B332" s="561" t="s">
        <v>21</v>
      </c>
      <c r="C332" s="594">
        <f>[17]Setembro!$C$23</f>
        <v>5.0076000000000001</v>
      </c>
      <c r="D332" s="595">
        <f t="shared" si="45"/>
        <v>1.7411975050285466</v>
      </c>
      <c r="E332" s="595">
        <f t="shared" si="52"/>
        <v>-4.0266784215267197</v>
      </c>
      <c r="F332" s="596">
        <f t="shared" si="49"/>
        <v>-7.3798690489401793</v>
      </c>
      <c r="G332" s="592">
        <f t="shared" si="50"/>
        <v>1.1304417285725696</v>
      </c>
      <c r="H332" s="593">
        <f t="shared" si="46"/>
        <v>432.72340425531917</v>
      </c>
      <c r="I332" s="593">
        <f t="shared" si="47"/>
        <v>-7.9383755561275082</v>
      </c>
      <c r="J332" s="190"/>
    </row>
    <row r="333" spans="1:10" x14ac:dyDescent="0.25">
      <c r="A333" s="560">
        <f>2023</f>
        <v>2023</v>
      </c>
      <c r="B333" s="561" t="s">
        <v>22</v>
      </c>
      <c r="C333" s="594">
        <f>[17]Outubro!$C$24</f>
        <v>5.0575000000000001</v>
      </c>
      <c r="D333" s="595">
        <f t="shared" si="45"/>
        <v>0.99648534227974039</v>
      </c>
      <c r="E333" s="595">
        <f t="shared" si="52"/>
        <v>-3.0703183394982347</v>
      </c>
      <c r="F333" s="596">
        <f t="shared" si="49"/>
        <v>-3.7949400798934718</v>
      </c>
      <c r="G333" s="592">
        <f t="shared" si="50"/>
        <v>1.1192881858625803</v>
      </c>
      <c r="H333" s="593">
        <f t="shared" si="46"/>
        <v>438.03191489361711</v>
      </c>
      <c r="I333" s="593">
        <f t="shared" si="47"/>
        <v>-10.37568669147616</v>
      </c>
      <c r="J333" s="190"/>
    </row>
    <row r="334" spans="1:10" x14ac:dyDescent="0.25">
      <c r="A334" s="560">
        <f>2023</f>
        <v>2023</v>
      </c>
      <c r="B334" s="561" t="s">
        <v>23</v>
      </c>
      <c r="C334" s="594">
        <f>[17]Novembro!$C$23</f>
        <v>4.9355000000000002</v>
      </c>
      <c r="D334" s="595">
        <f t="shared" si="45"/>
        <v>-2.4122590212555584</v>
      </c>
      <c r="E334" s="595">
        <f t="shared" si="52"/>
        <v>-5.4085133296279846</v>
      </c>
      <c r="F334" s="596">
        <f t="shared" si="49"/>
        <v>-6.7735781341493384</v>
      </c>
      <c r="G334" s="592">
        <f t="shared" si="50"/>
        <v>1.1469557289028467</v>
      </c>
      <c r="H334" s="593">
        <f t="shared" si="46"/>
        <v>425.05319148936172</v>
      </c>
      <c r="I334" s="593">
        <f t="shared" si="47"/>
        <v>-12.178152636167905</v>
      </c>
      <c r="J334" s="190"/>
    </row>
    <row r="335" spans="1:10" x14ac:dyDescent="0.25">
      <c r="A335" s="560">
        <f>2023</f>
        <v>2023</v>
      </c>
      <c r="B335" s="561" t="s">
        <v>12</v>
      </c>
      <c r="C335" s="594">
        <f>[17]Dezembro!$C$23</f>
        <v>4.8413000000000004</v>
      </c>
      <c r="D335" s="595">
        <f t="shared" si="45"/>
        <v>-1.9086212136561587</v>
      </c>
      <c r="E335" s="595">
        <f t="shared" si="52"/>
        <v>-7.2139065105314533</v>
      </c>
      <c r="F335" s="596">
        <f t="shared" si="49"/>
        <v>-7.2139065105314533</v>
      </c>
      <c r="G335" s="592">
        <f t="shared" si="50"/>
        <v>1.1692727160060314</v>
      </c>
      <c r="H335" s="593">
        <f t="shared" si="46"/>
        <v>415.03191489361706</v>
      </c>
      <c r="I335" s="593">
        <f t="shared" si="47"/>
        <v>-13.246124899202572</v>
      </c>
      <c r="J335" s="190"/>
    </row>
    <row r="336" spans="1:10" x14ac:dyDescent="0.25">
      <c r="A336" s="560">
        <f>2024</f>
        <v>2024</v>
      </c>
      <c r="B336" s="561" t="s">
        <v>13</v>
      </c>
      <c r="C336" s="594">
        <f>[18]Janeiro!$C$25</f>
        <v>4.9535</v>
      </c>
      <c r="D336" s="595">
        <f t="shared" si="45"/>
        <v>2.3175593332369404</v>
      </c>
      <c r="E336" s="595">
        <f t="shared" ref="E336:E347" si="53">+((C336/C$335-1)*100)</f>
        <v>2.3175593332369404</v>
      </c>
      <c r="F336" s="596">
        <f t="shared" si="49"/>
        <v>-2.8592159708195286</v>
      </c>
      <c r="G336" s="592">
        <f t="shared" si="50"/>
        <v>1.1427879277278692</v>
      </c>
      <c r="H336" s="593">
        <f t="shared" si="46"/>
        <v>426.968085106383</v>
      </c>
      <c r="I336" s="593">
        <f t="shared" si="47"/>
        <v>-7.5391047896367631</v>
      </c>
      <c r="J336" s="190"/>
    </row>
    <row r="337" spans="1:10" x14ac:dyDescent="0.25">
      <c r="A337" s="560">
        <f>2024</f>
        <v>2024</v>
      </c>
      <c r="B337" s="561" t="s">
        <v>14</v>
      </c>
      <c r="C337" s="594">
        <f>[18]Fevereiro!$C$22</f>
        <v>4.9832999999999998</v>
      </c>
      <c r="D337" s="595">
        <f t="shared" si="45"/>
        <v>0.60159483193700236</v>
      </c>
      <c r="E337" s="595">
        <f t="shared" si="53"/>
        <v>2.9330964823497618</v>
      </c>
      <c r="F337" s="596">
        <f t="shared" si="49"/>
        <v>-4.3108414301624487</v>
      </c>
      <c r="G337" s="592">
        <f t="shared" si="50"/>
        <v>1.1359540866494091</v>
      </c>
      <c r="H337" s="593">
        <f t="shared" si="46"/>
        <v>430.1382978723405</v>
      </c>
      <c r="I337" s="593">
        <f t="shared" si="47"/>
        <v>-3.0373195314628232</v>
      </c>
      <c r="J337" s="190"/>
    </row>
    <row r="338" spans="1:10" x14ac:dyDescent="0.25">
      <c r="A338" s="560">
        <f>2024</f>
        <v>2024</v>
      </c>
      <c r="B338" s="561" t="s">
        <v>15</v>
      </c>
      <c r="C338" s="594">
        <f>[18]Março!$C$23</f>
        <v>4.9962</v>
      </c>
      <c r="D338" s="595">
        <f t="shared" si="45"/>
        <v>0.2588646077900103</v>
      </c>
      <c r="E338" s="595">
        <f t="shared" si="53"/>
        <v>3.1995538388449374</v>
      </c>
      <c r="F338" s="596">
        <f t="shared" si="49"/>
        <v>-1.6573498149751953</v>
      </c>
      <c r="G338" s="592">
        <f t="shared" si="50"/>
        <v>1.1330210960329852</v>
      </c>
      <c r="H338" s="593">
        <f t="shared" si="46"/>
        <v>431.51063829787233</v>
      </c>
      <c r="I338" s="593">
        <f t="shared" si="47"/>
        <v>5.4540081894550285</v>
      </c>
      <c r="J338" s="190"/>
    </row>
    <row r="339" spans="1:10" x14ac:dyDescent="0.25">
      <c r="A339" s="560">
        <f>2024</f>
        <v>2024</v>
      </c>
      <c r="B339" s="561" t="s">
        <v>16</v>
      </c>
      <c r="C339" s="594">
        <f>[18]Abril!$C$25</f>
        <v>5.1718000000000002</v>
      </c>
      <c r="D339" s="595">
        <f t="shared" si="45"/>
        <v>3.5146711500740668</v>
      </c>
      <c r="E339" s="595">
        <f t="shared" si="53"/>
        <v>6.8266787846239518</v>
      </c>
      <c r="F339" s="596">
        <f t="shared" si="49"/>
        <v>3.4215209870618102</v>
      </c>
      <c r="G339" s="592">
        <f t="shared" si="50"/>
        <v>1.094551220078116</v>
      </c>
      <c r="H339" s="593">
        <f t="shared" si="46"/>
        <v>450.19148936170217</v>
      </c>
      <c r="I339" s="593">
        <f t="shared" si="47"/>
        <v>5.1371185786017737</v>
      </c>
      <c r="J339" s="190"/>
    </row>
    <row r="340" spans="1:10" x14ac:dyDescent="0.25">
      <c r="A340" s="560">
        <f>2024</f>
        <v>2024</v>
      </c>
      <c r="B340" s="561" t="s">
        <v>17</v>
      </c>
      <c r="C340" s="594">
        <f>[18]Maio!$C$24</f>
        <v>5.2416</v>
      </c>
      <c r="D340" s="595">
        <f t="shared" si="45"/>
        <v>1.34962682238291</v>
      </c>
      <c r="E340" s="595">
        <f t="shared" si="53"/>
        <v>8.2684402949620974</v>
      </c>
      <c r="F340" s="596">
        <f t="shared" si="49"/>
        <v>2.8591612865244587</v>
      </c>
      <c r="G340" s="592">
        <f t="shared" si="50"/>
        <v>1.0799755799755799</v>
      </c>
      <c r="H340" s="593">
        <f t="shared" si="46"/>
        <v>457.61702127659578</v>
      </c>
      <c r="I340" s="593">
        <f t="shared" si="47"/>
        <v>10.841844826492419</v>
      </c>
      <c r="J340" s="190"/>
    </row>
    <row r="341" spans="1:10" x14ac:dyDescent="0.25">
      <c r="A341" s="560">
        <f>2024</f>
        <v>2024</v>
      </c>
      <c r="B341" s="561" t="s">
        <v>18</v>
      </c>
      <c r="C341" s="594">
        <f>[18]Junho!$C$23</f>
        <v>5.5589000000000004</v>
      </c>
      <c r="D341" s="595">
        <f t="shared" si="45"/>
        <v>6.0534951159951333</v>
      </c>
      <c r="E341" s="595">
        <f t="shared" si="53"/>
        <v>14.822465040381715</v>
      </c>
      <c r="F341" s="596">
        <f t="shared" si="49"/>
        <v>15.349020584329342</v>
      </c>
      <c r="G341" s="592">
        <f t="shared" si="50"/>
        <v>1.0183309647592149</v>
      </c>
      <c r="H341" s="593">
        <f t="shared" si="46"/>
        <v>491.372340425532</v>
      </c>
      <c r="I341" s="593">
        <f t="shared" si="47"/>
        <v>6.1263841160748456</v>
      </c>
      <c r="J341" s="190"/>
    </row>
    <row r="342" spans="1:10" x14ac:dyDescent="0.25">
      <c r="A342" s="560">
        <f>2024</f>
        <v>2024</v>
      </c>
      <c r="B342" s="561" t="s">
        <v>19</v>
      </c>
      <c r="C342" s="594">
        <f>[18]Julho!$C$26</f>
        <v>5.6620999999999997</v>
      </c>
      <c r="D342" s="595">
        <f t="shared" si="45"/>
        <v>1.8564823975966371</v>
      </c>
      <c r="E342" s="595">
        <f t="shared" si="53"/>
        <v>16.954123892342942</v>
      </c>
      <c r="F342" s="596">
        <f t="shared" si="49"/>
        <v>17.490454847277537</v>
      </c>
      <c r="G342" s="592">
        <f t="shared" si="50"/>
        <v>0.9997704032072906</v>
      </c>
      <c r="H342" s="593">
        <f t="shared" si="46"/>
        <v>502.35106382978722</v>
      </c>
      <c r="I342" s="593">
        <f t="shared" si="47"/>
        <v>9.1299822681366152</v>
      </c>
      <c r="J342" s="190"/>
    </row>
    <row r="343" spans="1:10" x14ac:dyDescent="0.25">
      <c r="A343" s="560">
        <f>2024</f>
        <v>2024</v>
      </c>
      <c r="B343" s="561" t="s">
        <v>20</v>
      </c>
      <c r="C343" s="594">
        <f>[18]Agosto!$C$25</f>
        <v>5.6562000000000001</v>
      </c>
      <c r="D343" s="595">
        <f t="shared" si="45"/>
        <v>-0.10420162130657662</v>
      </c>
      <c r="E343" s="595">
        <f t="shared" si="53"/>
        <v>16.832255799062224</v>
      </c>
      <c r="F343" s="596">
        <f t="shared" si="49"/>
        <v>14.919035331884034</v>
      </c>
      <c r="G343" s="592">
        <f t="shared" si="50"/>
        <v>1.0008132668576075</v>
      </c>
      <c r="H343" s="593">
        <f t="shared" si="46"/>
        <v>501.72340425531922</v>
      </c>
      <c r="I343" s="593">
        <f t="shared" si="47"/>
        <v>9.2141340027032115</v>
      </c>
      <c r="J343" s="190"/>
    </row>
    <row r="344" spans="1:10" x14ac:dyDescent="0.25">
      <c r="A344" s="560">
        <f>2024</f>
        <v>2024</v>
      </c>
      <c r="B344" s="561" t="s">
        <v>21</v>
      </c>
      <c r="C344" s="594">
        <f>[18]Setembro!$C$24</f>
        <v>5.4481000000000002</v>
      </c>
      <c r="D344" s="595">
        <f t="shared" si="45"/>
        <v>-3.6791485449595096</v>
      </c>
      <c r="E344" s="595">
        <f t="shared" si="53"/>
        <v>12.533823559787649</v>
      </c>
      <c r="F344" s="596">
        <f t="shared" si="49"/>
        <v>8.7966291237319361</v>
      </c>
      <c r="G344" s="592">
        <f t="shared" si="50"/>
        <v>1.0390411336062113</v>
      </c>
      <c r="H344" s="593">
        <f t="shared" si="46"/>
        <v>479.58510638297878</v>
      </c>
      <c r="I344" s="593">
        <f t="shared" si="47"/>
        <v>0.76758036473938418</v>
      </c>
      <c r="J344" s="190"/>
    </row>
    <row r="345" spans="1:10" x14ac:dyDescent="0.25">
      <c r="A345" s="560">
        <f>2024</f>
        <v>2024</v>
      </c>
      <c r="B345" s="561" t="s">
        <v>22</v>
      </c>
      <c r="C345" s="594">
        <f>[18]Outubro!$C$26</f>
        <v>5.7778999999999998</v>
      </c>
      <c r="D345" s="595">
        <f t="shared" si="45"/>
        <v>6.0534865365907242</v>
      </c>
      <c r="E345" s="595">
        <f t="shared" si="53"/>
        <v>19.346043418090165</v>
      </c>
      <c r="F345" s="596">
        <f t="shared" si="49"/>
        <v>14.244191794364802</v>
      </c>
      <c r="G345" s="592">
        <f t="shared" si="50"/>
        <v>0.9797331210301321</v>
      </c>
      <c r="H345" s="593">
        <f t="shared" si="46"/>
        <v>514.67021276595744</v>
      </c>
      <c r="I345" s="593">
        <f t="shared" si="47"/>
        <v>9.9086931710100856</v>
      </c>
      <c r="J345" s="190"/>
    </row>
    <row r="346" spans="1:10" x14ac:dyDescent="0.25">
      <c r="A346" s="560">
        <f>2024</f>
        <v>2024</v>
      </c>
      <c r="B346" s="561" t="s">
        <v>23</v>
      </c>
      <c r="C346" s="594">
        <f>[18]Novembro!$C$22</f>
        <v>6.0534999999999997</v>
      </c>
      <c r="D346" s="595">
        <f t="shared" si="45"/>
        <v>4.7698990982883105</v>
      </c>
      <c r="E346" s="595">
        <f t="shared" si="53"/>
        <v>25.038729266932425</v>
      </c>
      <c r="F346" s="596">
        <f t="shared" si="49"/>
        <v>22.652213554857646</v>
      </c>
      <c r="G346" s="592">
        <f t="shared" si="50"/>
        <v>0.93512843809366486</v>
      </c>
      <c r="H346" s="593">
        <f t="shared" si="46"/>
        <v>543.98936170212767</v>
      </c>
      <c r="I346" s="593">
        <f t="shared" si="47"/>
        <v>14.344270036455665</v>
      </c>
      <c r="J346" s="190"/>
    </row>
    <row r="347" spans="1:10" x14ac:dyDescent="0.25">
      <c r="A347" s="560">
        <f>2024</f>
        <v>2024</v>
      </c>
      <c r="B347" s="561" t="s">
        <v>12</v>
      </c>
      <c r="C347" s="594">
        <f>[18]Dezembro!$C$24</f>
        <v>6.1923000000000004</v>
      </c>
      <c r="D347" s="595">
        <f t="shared" si="45"/>
        <v>2.2928884116626858</v>
      </c>
      <c r="E347" s="595">
        <f t="shared" si="53"/>
        <v>27.905727800384184</v>
      </c>
      <c r="F347" s="596">
        <f t="shared" si="49"/>
        <v>27.905727800384184</v>
      </c>
      <c r="G347" s="592">
        <f t="shared" si="50"/>
        <v>0.91416759523924873</v>
      </c>
      <c r="H347" s="593">
        <f t="shared" si="46"/>
        <v>558.75531914893622</v>
      </c>
      <c r="I347" s="593">
        <f t="shared" si="47"/>
        <v>18.678728175249649</v>
      </c>
      <c r="J347" s="190"/>
    </row>
    <row r="348" spans="1:10" x14ac:dyDescent="0.25">
      <c r="A348" s="560">
        <f>2025</f>
        <v>2025</v>
      </c>
      <c r="B348" s="561" t="s">
        <v>13</v>
      </c>
      <c r="C348" s="594">
        <f>[19]Janeiro!$C$25</f>
        <v>5.8300999999999998</v>
      </c>
      <c r="D348" s="595">
        <f t="shared" si="45"/>
        <v>-5.8491998126705802</v>
      </c>
      <c r="E348" s="595">
        <f>+((C348/C$347-1)*100)</f>
        <v>-5.8491998126705802</v>
      </c>
      <c r="F348" s="596">
        <f t="shared" si="49"/>
        <v>17.696578177046529</v>
      </c>
      <c r="G348" s="592">
        <f t="shared" si="50"/>
        <v>0.97096104698032626</v>
      </c>
      <c r="H348" s="593">
        <f t="shared" si="46"/>
        <v>520.22340425531922</v>
      </c>
      <c r="I348" s="593">
        <f t="shared" si="47"/>
        <v>14.331378816700324</v>
      </c>
      <c r="J348" s="190"/>
    </row>
    <row r="349" spans="1:10" x14ac:dyDescent="0.25">
      <c r="A349" s="560">
        <f>2025</f>
        <v>2025</v>
      </c>
      <c r="B349" s="561" t="s">
        <v>14</v>
      </c>
      <c r="C349" s="594">
        <f>[19]Fevereiro!$C$23</f>
        <v>5.8487999999999998</v>
      </c>
      <c r="D349" s="595">
        <f t="shared" ref="D349" si="54">((C349/C348)-1)*100</f>
        <v>0.32074921527931455</v>
      </c>
      <c r="E349" s="595">
        <f>+((C349/C$347-1)*100)</f>
        <v>-5.5472118598905222</v>
      </c>
      <c r="F349" s="596">
        <f t="shared" ref="F349" si="55">+((C349/C337-1)*100)</f>
        <v>17.36800915056287</v>
      </c>
      <c r="G349" s="592">
        <f t="shared" si="50"/>
        <v>0.96785665435644919</v>
      </c>
      <c r="H349" s="593">
        <f t="shared" ref="H349" si="56">100*(C349/$C$9-1)</f>
        <v>522.21276595744689</v>
      </c>
      <c r="I349" s="593">
        <f t="shared" ref="I349" si="57">100*(C349/C325-1)</f>
        <v>12.308460386343567</v>
      </c>
      <c r="J349" s="190"/>
    </row>
    <row r="350" spans="1:10" x14ac:dyDescent="0.25">
      <c r="A350" s="560">
        <f>2025</f>
        <v>2025</v>
      </c>
      <c r="B350" s="561" t="s">
        <v>15</v>
      </c>
      <c r="C350" s="594">
        <f>[19]Março!$C$22</f>
        <v>5.7422000000000004</v>
      </c>
      <c r="D350" s="595">
        <f t="shared" ref="D350" si="58">((C350/C349)-1)*100</f>
        <v>-1.8225960880864367</v>
      </c>
      <c r="E350" s="595">
        <f>+((C350/C$347-1)*100)</f>
        <v>-7.2687046816207186</v>
      </c>
      <c r="F350" s="596">
        <f t="shared" ref="F350" si="59">+((C350/C338-1)*100)</f>
        <v>14.931347824346508</v>
      </c>
      <c r="G350" s="597">
        <f t="shared" si="50"/>
        <v>0.98582424854585349</v>
      </c>
      <c r="H350" s="593">
        <f t="shared" ref="H350" si="60">100*(C350/$C$9-1)</f>
        <v>510.872340425532</v>
      </c>
      <c r="I350" s="593">
        <f t="shared" ref="I350" si="61">100*(C350/C326-1)</f>
        <v>13.026533343831193</v>
      </c>
      <c r="J350" s="190"/>
    </row>
    <row r="351" spans="1:10" ht="16.5" thickBot="1" x14ac:dyDescent="0.3">
      <c r="A351" s="564">
        <f>2025</f>
        <v>2025</v>
      </c>
      <c r="B351" s="565" t="s">
        <v>16</v>
      </c>
      <c r="C351" s="598">
        <f>[19]Abril!$C$23</f>
        <v>5.6608000000000001</v>
      </c>
      <c r="D351" s="599">
        <f t="shared" ref="D351" si="62">((C351/C350)-1)*100</f>
        <v>-1.4175751454146512</v>
      </c>
      <c r="E351" s="599">
        <f>+((C351/C$347-1)*100)</f>
        <v>-8.583240476075126</v>
      </c>
      <c r="F351" s="600">
        <f t="shared" ref="F351" si="63">+((C351/C339-1)*100)</f>
        <v>9.4551220078115996</v>
      </c>
      <c r="G351" s="601">
        <f t="shared" si="50"/>
        <v>1</v>
      </c>
      <c r="H351" s="593">
        <f t="shared" ref="H351" si="64">100*(C351/$C$9-1)</f>
        <v>502.21276595744683</v>
      </c>
      <c r="I351" s="593">
        <f t="shared" ref="I351" si="65">100*(C351/C327-1)</f>
        <v>13.200151978722975</v>
      </c>
      <c r="J351" s="190"/>
    </row>
    <row r="352" spans="1:10" ht="15" customHeight="1" x14ac:dyDescent="0.25">
      <c r="A352" s="602" t="s">
        <v>506</v>
      </c>
      <c r="B352" s="603"/>
      <c r="C352" s="604"/>
      <c r="D352" s="605"/>
      <c r="E352" s="605"/>
      <c r="F352" s="606"/>
      <c r="G352" s="607"/>
    </row>
    <row r="353" spans="1:9" ht="16.5" customHeight="1" x14ac:dyDescent="0.25">
      <c r="A353" s="608" t="s">
        <v>44</v>
      </c>
    </row>
    <row r="354" spans="1:9" ht="16.5" customHeight="1" x14ac:dyDescent="0.25">
      <c r="A354" s="609" t="s">
        <v>45</v>
      </c>
      <c r="G354" s="168"/>
    </row>
    <row r="355" spans="1:9" ht="16.5" customHeight="1" x14ac:dyDescent="0.25">
      <c r="B355" s="610"/>
    </row>
    <row r="356" spans="1:9" ht="16.5" customHeight="1" x14ac:dyDescent="0.25">
      <c r="A356" s="611"/>
      <c r="B356" s="612"/>
    </row>
    <row r="357" spans="1:9" ht="16.5" customHeight="1" x14ac:dyDescent="0.25">
      <c r="A357" s="613"/>
      <c r="B357" s="604"/>
      <c r="I357" s="166"/>
    </row>
    <row r="358" spans="1:9" ht="16.5" customHeight="1" x14ac:dyDescent="0.25">
      <c r="A358" s="613"/>
      <c r="B358" s="604"/>
    </row>
    <row r="359" spans="1:9" ht="16.5" customHeight="1" x14ac:dyDescent="0.25">
      <c r="A359" s="613"/>
      <c r="B359" s="604"/>
      <c r="D359" s="614"/>
    </row>
    <row r="360" spans="1:9" ht="16.5" customHeight="1" x14ac:dyDescent="0.25">
      <c r="A360" s="613"/>
      <c r="B360" s="604"/>
    </row>
    <row r="361" spans="1:9" ht="16.5" customHeight="1" x14ac:dyDescent="0.25">
      <c r="A361" s="613"/>
      <c r="B361" s="604"/>
    </row>
    <row r="362" spans="1:9" ht="16.5" customHeight="1" x14ac:dyDescent="0.25">
      <c r="A362" s="613"/>
      <c r="B362" s="604"/>
    </row>
    <row r="363" spans="1:9" ht="16.5" customHeight="1" x14ac:dyDescent="0.25">
      <c r="A363" s="613"/>
      <c r="B363" s="604"/>
    </row>
    <row r="364" spans="1:9" ht="16.5" customHeight="1" x14ac:dyDescent="0.25">
      <c r="A364" s="613"/>
      <c r="B364" s="604"/>
    </row>
    <row r="365" spans="1:9" ht="16.5" customHeight="1" x14ac:dyDescent="0.25">
      <c r="A365" s="613"/>
      <c r="B365" s="604"/>
    </row>
    <row r="366" spans="1:9" ht="16.5" customHeight="1" x14ac:dyDescent="0.25">
      <c r="A366" s="613"/>
      <c r="B366" s="604"/>
    </row>
    <row r="367" spans="1:9" ht="16.5" customHeight="1" x14ac:dyDescent="0.25">
      <c r="A367" s="613"/>
      <c r="B367" s="604"/>
    </row>
    <row r="368" spans="1:9" ht="16.5" customHeight="1" x14ac:dyDescent="0.25">
      <c r="A368" s="613"/>
      <c r="B368" s="604"/>
    </row>
    <row r="369" spans="1:2" ht="16.5" customHeight="1" x14ac:dyDescent="0.25">
      <c r="A369" s="613"/>
      <c r="B369" s="604"/>
    </row>
    <row r="370" spans="1:2" ht="16.5" customHeight="1" x14ac:dyDescent="0.25">
      <c r="A370" s="613"/>
      <c r="B370" s="604"/>
    </row>
    <row r="371" spans="1:2" ht="16.5" customHeight="1" x14ac:dyDescent="0.25">
      <c r="A371" s="613"/>
      <c r="B371" s="604"/>
    </row>
    <row r="372" spans="1:2" ht="16.5" customHeight="1" x14ac:dyDescent="0.25">
      <c r="A372" s="613"/>
      <c r="B372" s="604"/>
    </row>
    <row r="373" spans="1:2" ht="16.5" customHeight="1" x14ac:dyDescent="0.25">
      <c r="A373" s="613"/>
      <c r="B373" s="604"/>
    </row>
    <row r="374" spans="1:2" ht="16.5" customHeight="1" x14ac:dyDescent="0.25">
      <c r="A374" s="613"/>
      <c r="B374" s="604"/>
    </row>
    <row r="375" spans="1:2" ht="16.5" customHeight="1" x14ac:dyDescent="0.25">
      <c r="A375" s="613"/>
      <c r="B375" s="604"/>
    </row>
    <row r="376" spans="1:2" ht="16.5" customHeight="1" x14ac:dyDescent="0.25">
      <c r="A376" s="613"/>
      <c r="B376" s="604"/>
    </row>
    <row r="377" spans="1:2" ht="16.5" customHeight="1" x14ac:dyDescent="0.25">
      <c r="A377" s="613"/>
      <c r="B377" s="604"/>
    </row>
    <row r="378" spans="1:2" ht="16.5" customHeight="1" x14ac:dyDescent="0.25">
      <c r="A378" s="613"/>
      <c r="B378" s="604"/>
    </row>
    <row r="379" spans="1:2" ht="16.5" customHeight="1" x14ac:dyDescent="0.25">
      <c r="A379" s="613"/>
      <c r="B379" s="604"/>
    </row>
    <row r="380" spans="1:2" ht="16.5" customHeight="1" x14ac:dyDescent="0.25">
      <c r="A380" s="613"/>
      <c r="B380" s="604"/>
    </row>
    <row r="381" spans="1:2" ht="16.5" customHeight="1" x14ac:dyDescent="0.25">
      <c r="A381" s="613"/>
      <c r="B381" s="604"/>
    </row>
    <row r="382" spans="1:2" ht="16.5" customHeight="1" x14ac:dyDescent="0.25">
      <c r="A382" s="613"/>
      <c r="B382" s="604"/>
    </row>
    <row r="383" spans="1:2" ht="16.5" customHeight="1" x14ac:dyDescent="0.25">
      <c r="A383" s="613"/>
      <c r="B383" s="604"/>
    </row>
    <row r="384" spans="1:2" ht="16.5" customHeight="1" x14ac:dyDescent="0.25">
      <c r="A384" s="615"/>
      <c r="B384" s="604"/>
    </row>
    <row r="385" spans="1:2" ht="16.5" customHeight="1" x14ac:dyDescent="0.25">
      <c r="A385" s="613"/>
      <c r="B385" s="604"/>
    </row>
    <row r="386" spans="1:2" ht="16.5" customHeight="1" x14ac:dyDescent="0.25">
      <c r="A386" s="613"/>
      <c r="B386" s="604"/>
    </row>
    <row r="387" spans="1:2" ht="16.5" customHeight="1" x14ac:dyDescent="0.25">
      <c r="A387" s="613"/>
      <c r="B387" s="604"/>
    </row>
    <row r="388" spans="1:2" ht="16.5" customHeight="1" x14ac:dyDescent="0.25">
      <c r="A388" s="613"/>
      <c r="B388" s="604"/>
    </row>
    <row r="389" spans="1:2" ht="16.5" customHeight="1" x14ac:dyDescent="0.25">
      <c r="A389" s="613"/>
      <c r="B389" s="604"/>
    </row>
    <row r="390" spans="1:2" ht="16.5" customHeight="1" x14ac:dyDescent="0.25">
      <c r="A390" s="613"/>
      <c r="B390" s="604"/>
    </row>
    <row r="391" spans="1:2" ht="16.5" customHeight="1" x14ac:dyDescent="0.25">
      <c r="A391" s="613"/>
      <c r="B391" s="604"/>
    </row>
    <row r="392" spans="1:2" ht="16.5" customHeight="1" x14ac:dyDescent="0.25">
      <c r="A392" s="613"/>
      <c r="B392" s="604"/>
    </row>
    <row r="393" spans="1:2" ht="16.5" customHeight="1" x14ac:dyDescent="0.25">
      <c r="A393" s="613"/>
      <c r="B393" s="604"/>
    </row>
    <row r="394" spans="1:2" ht="16.5" customHeight="1" x14ac:dyDescent="0.25">
      <c r="A394" s="613"/>
      <c r="B394" s="604"/>
    </row>
    <row r="395" spans="1:2" ht="16.5" customHeight="1" x14ac:dyDescent="0.25">
      <c r="A395" s="613"/>
      <c r="B395" s="604"/>
    </row>
    <row r="396" spans="1:2" ht="16.5" customHeight="1" x14ac:dyDescent="0.25">
      <c r="A396" s="613"/>
      <c r="B396" s="604"/>
    </row>
    <row r="397" spans="1:2" ht="16.5" customHeight="1" x14ac:dyDescent="0.25">
      <c r="A397" s="613"/>
      <c r="B397" s="604"/>
    </row>
    <row r="398" spans="1:2" ht="12" customHeight="1" x14ac:dyDescent="0.25">
      <c r="A398" s="613"/>
      <c r="B398" s="604"/>
    </row>
    <row r="399" spans="1:2" ht="12" customHeight="1" x14ac:dyDescent="0.25">
      <c r="A399" s="613"/>
      <c r="B399" s="604"/>
    </row>
    <row r="400" spans="1:2" ht="12" customHeight="1" x14ac:dyDescent="0.25">
      <c r="A400" s="613"/>
      <c r="B400" s="604"/>
    </row>
    <row r="401" spans="1:2" ht="12" customHeight="1" x14ac:dyDescent="0.25">
      <c r="A401" s="613"/>
      <c r="B401" s="604"/>
    </row>
    <row r="402" spans="1:2" ht="12" customHeight="1" x14ac:dyDescent="0.25">
      <c r="A402" s="613"/>
      <c r="B402" s="604"/>
    </row>
    <row r="403" spans="1:2" ht="12" customHeight="1" x14ac:dyDescent="0.25">
      <c r="A403" s="613"/>
      <c r="B403" s="604"/>
    </row>
    <row r="404" spans="1:2" ht="12" customHeight="1" x14ac:dyDescent="0.25">
      <c r="A404" s="613"/>
      <c r="B404" s="604"/>
    </row>
    <row r="405" spans="1:2" ht="12" customHeight="1" x14ac:dyDescent="0.25">
      <c r="A405" s="613"/>
      <c r="B405" s="604"/>
    </row>
    <row r="406" spans="1:2" ht="12" customHeight="1" x14ac:dyDescent="0.25">
      <c r="A406" s="613"/>
      <c r="B406" s="604"/>
    </row>
    <row r="407" spans="1:2" ht="12" customHeight="1" x14ac:dyDescent="0.25">
      <c r="A407" s="613"/>
      <c r="B407" s="604"/>
    </row>
    <row r="408" spans="1:2" ht="12" customHeight="1" x14ac:dyDescent="0.25">
      <c r="A408" s="613"/>
      <c r="B408" s="604"/>
    </row>
    <row r="409" spans="1:2" ht="12" customHeight="1" x14ac:dyDescent="0.25">
      <c r="A409" s="613"/>
      <c r="B409" s="604"/>
    </row>
    <row r="410" spans="1:2" ht="12" customHeight="1" x14ac:dyDescent="0.25">
      <c r="A410" s="613"/>
      <c r="B410" s="604"/>
    </row>
    <row r="411" spans="1:2" ht="12" customHeight="1" x14ac:dyDescent="0.25">
      <c r="A411" s="613"/>
      <c r="B411" s="604"/>
    </row>
    <row r="412" spans="1:2" ht="12" customHeight="1" x14ac:dyDescent="0.25">
      <c r="A412" s="613"/>
      <c r="B412" s="604"/>
    </row>
    <row r="413" spans="1:2" ht="12" customHeight="1" x14ac:dyDescent="0.25">
      <c r="A413" s="613"/>
      <c r="B413" s="604"/>
    </row>
    <row r="414" spans="1:2" ht="12" customHeight="1" x14ac:dyDescent="0.25">
      <c r="A414" s="613"/>
      <c r="B414" s="604"/>
    </row>
    <row r="415" spans="1:2" ht="12" customHeight="1" x14ac:dyDescent="0.25">
      <c r="A415" s="613"/>
      <c r="B415" s="604"/>
    </row>
    <row r="416" spans="1:2" ht="12" customHeight="1" x14ac:dyDescent="0.25">
      <c r="A416" s="613"/>
      <c r="B416" s="604"/>
    </row>
    <row r="417" spans="1:2" ht="12" customHeight="1" x14ac:dyDescent="0.25">
      <c r="A417" s="613"/>
      <c r="B417" s="604"/>
    </row>
    <row r="418" spans="1:2" ht="12" customHeight="1" x14ac:dyDescent="0.25">
      <c r="A418" s="613"/>
      <c r="B418" s="604"/>
    </row>
    <row r="419" spans="1:2" ht="12" customHeight="1" x14ac:dyDescent="0.25">
      <c r="A419" s="613"/>
      <c r="B419" s="604"/>
    </row>
    <row r="420" spans="1:2" ht="12" customHeight="1" x14ac:dyDescent="0.25">
      <c r="A420" s="613"/>
      <c r="B420" s="604"/>
    </row>
    <row r="421" spans="1:2" ht="12" customHeight="1" x14ac:dyDescent="0.25">
      <c r="A421" s="613"/>
      <c r="B421" s="604"/>
    </row>
    <row r="422" spans="1:2" ht="12" customHeight="1" x14ac:dyDescent="0.25">
      <c r="A422" s="613"/>
      <c r="B422" s="604"/>
    </row>
    <row r="423" spans="1:2" ht="12" customHeight="1" x14ac:dyDescent="0.25">
      <c r="A423" s="613"/>
      <c r="B423" s="604"/>
    </row>
    <row r="424" spans="1:2" ht="12" customHeight="1" x14ac:dyDescent="0.25">
      <c r="A424" s="613"/>
      <c r="B424" s="604"/>
    </row>
    <row r="425" spans="1:2" ht="12" customHeight="1" x14ac:dyDescent="0.25">
      <c r="A425" s="613"/>
      <c r="B425" s="604"/>
    </row>
    <row r="426" spans="1:2" ht="12" customHeight="1" x14ac:dyDescent="0.25">
      <c r="A426" s="613"/>
      <c r="B426" s="604"/>
    </row>
    <row r="427" spans="1:2" ht="12" customHeight="1" x14ac:dyDescent="0.25">
      <c r="A427" s="613"/>
      <c r="B427" s="604"/>
    </row>
    <row r="428" spans="1:2" ht="12" customHeight="1" x14ac:dyDescent="0.25">
      <c r="A428" s="613"/>
      <c r="B428" s="604"/>
    </row>
    <row r="429" spans="1:2" ht="12" customHeight="1" x14ac:dyDescent="0.25">
      <c r="A429" s="613"/>
      <c r="B429" s="604"/>
    </row>
    <row r="430" spans="1:2" ht="12" customHeight="1" x14ac:dyDescent="0.25">
      <c r="A430" s="613"/>
      <c r="B430" s="604"/>
    </row>
    <row r="431" spans="1:2" ht="12" customHeight="1" x14ac:dyDescent="0.25">
      <c r="A431" s="613"/>
      <c r="B431" s="604"/>
    </row>
    <row r="432" spans="1:2" ht="12" customHeight="1" x14ac:dyDescent="0.25">
      <c r="A432" s="613"/>
      <c r="B432" s="604"/>
    </row>
    <row r="433" spans="1:2" ht="12" customHeight="1" x14ac:dyDescent="0.25">
      <c r="A433" s="613"/>
      <c r="B433" s="604"/>
    </row>
    <row r="434" spans="1:2" ht="12" customHeight="1" x14ac:dyDescent="0.25">
      <c r="A434" s="613"/>
      <c r="B434" s="604"/>
    </row>
    <row r="435" spans="1:2" ht="12" customHeight="1" x14ac:dyDescent="0.25">
      <c r="A435" s="613"/>
      <c r="B435" s="604"/>
    </row>
    <row r="436" spans="1:2" ht="12" customHeight="1" x14ac:dyDescent="0.25">
      <c r="A436" s="613"/>
      <c r="B436" s="604"/>
    </row>
    <row r="437" spans="1:2" ht="12" customHeight="1" x14ac:dyDescent="0.25">
      <c r="A437" s="613"/>
      <c r="B437" s="604"/>
    </row>
    <row r="438" spans="1:2" ht="12" customHeight="1" x14ac:dyDescent="0.25">
      <c r="A438" s="613"/>
      <c r="B438" s="604"/>
    </row>
    <row r="439" spans="1:2" ht="12" customHeight="1" x14ac:dyDescent="0.25">
      <c r="A439" s="613"/>
      <c r="B439" s="604"/>
    </row>
    <row r="440" spans="1:2" ht="12" customHeight="1" x14ac:dyDescent="0.25">
      <c r="A440" s="613"/>
      <c r="B440" s="604"/>
    </row>
    <row r="441" spans="1:2" ht="12" customHeight="1" x14ac:dyDescent="0.25">
      <c r="A441" s="613"/>
      <c r="B441" s="604"/>
    </row>
    <row r="442" spans="1:2" ht="12" customHeight="1" x14ac:dyDescent="0.25">
      <c r="A442" s="613"/>
      <c r="B442" s="604"/>
    </row>
    <row r="443" spans="1:2" ht="12" customHeight="1" x14ac:dyDescent="0.25">
      <c r="A443" s="613"/>
      <c r="B443" s="604"/>
    </row>
    <row r="444" spans="1:2" ht="12" customHeight="1" x14ac:dyDescent="0.25">
      <c r="A444" s="613"/>
      <c r="B444" s="604"/>
    </row>
    <row r="445" spans="1:2" ht="12" customHeight="1" x14ac:dyDescent="0.25">
      <c r="A445" s="613"/>
      <c r="B445" s="604"/>
    </row>
    <row r="446" spans="1:2" ht="12" customHeight="1" x14ac:dyDescent="0.25">
      <c r="A446" s="613"/>
      <c r="B446" s="604"/>
    </row>
    <row r="447" spans="1:2" ht="12" customHeight="1" x14ac:dyDescent="0.25">
      <c r="A447" s="613"/>
      <c r="B447" s="604"/>
    </row>
    <row r="448" spans="1:2" ht="12" customHeight="1" x14ac:dyDescent="0.25">
      <c r="A448" s="613"/>
      <c r="B448" s="604"/>
    </row>
    <row r="449" spans="1:2" ht="12" customHeight="1" x14ac:dyDescent="0.25">
      <c r="A449" s="613"/>
      <c r="B449" s="604"/>
    </row>
    <row r="450" spans="1:2" ht="12" customHeight="1" x14ac:dyDescent="0.25">
      <c r="A450" s="613"/>
      <c r="B450" s="604"/>
    </row>
    <row r="451" spans="1:2" ht="12" customHeight="1" x14ac:dyDescent="0.25">
      <c r="A451" s="613"/>
      <c r="B451" s="604"/>
    </row>
    <row r="452" spans="1:2" ht="12" customHeight="1" x14ac:dyDescent="0.25">
      <c r="A452" s="613"/>
      <c r="B452" s="604"/>
    </row>
    <row r="453" spans="1:2" ht="12" customHeight="1" x14ac:dyDescent="0.25">
      <c r="A453" s="613"/>
      <c r="B453" s="604"/>
    </row>
    <row r="454" spans="1:2" ht="12" customHeight="1" x14ac:dyDescent="0.25">
      <c r="A454" s="613"/>
      <c r="B454" s="604"/>
    </row>
    <row r="455" spans="1:2" ht="12" customHeight="1" x14ac:dyDescent="0.25">
      <c r="A455" s="613"/>
      <c r="B455" s="604"/>
    </row>
    <row r="456" spans="1:2" ht="12" customHeight="1" x14ac:dyDescent="0.25">
      <c r="A456" s="613"/>
      <c r="B456" s="604"/>
    </row>
    <row r="457" spans="1:2" ht="12" customHeight="1" x14ac:dyDescent="0.25">
      <c r="A457" s="613"/>
      <c r="B457" s="604"/>
    </row>
    <row r="458" spans="1:2" ht="12" customHeight="1" x14ac:dyDescent="0.25">
      <c r="A458" s="613"/>
      <c r="B458" s="604"/>
    </row>
    <row r="459" spans="1:2" ht="12" customHeight="1" x14ac:dyDescent="0.25">
      <c r="A459" s="613"/>
      <c r="B459" s="604"/>
    </row>
    <row r="460" spans="1:2" ht="12" customHeight="1" x14ac:dyDescent="0.25">
      <c r="A460" s="613"/>
      <c r="B460" s="604"/>
    </row>
    <row r="461" spans="1:2" ht="12" customHeight="1" x14ac:dyDescent="0.25">
      <c r="A461" s="613"/>
      <c r="B461" s="604"/>
    </row>
    <row r="462" spans="1:2" ht="12" customHeight="1" x14ac:dyDescent="0.25">
      <c r="A462" s="613"/>
      <c r="B462" s="604"/>
    </row>
    <row r="463" spans="1:2" ht="12" customHeight="1" x14ac:dyDescent="0.25">
      <c r="A463" s="613"/>
      <c r="B463" s="604"/>
    </row>
    <row r="464" spans="1:2" ht="12" customHeight="1" x14ac:dyDescent="0.25">
      <c r="A464" s="613"/>
      <c r="B464" s="604"/>
    </row>
    <row r="465" spans="1:2" ht="12" customHeight="1" x14ac:dyDescent="0.25">
      <c r="A465" s="613"/>
      <c r="B465" s="604"/>
    </row>
    <row r="466" spans="1:2" ht="12" customHeight="1" x14ac:dyDescent="0.25">
      <c r="A466" s="613"/>
      <c r="B466" s="604"/>
    </row>
    <row r="467" spans="1:2" ht="12" customHeight="1" x14ac:dyDescent="0.25">
      <c r="A467" s="613"/>
      <c r="B467" s="604"/>
    </row>
    <row r="468" spans="1:2" ht="12" customHeight="1" x14ac:dyDescent="0.25">
      <c r="A468" s="613"/>
      <c r="B468" s="604"/>
    </row>
    <row r="469" spans="1:2" ht="12" customHeight="1" x14ac:dyDescent="0.25">
      <c r="A469" s="613"/>
      <c r="B469" s="604"/>
    </row>
    <row r="470" spans="1:2" ht="12" customHeight="1" x14ac:dyDescent="0.25">
      <c r="A470" s="613"/>
      <c r="B470" s="604"/>
    </row>
    <row r="471" spans="1:2" ht="12" customHeight="1" x14ac:dyDescent="0.25">
      <c r="A471" s="613"/>
      <c r="B471" s="604"/>
    </row>
    <row r="472" spans="1:2" ht="12" customHeight="1" x14ac:dyDescent="0.25">
      <c r="A472" s="613"/>
      <c r="B472" s="604"/>
    </row>
    <row r="473" spans="1:2" ht="12" customHeight="1" x14ac:dyDescent="0.25">
      <c r="A473" s="613"/>
      <c r="B473" s="604"/>
    </row>
    <row r="474" spans="1:2" ht="12" customHeight="1" x14ac:dyDescent="0.25">
      <c r="A474" s="613"/>
      <c r="B474" s="604"/>
    </row>
    <row r="475" spans="1:2" ht="12" customHeight="1" x14ac:dyDescent="0.25">
      <c r="A475" s="613"/>
      <c r="B475" s="604"/>
    </row>
    <row r="476" spans="1:2" ht="12" customHeight="1" x14ac:dyDescent="0.25">
      <c r="A476" s="613"/>
      <c r="B476" s="604"/>
    </row>
    <row r="477" spans="1:2" ht="12" customHeight="1" x14ac:dyDescent="0.25">
      <c r="A477" s="613"/>
      <c r="B477" s="604"/>
    </row>
    <row r="478" spans="1:2" ht="12" customHeight="1" x14ac:dyDescent="0.25">
      <c r="A478" s="613"/>
      <c r="B478" s="604"/>
    </row>
    <row r="479" spans="1:2" ht="12" customHeight="1" x14ac:dyDescent="0.25">
      <c r="A479" s="613"/>
      <c r="B479" s="604"/>
    </row>
    <row r="480" spans="1:2" ht="12" customHeight="1" x14ac:dyDescent="0.25">
      <c r="A480" s="613"/>
      <c r="B480" s="604"/>
    </row>
    <row r="481" spans="1:2" ht="12" customHeight="1" x14ac:dyDescent="0.25">
      <c r="A481" s="613"/>
      <c r="B481" s="604"/>
    </row>
    <row r="482" spans="1:2" ht="12" customHeight="1" x14ac:dyDescent="0.25">
      <c r="A482" s="613"/>
      <c r="B482" s="604"/>
    </row>
    <row r="483" spans="1:2" ht="12" customHeight="1" x14ac:dyDescent="0.25">
      <c r="A483" s="613"/>
      <c r="B483" s="604"/>
    </row>
    <row r="484" spans="1:2" ht="12" customHeight="1" x14ac:dyDescent="0.25">
      <c r="A484" s="613"/>
      <c r="B484" s="604"/>
    </row>
    <row r="485" spans="1:2" ht="12" customHeight="1" x14ac:dyDescent="0.25">
      <c r="A485" s="613"/>
      <c r="B485" s="604"/>
    </row>
    <row r="486" spans="1:2" ht="12" customHeight="1" x14ac:dyDescent="0.25">
      <c r="A486" s="613"/>
      <c r="B486" s="604"/>
    </row>
    <row r="487" spans="1:2" ht="12" customHeight="1" x14ac:dyDescent="0.25">
      <c r="A487" s="613"/>
      <c r="B487" s="604"/>
    </row>
    <row r="488" spans="1:2" ht="12" customHeight="1" x14ac:dyDescent="0.25">
      <c r="A488" s="613"/>
      <c r="B488" s="604"/>
    </row>
    <row r="489" spans="1:2" ht="12" customHeight="1" x14ac:dyDescent="0.25">
      <c r="A489" s="613"/>
      <c r="B489" s="604"/>
    </row>
    <row r="490" spans="1:2" ht="12" customHeight="1" x14ac:dyDescent="0.25">
      <c r="A490" s="613"/>
      <c r="B490" s="604"/>
    </row>
    <row r="491" spans="1:2" ht="12" customHeight="1" x14ac:dyDescent="0.25">
      <c r="A491" s="613"/>
      <c r="B491" s="604"/>
    </row>
    <row r="492" spans="1:2" ht="12" customHeight="1" x14ac:dyDescent="0.25">
      <c r="A492" s="613"/>
      <c r="B492" s="604"/>
    </row>
    <row r="493" spans="1:2" ht="12" customHeight="1" x14ac:dyDescent="0.25">
      <c r="A493" s="613"/>
      <c r="B493" s="604"/>
    </row>
    <row r="494" spans="1:2" ht="12" customHeight="1" x14ac:dyDescent="0.25">
      <c r="A494" s="613"/>
      <c r="B494" s="604"/>
    </row>
    <row r="495" spans="1:2" ht="12" customHeight="1" x14ac:dyDescent="0.25">
      <c r="A495" s="613"/>
      <c r="B495" s="604"/>
    </row>
    <row r="496" spans="1:2" ht="12" customHeight="1" x14ac:dyDescent="0.25">
      <c r="A496" s="613"/>
      <c r="B496" s="604"/>
    </row>
    <row r="497" spans="1:2" ht="12" customHeight="1" x14ac:dyDescent="0.25">
      <c r="A497" s="613"/>
      <c r="B497" s="604"/>
    </row>
    <row r="498" spans="1:2" ht="12" customHeight="1" x14ac:dyDescent="0.25">
      <c r="A498" s="613"/>
      <c r="B498" s="604"/>
    </row>
    <row r="499" spans="1:2" ht="12" customHeight="1" x14ac:dyDescent="0.25">
      <c r="A499" s="613"/>
      <c r="B499" s="604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53F7-A677-41D6-82EC-D08BA080FD12}">
  <dimension ref="A1:L374"/>
  <sheetViews>
    <sheetView showGridLines="0" workbookViewId="0">
      <pane ySplit="2940" topLeftCell="A361" activePane="bottomLeft"/>
      <selection activeCell="F375" sqref="F375"/>
      <selection pane="bottomLeft" activeCell="A374" sqref="A374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0" width="21.42578125" style="55" customWidth="1"/>
    <col min="11" max="16384" width="12.42578125" style="55"/>
  </cols>
  <sheetData>
    <row r="1" spans="1:12" ht="21" customHeight="1" x14ac:dyDescent="0.25">
      <c r="A1" s="778" t="s">
        <v>543</v>
      </c>
      <c r="B1" s="778"/>
      <c r="C1" s="778"/>
      <c r="D1" s="778"/>
      <c r="E1" s="778"/>
      <c r="F1" s="778"/>
      <c r="G1" s="616"/>
      <c r="H1" s="617"/>
    </row>
    <row r="2" spans="1:12" ht="15.75" customHeight="1" x14ac:dyDescent="0.25">
      <c r="A2" s="778"/>
      <c r="B2" s="778"/>
      <c r="C2" s="778"/>
      <c r="D2" s="778"/>
      <c r="E2" s="778"/>
      <c r="F2" s="778"/>
      <c r="G2" s="616"/>
      <c r="H2" s="617"/>
    </row>
    <row r="3" spans="1:12" ht="15" customHeight="1" thickBot="1" x14ac:dyDescent="0.3">
      <c r="A3" s="779"/>
      <c r="B3" s="779"/>
      <c r="C3" s="779"/>
      <c r="D3" s="779"/>
      <c r="E3" s="779"/>
      <c r="F3" s="779"/>
      <c r="G3" s="616"/>
      <c r="H3" s="617"/>
    </row>
    <row r="4" spans="1:12" ht="17.25" customHeight="1" thickBot="1" x14ac:dyDescent="0.3">
      <c r="A4" s="684" t="s">
        <v>540</v>
      </c>
      <c r="B4" s="685"/>
      <c r="C4" s="686"/>
      <c r="D4" s="687" t="s">
        <v>544</v>
      </c>
      <c r="E4" s="688"/>
      <c r="F4" s="717"/>
      <c r="G4" s="189"/>
      <c r="H4" s="618"/>
    </row>
    <row r="5" spans="1:12" ht="15" customHeight="1" thickBot="1" x14ac:dyDescent="0.3">
      <c r="A5" s="689" t="s">
        <v>3</v>
      </c>
      <c r="B5" s="690"/>
      <c r="C5" s="691"/>
      <c r="D5" s="692" t="s">
        <v>4</v>
      </c>
      <c r="E5" s="693"/>
      <c r="F5" s="780"/>
      <c r="G5" s="619"/>
    </row>
    <row r="6" spans="1:12" ht="15.75" customHeight="1" x14ac:dyDescent="0.25">
      <c r="A6" s="781" t="s">
        <v>6</v>
      </c>
      <c r="B6" s="783" t="s">
        <v>7</v>
      </c>
      <c r="C6" s="783" t="s">
        <v>545</v>
      </c>
      <c r="D6" s="785" t="s">
        <v>546</v>
      </c>
      <c r="E6" s="785" t="s">
        <v>547</v>
      </c>
      <c r="F6" s="776" t="s">
        <v>548</v>
      </c>
      <c r="G6" s="619"/>
    </row>
    <row r="7" spans="1:12" ht="16.5" thickBot="1" x14ac:dyDescent="0.3">
      <c r="A7" s="782"/>
      <c r="B7" s="784"/>
      <c r="C7" s="784"/>
      <c r="D7" s="786"/>
      <c r="E7" s="786"/>
      <c r="F7" s="777"/>
      <c r="G7" s="606"/>
      <c r="H7" s="620"/>
      <c r="I7" s="621"/>
      <c r="J7" s="621"/>
      <c r="K7" s="614"/>
      <c r="L7" s="614"/>
    </row>
    <row r="8" spans="1:12" x14ac:dyDescent="0.25">
      <c r="A8" s="622">
        <v>1995</v>
      </c>
      <c r="B8" s="623" t="s">
        <v>13</v>
      </c>
      <c r="C8" s="624">
        <v>70</v>
      </c>
      <c r="D8" s="624">
        <v>100</v>
      </c>
      <c r="E8" s="624">
        <v>100</v>
      </c>
      <c r="F8" s="625">
        <f>+D8*E$8/E8</f>
        <v>100</v>
      </c>
      <c r="G8" s="620"/>
      <c r="H8" s="621"/>
      <c r="I8" s="621"/>
      <c r="J8" s="621"/>
      <c r="K8" s="614"/>
      <c r="L8" s="614"/>
    </row>
    <row r="9" spans="1:12" x14ac:dyDescent="0.25">
      <c r="A9" s="556">
        <v>1995</v>
      </c>
      <c r="B9" s="557" t="s">
        <v>14</v>
      </c>
      <c r="C9" s="558">
        <v>70</v>
      </c>
      <c r="D9" s="558">
        <f t="shared" ref="D9:D72" si="0">100*C9/C$8</f>
        <v>100</v>
      </c>
      <c r="E9" s="626">
        <f>E8*(1+IGPDI!D13/100)</f>
        <v>101.15273245392289</v>
      </c>
      <c r="F9" s="627">
        <f>+D9*E$8/E9</f>
        <v>98.86040403856812</v>
      </c>
      <c r="G9" s="620"/>
      <c r="H9" s="628"/>
      <c r="I9" s="621"/>
      <c r="J9" s="376"/>
      <c r="K9" s="614"/>
      <c r="L9" s="614"/>
    </row>
    <row r="10" spans="1:12" x14ac:dyDescent="0.25">
      <c r="A10" s="556">
        <v>1995</v>
      </c>
      <c r="B10" s="557" t="s">
        <v>15</v>
      </c>
      <c r="C10" s="558">
        <v>70</v>
      </c>
      <c r="D10" s="558">
        <f t="shared" si="0"/>
        <v>100</v>
      </c>
      <c r="E10" s="626">
        <f>E9*(1+IGPDI!D14/100)</f>
        <v>102.98754423863586</v>
      </c>
      <c r="F10" s="627">
        <f t="shared" ref="F10:F73" si="1">+D10*E$8/E10</f>
        <v>97.099120810461002</v>
      </c>
      <c r="G10" s="620"/>
      <c r="H10" s="628"/>
      <c r="I10" s="621"/>
      <c r="J10" s="376"/>
      <c r="K10" s="614"/>
      <c r="L10" s="614"/>
    </row>
    <row r="11" spans="1:12" x14ac:dyDescent="0.25">
      <c r="A11" s="556">
        <v>1995</v>
      </c>
      <c r="B11" s="557" t="s">
        <v>16</v>
      </c>
      <c r="C11" s="558">
        <v>70</v>
      </c>
      <c r="D11" s="558">
        <f t="shared" si="0"/>
        <v>100</v>
      </c>
      <c r="E11" s="626">
        <f>E10*(1+IGPDI!D15/100)</f>
        <v>105.35827549754104</v>
      </c>
      <c r="F11" s="627">
        <f t="shared" si="1"/>
        <v>94.914233863227864</v>
      </c>
      <c r="G11" s="620"/>
      <c r="H11" s="628"/>
      <c r="I11" s="621"/>
      <c r="J11" s="376"/>
      <c r="K11" s="614"/>
      <c r="L11" s="614"/>
    </row>
    <row r="12" spans="1:12" x14ac:dyDescent="0.25">
      <c r="A12" s="556">
        <v>1995</v>
      </c>
      <c r="B12" s="557" t="s">
        <v>17</v>
      </c>
      <c r="C12" s="558">
        <v>100</v>
      </c>
      <c r="D12" s="558">
        <f>100*C12/C$8</f>
        <v>142.85714285714286</v>
      </c>
      <c r="E12" s="626">
        <f>E11*(1+IGPDI!D16/100)</f>
        <v>105.7783701797123</v>
      </c>
      <c r="F12" s="627">
        <f t="shared" si="1"/>
        <v>135.05326525114307</v>
      </c>
      <c r="G12" s="620"/>
      <c r="H12" s="628"/>
      <c r="I12" s="621"/>
      <c r="J12" s="376"/>
      <c r="K12" s="614"/>
      <c r="L12" s="614"/>
    </row>
    <row r="13" spans="1:12" x14ac:dyDescent="0.25">
      <c r="A13" s="556">
        <v>1995</v>
      </c>
      <c r="B13" s="557" t="s">
        <v>18</v>
      </c>
      <c r="C13" s="558">
        <v>100</v>
      </c>
      <c r="D13" s="558">
        <f t="shared" si="0"/>
        <v>142.85714285714286</v>
      </c>
      <c r="E13" s="626">
        <f>E12*(1+IGPDI!D17/100)</f>
        <v>108.55356896630971</v>
      </c>
      <c r="F13" s="627">
        <f t="shared" si="1"/>
        <v>131.60059518768975</v>
      </c>
      <c r="G13" s="620"/>
      <c r="H13" s="628"/>
      <c r="I13" s="621"/>
      <c r="J13" s="376"/>
      <c r="K13" s="614"/>
      <c r="L13" s="614"/>
    </row>
    <row r="14" spans="1:12" x14ac:dyDescent="0.25">
      <c r="A14" s="556">
        <v>1995</v>
      </c>
      <c r="B14" s="557" t="s">
        <v>19</v>
      </c>
      <c r="C14" s="558">
        <v>100</v>
      </c>
      <c r="D14" s="558">
        <f t="shared" si="0"/>
        <v>142.85714285714286</v>
      </c>
      <c r="E14" s="626">
        <f>E13*(1+IGPDI!D18/100)</f>
        <v>110.9831318656065</v>
      </c>
      <c r="F14" s="627">
        <f t="shared" si="1"/>
        <v>128.71968961024976</v>
      </c>
      <c r="G14" s="620"/>
      <c r="H14" s="628"/>
      <c r="I14" s="621"/>
      <c r="J14" s="376"/>
      <c r="K14" s="614"/>
      <c r="L14" s="614"/>
    </row>
    <row r="15" spans="1:12" x14ac:dyDescent="0.25">
      <c r="A15" s="556">
        <v>1995</v>
      </c>
      <c r="B15" s="557" t="s">
        <v>20</v>
      </c>
      <c r="C15" s="558">
        <v>100</v>
      </c>
      <c r="D15" s="558">
        <f t="shared" si="0"/>
        <v>142.85714285714286</v>
      </c>
      <c r="E15" s="626">
        <f>E14*(1+IGPDI!D19/100)</f>
        <v>112.41347612262723</v>
      </c>
      <c r="F15" s="627">
        <f t="shared" si="1"/>
        <v>127.08186579098923</v>
      </c>
      <c r="G15" s="620"/>
      <c r="H15" s="628"/>
      <c r="I15" s="621"/>
      <c r="J15" s="376"/>
      <c r="K15" s="614"/>
      <c r="L15" s="614"/>
    </row>
    <row r="16" spans="1:12" x14ac:dyDescent="0.25">
      <c r="A16" s="556">
        <v>1995</v>
      </c>
      <c r="B16" s="557" t="s">
        <v>21</v>
      </c>
      <c r="C16" s="558">
        <v>100</v>
      </c>
      <c r="D16" s="558">
        <f t="shared" si="0"/>
        <v>142.85714285714286</v>
      </c>
      <c r="E16" s="626">
        <f>E15*(1+IGPDI!D20/100)</f>
        <v>111.19823505078827</v>
      </c>
      <c r="F16" s="627">
        <f t="shared" si="1"/>
        <v>128.47069271548673</v>
      </c>
      <c r="G16" s="620"/>
      <c r="H16" s="628"/>
      <c r="I16" s="621"/>
      <c r="J16" s="376"/>
      <c r="K16" s="614"/>
      <c r="L16" s="614"/>
    </row>
    <row r="17" spans="1:12" x14ac:dyDescent="0.25">
      <c r="A17" s="556">
        <v>1995</v>
      </c>
      <c r="B17" s="557" t="s">
        <v>22</v>
      </c>
      <c r="C17" s="558">
        <v>100</v>
      </c>
      <c r="D17" s="558">
        <f t="shared" si="0"/>
        <v>142.85714285714286</v>
      </c>
      <c r="E17" s="626">
        <f>E16*(1+IGPDI!D21/100)</f>
        <v>111.45010801121481</v>
      </c>
      <c r="F17" s="627">
        <f t="shared" si="1"/>
        <v>128.18035388782906</v>
      </c>
      <c r="G17" s="620"/>
      <c r="H17" s="628"/>
      <c r="I17" s="621"/>
      <c r="J17" s="376"/>
      <c r="K17" s="614"/>
      <c r="L17" s="614"/>
    </row>
    <row r="18" spans="1:12" x14ac:dyDescent="0.25">
      <c r="A18" s="556">
        <v>1995</v>
      </c>
      <c r="B18" s="557" t="s">
        <v>23</v>
      </c>
      <c r="C18" s="558">
        <v>100</v>
      </c>
      <c r="D18" s="558">
        <f t="shared" si="0"/>
        <v>142.85714285714286</v>
      </c>
      <c r="E18" s="626">
        <f>E17*(1+IGPDI!D22/100)</f>
        <v>112.92917222043481</v>
      </c>
      <c r="F18" s="627">
        <f t="shared" si="1"/>
        <v>126.50154078725507</v>
      </c>
      <c r="G18" s="620"/>
      <c r="H18" s="628"/>
      <c r="I18" s="621"/>
      <c r="J18" s="376"/>
      <c r="K18" s="614"/>
      <c r="L18" s="614"/>
    </row>
    <row r="19" spans="1:12" x14ac:dyDescent="0.25">
      <c r="A19" s="556">
        <v>1995</v>
      </c>
      <c r="B19" s="557" t="s">
        <v>12</v>
      </c>
      <c r="C19" s="558">
        <v>100</v>
      </c>
      <c r="D19" s="558">
        <f t="shared" si="0"/>
        <v>142.85714285714286</v>
      </c>
      <c r="E19" s="626">
        <f>E18*(1+IGPDI!D23/100)</f>
        <v>113.23895757687181</v>
      </c>
      <c r="F19" s="627">
        <f t="shared" si="1"/>
        <v>126.1554732700227</v>
      </c>
      <c r="G19" s="620"/>
      <c r="H19" s="628"/>
      <c r="I19" s="621"/>
      <c r="J19" s="376"/>
      <c r="K19" s="614"/>
      <c r="L19" s="614"/>
    </row>
    <row r="20" spans="1:12" x14ac:dyDescent="0.25">
      <c r="A20" s="556">
        <v>1996</v>
      </c>
      <c r="B20" s="557" t="s">
        <v>13</v>
      </c>
      <c r="C20" s="558">
        <v>100</v>
      </c>
      <c r="D20" s="558">
        <f t="shared" si="0"/>
        <v>142.85714285714286</v>
      </c>
      <c r="E20" s="626">
        <f>E19*(1+IGPDI!D24/100)</f>
        <v>115.27048765914419</v>
      </c>
      <c r="F20" s="627">
        <f t="shared" si="1"/>
        <v>123.93210591732087</v>
      </c>
      <c r="G20" s="620"/>
      <c r="H20" s="628"/>
      <c r="I20" s="621"/>
      <c r="J20" s="376"/>
      <c r="K20" s="614"/>
      <c r="L20" s="614"/>
    </row>
    <row r="21" spans="1:12" x14ac:dyDescent="0.25">
      <c r="A21" s="556">
        <v>1996</v>
      </c>
      <c r="B21" s="557" t="s">
        <v>14</v>
      </c>
      <c r="C21" s="558">
        <v>100</v>
      </c>
      <c r="D21" s="558">
        <f t="shared" si="0"/>
        <v>142.85714285714286</v>
      </c>
      <c r="E21" s="626">
        <f>E20*(1+IGPDI!D25/100)</f>
        <v>116.14928528749368</v>
      </c>
      <c r="F21" s="627">
        <f t="shared" si="1"/>
        <v>122.99442265489768</v>
      </c>
      <c r="G21" s="620"/>
      <c r="H21" s="628"/>
      <c r="I21" s="621"/>
      <c r="J21" s="376"/>
      <c r="K21" s="614"/>
      <c r="L21" s="614"/>
    </row>
    <row r="22" spans="1:12" x14ac:dyDescent="0.25">
      <c r="A22" s="556">
        <v>1996</v>
      </c>
      <c r="B22" s="557" t="s">
        <v>15</v>
      </c>
      <c r="C22" s="558">
        <v>100</v>
      </c>
      <c r="D22" s="558">
        <f t="shared" si="0"/>
        <v>142.85714285714286</v>
      </c>
      <c r="E22" s="626">
        <f>E21*(1+IGPDI!D26/100)</f>
        <v>116.40115824792022</v>
      </c>
      <c r="F22" s="627">
        <f t="shared" si="1"/>
        <v>122.72828295477493</v>
      </c>
      <c r="G22" s="620"/>
      <c r="H22" s="628"/>
      <c r="I22" s="621"/>
      <c r="J22" s="376"/>
      <c r="K22" s="614"/>
      <c r="L22" s="614"/>
    </row>
    <row r="23" spans="1:12" x14ac:dyDescent="0.25">
      <c r="A23" s="556">
        <v>1996</v>
      </c>
      <c r="B23" s="557" t="s">
        <v>16</v>
      </c>
      <c r="C23" s="558">
        <v>100</v>
      </c>
      <c r="D23" s="558">
        <f t="shared" si="0"/>
        <v>142.85714285714286</v>
      </c>
      <c r="E23" s="626">
        <f>E22*(1+IGPDI!D27/100)</f>
        <v>117.21193179206693</v>
      </c>
      <c r="F23" s="627">
        <f t="shared" si="1"/>
        <v>121.87935193370103</v>
      </c>
      <c r="G23" s="620"/>
      <c r="H23" s="628"/>
      <c r="I23" s="621"/>
      <c r="J23" s="376"/>
      <c r="K23" s="614"/>
      <c r="L23" s="614"/>
    </row>
    <row r="24" spans="1:12" x14ac:dyDescent="0.25">
      <c r="A24" s="556">
        <v>1996</v>
      </c>
      <c r="B24" s="557" t="s">
        <v>17</v>
      </c>
      <c r="C24" s="558">
        <v>112</v>
      </c>
      <c r="D24" s="558">
        <f t="shared" si="0"/>
        <v>160</v>
      </c>
      <c r="E24" s="626">
        <f>E23*(1+IGPDI!D28/100)</f>
        <v>119.1846302339477</v>
      </c>
      <c r="F24" s="627">
        <f t="shared" si="1"/>
        <v>134.2454976668852</v>
      </c>
      <c r="G24" s="620"/>
      <c r="H24" s="628"/>
      <c r="I24" s="621"/>
      <c r="J24" s="376"/>
      <c r="K24" s="614"/>
      <c r="L24" s="614"/>
    </row>
    <row r="25" spans="1:12" x14ac:dyDescent="0.25">
      <c r="A25" s="556">
        <v>1996</v>
      </c>
      <c r="B25" s="557" t="s">
        <v>18</v>
      </c>
      <c r="C25" s="558">
        <v>112</v>
      </c>
      <c r="D25" s="558">
        <f t="shared" si="0"/>
        <v>160</v>
      </c>
      <c r="E25" s="626">
        <f>E24*(1+IGPDI!D29/100)</f>
        <v>120.64163257802088</v>
      </c>
      <c r="F25" s="627">
        <f t="shared" si="1"/>
        <v>132.62419993904297</v>
      </c>
      <c r="G25" s="620"/>
      <c r="H25" s="628"/>
      <c r="I25" s="621"/>
      <c r="J25" s="376"/>
      <c r="K25" s="614"/>
      <c r="L25" s="614"/>
    </row>
    <row r="26" spans="1:12" x14ac:dyDescent="0.25">
      <c r="A26" s="556">
        <v>1996</v>
      </c>
      <c r="B26" s="557" t="s">
        <v>19</v>
      </c>
      <c r="C26" s="558">
        <v>112</v>
      </c>
      <c r="D26" s="558">
        <f t="shared" si="0"/>
        <v>160</v>
      </c>
      <c r="E26" s="626">
        <f>E25*(1+IGPDI!D30/100)</f>
        <v>121.95982902054513</v>
      </c>
      <c r="F26" s="627">
        <f t="shared" si="1"/>
        <v>131.19073820040097</v>
      </c>
      <c r="G26" s="620"/>
      <c r="H26" s="628"/>
      <c r="I26" s="621"/>
      <c r="J26" s="376"/>
      <c r="K26" s="614"/>
      <c r="L26" s="614"/>
    </row>
    <row r="27" spans="1:12" x14ac:dyDescent="0.25">
      <c r="A27" s="556">
        <v>1996</v>
      </c>
      <c r="B27" s="557" t="s">
        <v>20</v>
      </c>
      <c r="C27" s="558">
        <v>112</v>
      </c>
      <c r="D27" s="558">
        <f t="shared" si="0"/>
        <v>160</v>
      </c>
      <c r="E27" s="626">
        <f>E26*(1+IGPDI!D31/100)</f>
        <v>121.96442524245072</v>
      </c>
      <c r="F27" s="627">
        <f t="shared" si="1"/>
        <v>131.18579428545587</v>
      </c>
      <c r="G27" s="620"/>
      <c r="H27" s="628"/>
      <c r="I27" s="621"/>
      <c r="J27" s="376"/>
      <c r="K27" s="614"/>
      <c r="L27" s="614"/>
    </row>
    <row r="28" spans="1:12" x14ac:dyDescent="0.25">
      <c r="A28" s="556">
        <v>1996</v>
      </c>
      <c r="B28" s="557" t="s">
        <v>21</v>
      </c>
      <c r="C28" s="558">
        <v>112</v>
      </c>
      <c r="D28" s="558">
        <f t="shared" si="0"/>
        <v>160</v>
      </c>
      <c r="E28" s="626">
        <f>E27*(1+IGPDI!D32/100)</f>
        <v>122.12069678724087</v>
      </c>
      <c r="F28" s="627">
        <f t="shared" si="1"/>
        <v>131.01792260385852</v>
      </c>
      <c r="G28" s="620"/>
      <c r="H28" s="628"/>
      <c r="I28" s="621"/>
      <c r="J28" s="376"/>
      <c r="K28" s="614"/>
      <c r="L28" s="614"/>
    </row>
    <row r="29" spans="1:12" x14ac:dyDescent="0.25">
      <c r="A29" s="556">
        <v>1996</v>
      </c>
      <c r="B29" s="557" t="s">
        <v>22</v>
      </c>
      <c r="C29" s="558">
        <v>112</v>
      </c>
      <c r="D29" s="558">
        <f t="shared" si="0"/>
        <v>160</v>
      </c>
      <c r="E29" s="626">
        <f>E28*(1+IGPDI!D33/100)</f>
        <v>122.38911614652754</v>
      </c>
      <c r="F29" s="627">
        <f t="shared" si="1"/>
        <v>130.73057886000558</v>
      </c>
      <c r="G29" s="620"/>
      <c r="H29" s="628"/>
      <c r="I29" s="621"/>
      <c r="J29" s="376"/>
      <c r="K29" s="614"/>
      <c r="L29" s="614"/>
    </row>
    <row r="30" spans="1:12" x14ac:dyDescent="0.25">
      <c r="A30" s="556">
        <v>1996</v>
      </c>
      <c r="B30" s="557" t="s">
        <v>23</v>
      </c>
      <c r="C30" s="558">
        <v>112</v>
      </c>
      <c r="D30" s="558">
        <f t="shared" si="0"/>
        <v>160</v>
      </c>
      <c r="E30" s="626">
        <f>E29*(1+IGPDI!D34/100)</f>
        <v>122.73475203382819</v>
      </c>
      <c r="F30" s="627">
        <f t="shared" si="1"/>
        <v>130.36242575851765</v>
      </c>
      <c r="G30" s="620"/>
      <c r="H30" s="628"/>
      <c r="I30" s="621"/>
      <c r="J30" s="376"/>
      <c r="K30" s="614"/>
      <c r="L30" s="614"/>
    </row>
    <row r="31" spans="1:12" x14ac:dyDescent="0.25">
      <c r="A31" s="556">
        <v>1996</v>
      </c>
      <c r="B31" s="557" t="s">
        <v>12</v>
      </c>
      <c r="C31" s="558">
        <v>112</v>
      </c>
      <c r="D31" s="558">
        <f t="shared" si="0"/>
        <v>160</v>
      </c>
      <c r="E31" s="626">
        <f>E30*(1+IGPDI!D35/100)</f>
        <v>123.81210644849934</v>
      </c>
      <c r="F31" s="627">
        <f t="shared" si="1"/>
        <v>129.22807356205777</v>
      </c>
      <c r="G31" s="620"/>
      <c r="H31" s="628"/>
      <c r="I31" s="621"/>
      <c r="J31" s="376"/>
      <c r="K31" s="614"/>
      <c r="L31" s="614"/>
    </row>
    <row r="32" spans="1:12" x14ac:dyDescent="0.25">
      <c r="A32" s="556">
        <v>1997</v>
      </c>
      <c r="B32" s="557" t="s">
        <v>13</v>
      </c>
      <c r="C32" s="558">
        <v>112</v>
      </c>
      <c r="D32" s="558">
        <f t="shared" si="0"/>
        <v>160</v>
      </c>
      <c r="E32" s="626">
        <f>E31*(1+IGPDI!D36/100)</f>
        <v>125.76550075837662</v>
      </c>
      <c r="F32" s="627">
        <f t="shared" si="1"/>
        <v>127.22089844606546</v>
      </c>
      <c r="G32" s="620"/>
      <c r="H32" s="628"/>
      <c r="I32" s="621"/>
      <c r="J32" s="376"/>
      <c r="K32" s="614"/>
      <c r="L32" s="614"/>
    </row>
    <row r="33" spans="1:12" x14ac:dyDescent="0.25">
      <c r="A33" s="556">
        <v>1997</v>
      </c>
      <c r="B33" s="557" t="s">
        <v>14</v>
      </c>
      <c r="C33" s="558">
        <v>112</v>
      </c>
      <c r="D33" s="558">
        <f t="shared" si="0"/>
        <v>160</v>
      </c>
      <c r="E33" s="626">
        <f>E32*(1+IGPDI!D37/100)</f>
        <v>126.29498552190098</v>
      </c>
      <c r="F33" s="627">
        <f t="shared" si="1"/>
        <v>126.68753184365676</v>
      </c>
      <c r="G33" s="620"/>
      <c r="H33" s="628"/>
      <c r="I33" s="621"/>
      <c r="J33" s="376"/>
      <c r="K33" s="614"/>
      <c r="L33" s="614"/>
    </row>
    <row r="34" spans="1:12" x14ac:dyDescent="0.25">
      <c r="A34" s="556">
        <v>1997</v>
      </c>
      <c r="B34" s="557" t="s">
        <v>15</v>
      </c>
      <c r="C34" s="558">
        <v>112</v>
      </c>
      <c r="D34" s="558">
        <f t="shared" si="0"/>
        <v>160</v>
      </c>
      <c r="E34" s="626">
        <f>E33*(1+IGPDI!D38/100)</f>
        <v>127.76577653169096</v>
      </c>
      <c r="F34" s="627">
        <f t="shared" si="1"/>
        <v>125.2291531764875</v>
      </c>
      <c r="G34" s="620"/>
      <c r="H34" s="628"/>
      <c r="I34" s="621"/>
      <c r="J34" s="376"/>
      <c r="K34" s="614"/>
      <c r="L34" s="614"/>
    </row>
    <row r="35" spans="1:12" x14ac:dyDescent="0.25">
      <c r="A35" s="556">
        <v>1997</v>
      </c>
      <c r="B35" s="557" t="s">
        <v>16</v>
      </c>
      <c r="C35" s="558">
        <v>112</v>
      </c>
      <c r="D35" s="558">
        <f t="shared" si="0"/>
        <v>160</v>
      </c>
      <c r="E35" s="626">
        <f>E34*(1+IGPDI!D39/100)</f>
        <v>128.51679919106493</v>
      </c>
      <c r="F35" s="627">
        <f t="shared" si="1"/>
        <v>124.49734276538372</v>
      </c>
      <c r="G35" s="620"/>
      <c r="H35" s="628"/>
      <c r="I35" s="621"/>
      <c r="J35" s="376"/>
      <c r="K35" s="614"/>
      <c r="L35" s="614"/>
    </row>
    <row r="36" spans="1:12" x14ac:dyDescent="0.25">
      <c r="A36" s="556">
        <v>1997</v>
      </c>
      <c r="B36" s="557" t="s">
        <v>17</v>
      </c>
      <c r="C36" s="558">
        <v>120</v>
      </c>
      <c r="D36" s="558">
        <f t="shared" si="0"/>
        <v>171.42857142857142</v>
      </c>
      <c r="E36" s="626">
        <f>E35*(1+IGPDI!D40/100)</f>
        <v>128.90472031989708</v>
      </c>
      <c r="F36" s="627">
        <f t="shared" si="1"/>
        <v>132.98859111066281</v>
      </c>
      <c r="G36" s="620"/>
      <c r="H36" s="628"/>
      <c r="I36" s="621"/>
      <c r="J36" s="376"/>
      <c r="K36" s="614"/>
      <c r="L36" s="614"/>
    </row>
    <row r="37" spans="1:12" x14ac:dyDescent="0.25">
      <c r="A37" s="556">
        <v>1997</v>
      </c>
      <c r="B37" s="557" t="s">
        <v>18</v>
      </c>
      <c r="C37" s="558">
        <v>120</v>
      </c>
      <c r="D37" s="558">
        <f t="shared" si="0"/>
        <v>171.42857142857142</v>
      </c>
      <c r="E37" s="626">
        <f>E36*(1+IGPDI!D41/100)</f>
        <v>129.80374132463118</v>
      </c>
      <c r="F37" s="627">
        <f t="shared" si="1"/>
        <v>132.06751182913834</v>
      </c>
      <c r="G37" s="620"/>
      <c r="H37" s="628"/>
      <c r="I37" s="621"/>
      <c r="J37" s="376"/>
      <c r="K37" s="614"/>
      <c r="L37" s="614"/>
    </row>
    <row r="38" spans="1:12" x14ac:dyDescent="0.25">
      <c r="A38" s="556">
        <v>1997</v>
      </c>
      <c r="B38" s="557" t="s">
        <v>19</v>
      </c>
      <c r="C38" s="558">
        <v>120</v>
      </c>
      <c r="D38" s="558">
        <f t="shared" si="0"/>
        <v>171.42857142857142</v>
      </c>
      <c r="E38" s="626">
        <f>E37*(1+IGPDI!D42/100)</f>
        <v>129.91680838350879</v>
      </c>
      <c r="F38" s="627">
        <f t="shared" si="1"/>
        <v>131.95257300542798</v>
      </c>
      <c r="G38" s="620"/>
      <c r="H38" s="628"/>
      <c r="I38" s="621"/>
      <c r="J38" s="376"/>
      <c r="K38" s="614"/>
      <c r="L38" s="614"/>
    </row>
    <row r="39" spans="1:12" x14ac:dyDescent="0.25">
      <c r="A39" s="556">
        <v>1997</v>
      </c>
      <c r="B39" s="557" t="s">
        <v>20</v>
      </c>
      <c r="C39" s="558">
        <v>120</v>
      </c>
      <c r="D39" s="558">
        <f t="shared" si="0"/>
        <v>171.42857142857142</v>
      </c>
      <c r="E39" s="626">
        <f>E38*(1+IGPDI!D43/100)</f>
        <v>129.85981523187942</v>
      </c>
      <c r="F39" s="627">
        <f t="shared" si="1"/>
        <v>132.01048463103561</v>
      </c>
      <c r="G39" s="620"/>
      <c r="H39" s="628"/>
      <c r="I39" s="621"/>
      <c r="J39" s="376"/>
      <c r="K39" s="614"/>
      <c r="L39" s="614"/>
    </row>
    <row r="40" spans="1:12" x14ac:dyDescent="0.25">
      <c r="A40" s="556">
        <v>1997</v>
      </c>
      <c r="B40" s="557" t="s">
        <v>21</v>
      </c>
      <c r="C40" s="558">
        <v>120</v>
      </c>
      <c r="D40" s="558">
        <f t="shared" si="0"/>
        <v>171.42857142857142</v>
      </c>
      <c r="E40" s="626">
        <f>E39*(1+IGPDI!D44/100)</f>
        <v>130.62554580135131</v>
      </c>
      <c r="F40" s="627">
        <f t="shared" si="1"/>
        <v>131.23663551176372</v>
      </c>
      <c r="G40" s="620"/>
      <c r="H40" s="628"/>
      <c r="I40" s="621"/>
      <c r="J40" s="376"/>
      <c r="K40" s="614"/>
      <c r="L40" s="614"/>
    </row>
    <row r="41" spans="1:12" x14ac:dyDescent="0.25">
      <c r="A41" s="556">
        <v>1997</v>
      </c>
      <c r="B41" s="557" t="s">
        <v>22</v>
      </c>
      <c r="C41" s="558">
        <v>120</v>
      </c>
      <c r="D41" s="558">
        <f t="shared" si="0"/>
        <v>171.42857142857142</v>
      </c>
      <c r="E41" s="626">
        <f>E40*(1+IGPDI!D45/100)</f>
        <v>131.07229857057499</v>
      </c>
      <c r="F41" s="627">
        <f t="shared" si="1"/>
        <v>130.7893226090537</v>
      </c>
      <c r="G41" s="620"/>
      <c r="H41" s="628"/>
      <c r="I41" s="621"/>
      <c r="J41" s="376"/>
      <c r="K41" s="614"/>
      <c r="L41" s="614"/>
    </row>
    <row r="42" spans="1:12" x14ac:dyDescent="0.25">
      <c r="A42" s="556">
        <v>1997</v>
      </c>
      <c r="B42" s="557" t="s">
        <v>23</v>
      </c>
      <c r="C42" s="558">
        <v>120</v>
      </c>
      <c r="D42" s="558">
        <f t="shared" si="0"/>
        <v>171.42857142857142</v>
      </c>
      <c r="E42" s="626">
        <f>E41*(1+IGPDI!D46/100)</f>
        <v>132.16068391781954</v>
      </c>
      <c r="F42" s="627">
        <f t="shared" si="1"/>
        <v>129.71223085919374</v>
      </c>
      <c r="G42" s="620"/>
      <c r="H42" s="628"/>
      <c r="I42" s="629"/>
      <c r="J42" s="376"/>
      <c r="K42" s="614"/>
      <c r="L42" s="614"/>
    </row>
    <row r="43" spans="1:12" x14ac:dyDescent="0.25">
      <c r="A43" s="556">
        <v>1997</v>
      </c>
      <c r="B43" s="557" t="s">
        <v>12</v>
      </c>
      <c r="C43" s="558">
        <v>120</v>
      </c>
      <c r="D43" s="558">
        <f t="shared" si="0"/>
        <v>171.42857142857142</v>
      </c>
      <c r="E43" s="626">
        <f>E42*(1+IGPDI!D47/100)</f>
        <v>133.07441283265155</v>
      </c>
      <c r="F43" s="627">
        <f t="shared" si="1"/>
        <v>128.8215876963157</v>
      </c>
      <c r="G43" s="620"/>
      <c r="H43" s="628"/>
      <c r="I43" s="629"/>
      <c r="J43" s="376"/>
      <c r="K43" s="614"/>
      <c r="L43" s="614"/>
    </row>
    <row r="44" spans="1:12" x14ac:dyDescent="0.25">
      <c r="A44" s="556">
        <v>1998</v>
      </c>
      <c r="B44" s="557" t="s">
        <v>13</v>
      </c>
      <c r="C44" s="558">
        <v>120</v>
      </c>
      <c r="D44" s="558">
        <f t="shared" si="0"/>
        <v>171.42857142857142</v>
      </c>
      <c r="E44" s="626">
        <f>E43*(1+IGPDI!D48/100)</f>
        <v>134.24461092981571</v>
      </c>
      <c r="F44" s="627">
        <f t="shared" si="1"/>
        <v>127.69866160079664</v>
      </c>
      <c r="G44" s="620"/>
      <c r="H44" s="628"/>
      <c r="I44" s="629"/>
      <c r="J44" s="376"/>
      <c r="K44" s="614"/>
      <c r="L44" s="614"/>
    </row>
    <row r="45" spans="1:12" x14ac:dyDescent="0.25">
      <c r="A45" s="556">
        <v>1998</v>
      </c>
      <c r="B45" s="557" t="s">
        <v>14</v>
      </c>
      <c r="C45" s="558">
        <v>120</v>
      </c>
      <c r="D45" s="558">
        <f t="shared" si="0"/>
        <v>171.42857142857142</v>
      </c>
      <c r="E45" s="626">
        <f>E44*(1+IGPDI!D49/100)</f>
        <v>134.27126901686813</v>
      </c>
      <c r="F45" s="627">
        <f t="shared" si="1"/>
        <v>127.67330843282289</v>
      </c>
      <c r="G45" s="620"/>
      <c r="H45" s="628"/>
      <c r="I45" s="629"/>
      <c r="J45" s="376"/>
      <c r="K45" s="614"/>
      <c r="L45" s="614"/>
    </row>
    <row r="46" spans="1:12" x14ac:dyDescent="0.25">
      <c r="A46" s="556">
        <v>1998</v>
      </c>
      <c r="B46" s="557" t="s">
        <v>15</v>
      </c>
      <c r="C46" s="558">
        <v>120</v>
      </c>
      <c r="D46" s="558">
        <f t="shared" si="0"/>
        <v>171.42857142857142</v>
      </c>
      <c r="E46" s="626">
        <f>E45*(1+IGPDI!D50/100)</f>
        <v>134.5847313508296</v>
      </c>
      <c r="F46" s="627">
        <f t="shared" si="1"/>
        <v>127.37594354719103</v>
      </c>
      <c r="G46" s="620"/>
      <c r="H46" s="628"/>
      <c r="I46" s="630"/>
      <c r="J46" s="376"/>
      <c r="K46" s="614"/>
      <c r="L46" s="614"/>
    </row>
    <row r="47" spans="1:12" x14ac:dyDescent="0.25">
      <c r="A47" s="556">
        <v>1998</v>
      </c>
      <c r="B47" s="557" t="s">
        <v>16</v>
      </c>
      <c r="C47" s="558">
        <v>120</v>
      </c>
      <c r="D47" s="558">
        <f t="shared" si="0"/>
        <v>171.42857142857142</v>
      </c>
      <c r="E47" s="626">
        <f>E46*(1+IGPDI!D51/100)</f>
        <v>134.40364020774922</v>
      </c>
      <c r="F47" s="627">
        <f t="shared" si="1"/>
        <v>127.54756579776586</v>
      </c>
      <c r="G47" s="620"/>
      <c r="H47" s="628"/>
      <c r="I47" s="630"/>
      <c r="J47" s="376"/>
      <c r="K47" s="614"/>
      <c r="L47" s="614"/>
    </row>
    <row r="48" spans="1:12" x14ac:dyDescent="0.25">
      <c r="A48" s="556">
        <v>1998</v>
      </c>
      <c r="B48" s="557" t="s">
        <v>17</v>
      </c>
      <c r="C48" s="558">
        <v>130</v>
      </c>
      <c r="D48" s="558">
        <f t="shared" si="0"/>
        <v>185.71428571428572</v>
      </c>
      <c r="E48" s="626">
        <f>E47*(1+IGPDI!D52/100)</f>
        <v>134.70974858666176</v>
      </c>
      <c r="F48" s="627">
        <f t="shared" si="1"/>
        <v>137.8625434779218</v>
      </c>
      <c r="G48" s="620"/>
      <c r="H48" s="628"/>
      <c r="I48" s="630"/>
      <c r="J48" s="376"/>
      <c r="K48" s="614"/>
      <c r="L48" s="614"/>
    </row>
    <row r="49" spans="1:12" x14ac:dyDescent="0.25">
      <c r="A49" s="556">
        <v>1998</v>
      </c>
      <c r="B49" s="557" t="s">
        <v>18</v>
      </c>
      <c r="C49" s="558">
        <v>130</v>
      </c>
      <c r="D49" s="558">
        <f t="shared" si="0"/>
        <v>185.71428571428572</v>
      </c>
      <c r="E49" s="626">
        <f>E48*(1+IGPDI!D53/100)</f>
        <v>135.08388104977706</v>
      </c>
      <c r="F49" s="627">
        <f t="shared" si="1"/>
        <v>137.4807151460594</v>
      </c>
      <c r="G49" s="620"/>
      <c r="H49" s="628"/>
      <c r="I49" s="630"/>
      <c r="J49" s="376"/>
      <c r="K49" s="614"/>
      <c r="L49" s="614"/>
    </row>
    <row r="50" spans="1:12" x14ac:dyDescent="0.25">
      <c r="A50" s="556">
        <v>1998</v>
      </c>
      <c r="B50" s="557" t="s">
        <v>19</v>
      </c>
      <c r="C50" s="558">
        <v>130</v>
      </c>
      <c r="D50" s="558">
        <f t="shared" si="0"/>
        <v>185.71428571428572</v>
      </c>
      <c r="E50" s="626">
        <f>E49*(1+IGPDI!D54/100)</f>
        <v>134.5755389070184</v>
      </c>
      <c r="F50" s="627">
        <f t="shared" si="1"/>
        <v>138.00003122603161</v>
      </c>
      <c r="G50" s="620"/>
      <c r="H50" s="628"/>
      <c r="I50" s="630"/>
      <c r="J50" s="376"/>
      <c r="K50" s="614"/>
      <c r="L50" s="614"/>
    </row>
    <row r="51" spans="1:12" x14ac:dyDescent="0.25">
      <c r="A51" s="556">
        <v>1998</v>
      </c>
      <c r="B51" s="557" t="s">
        <v>20</v>
      </c>
      <c r="C51" s="558">
        <v>130</v>
      </c>
      <c r="D51" s="558">
        <f t="shared" si="0"/>
        <v>185.71428571428572</v>
      </c>
      <c r="E51" s="626">
        <f>E50*(1+IGPDI!D55/100)</f>
        <v>134.34205083421426</v>
      </c>
      <c r="F51" s="627">
        <f t="shared" si="1"/>
        <v>138.23987691200853</v>
      </c>
      <c r="G51" s="620"/>
      <c r="H51" s="628"/>
      <c r="I51" s="630"/>
      <c r="J51" s="376"/>
      <c r="K51" s="614"/>
      <c r="L51" s="614"/>
    </row>
    <row r="52" spans="1:12" x14ac:dyDescent="0.25">
      <c r="A52" s="556">
        <v>1998</v>
      </c>
      <c r="B52" s="557" t="s">
        <v>21</v>
      </c>
      <c r="C52" s="558">
        <v>130</v>
      </c>
      <c r="D52" s="558">
        <f t="shared" si="0"/>
        <v>185.71428571428572</v>
      </c>
      <c r="E52" s="626">
        <f>E51*(1+IGPDI!D56/100)</f>
        <v>134.31171576963732</v>
      </c>
      <c r="F52" s="627">
        <f t="shared" si="1"/>
        <v>138.27109917411133</v>
      </c>
      <c r="G52" s="620"/>
      <c r="H52" s="628"/>
      <c r="I52" s="630"/>
      <c r="J52" s="376"/>
      <c r="K52" s="614"/>
      <c r="L52" s="614"/>
    </row>
    <row r="53" spans="1:12" x14ac:dyDescent="0.25">
      <c r="A53" s="556">
        <v>1998</v>
      </c>
      <c r="B53" s="557" t="s">
        <v>22</v>
      </c>
      <c r="C53" s="558">
        <v>130</v>
      </c>
      <c r="D53" s="558">
        <f t="shared" si="0"/>
        <v>185.71428571428572</v>
      </c>
      <c r="E53" s="626">
        <f>E52*(1+IGPDI!D57/100)</f>
        <v>134.26759203934361</v>
      </c>
      <c r="F53" s="627">
        <f t="shared" si="1"/>
        <v>138.31653855821514</v>
      </c>
      <c r="G53" s="620"/>
      <c r="H53" s="628"/>
      <c r="I53" s="630"/>
      <c r="J53" s="376"/>
      <c r="K53" s="614"/>
      <c r="L53" s="614"/>
    </row>
    <row r="54" spans="1:12" x14ac:dyDescent="0.25">
      <c r="A54" s="556">
        <v>1998</v>
      </c>
      <c r="B54" s="557" t="s">
        <v>23</v>
      </c>
      <c r="C54" s="558">
        <v>130</v>
      </c>
      <c r="D54" s="558">
        <f t="shared" si="0"/>
        <v>185.71428571428572</v>
      </c>
      <c r="E54" s="626">
        <f>E53*(1+IGPDI!D58/100)</f>
        <v>134.02307303396606</v>
      </c>
      <c r="F54" s="627">
        <f t="shared" si="1"/>
        <v>138.56889079630292</v>
      </c>
      <c r="G54" s="620"/>
      <c r="H54" s="628"/>
      <c r="I54" s="630"/>
      <c r="J54" s="376"/>
      <c r="K54" s="614"/>
      <c r="L54" s="614"/>
    </row>
    <row r="55" spans="1:12" x14ac:dyDescent="0.25">
      <c r="A55" s="556">
        <v>1998</v>
      </c>
      <c r="B55" s="557" t="s">
        <v>12</v>
      </c>
      <c r="C55" s="558">
        <v>130</v>
      </c>
      <c r="D55" s="558">
        <f t="shared" si="0"/>
        <v>185.71428571428572</v>
      </c>
      <c r="E55" s="626">
        <f>E54*(1+IGPDI!D59/100)</f>
        <v>135.34126947649028</v>
      </c>
      <c r="F55" s="627">
        <f t="shared" si="1"/>
        <v>137.21925797847314</v>
      </c>
      <c r="G55" s="620"/>
      <c r="H55" s="628"/>
      <c r="I55" s="630"/>
      <c r="J55" s="376"/>
      <c r="K55" s="614"/>
      <c r="L55" s="614"/>
    </row>
    <row r="56" spans="1:12" x14ac:dyDescent="0.25">
      <c r="A56" s="556">
        <v>1999</v>
      </c>
      <c r="B56" s="557" t="s">
        <v>13</v>
      </c>
      <c r="C56" s="558">
        <v>130</v>
      </c>
      <c r="D56" s="558">
        <f t="shared" si="0"/>
        <v>185.71428571428572</v>
      </c>
      <c r="E56" s="626">
        <f>E55*(1+IGPDI!D60/100)</f>
        <v>136.89479248058092</v>
      </c>
      <c r="F56" s="627">
        <f t="shared" si="1"/>
        <v>135.66205284297433</v>
      </c>
      <c r="G56" s="620"/>
      <c r="H56" s="628"/>
      <c r="I56" s="630"/>
      <c r="J56" s="376"/>
      <c r="K56" s="614"/>
      <c r="L56" s="614"/>
    </row>
    <row r="57" spans="1:12" x14ac:dyDescent="0.25">
      <c r="A57" s="556">
        <v>1999</v>
      </c>
      <c r="B57" s="557" t="s">
        <v>14</v>
      </c>
      <c r="C57" s="558">
        <v>130</v>
      </c>
      <c r="D57" s="558">
        <f t="shared" si="0"/>
        <v>185.71428571428572</v>
      </c>
      <c r="E57" s="626">
        <f>E56*(1+IGPDI!D61/100)</f>
        <v>142.96824010663232</v>
      </c>
      <c r="F57" s="627">
        <f t="shared" si="1"/>
        <v>129.89898006422365</v>
      </c>
      <c r="G57" s="620"/>
      <c r="H57" s="628"/>
      <c r="I57" s="630"/>
      <c r="J57" s="376"/>
      <c r="K57" s="614"/>
      <c r="L57" s="614"/>
    </row>
    <row r="58" spans="1:12" x14ac:dyDescent="0.25">
      <c r="A58" s="556">
        <v>1999</v>
      </c>
      <c r="B58" s="557" t="s">
        <v>15</v>
      </c>
      <c r="C58" s="558">
        <v>130</v>
      </c>
      <c r="D58" s="558">
        <f t="shared" si="0"/>
        <v>185.71428571428572</v>
      </c>
      <c r="E58" s="626">
        <f>E57*(1+IGPDI!D62/100)</f>
        <v>145.79215884542901</v>
      </c>
      <c r="F58" s="627">
        <f t="shared" si="1"/>
        <v>127.38290398126468</v>
      </c>
      <c r="G58" s="620"/>
      <c r="H58" s="628"/>
      <c r="I58" s="630"/>
      <c r="J58" s="376"/>
      <c r="K58" s="614"/>
      <c r="L58" s="614"/>
    </row>
    <row r="59" spans="1:12" x14ac:dyDescent="0.25">
      <c r="A59" s="556">
        <v>1999</v>
      </c>
      <c r="B59" s="557" t="s">
        <v>16</v>
      </c>
      <c r="C59" s="558">
        <v>130</v>
      </c>
      <c r="D59" s="558">
        <f t="shared" si="0"/>
        <v>185.71428571428572</v>
      </c>
      <c r="E59" s="626">
        <f>E58*(1+IGPDI!D63/100)</f>
        <v>145.8353633313416</v>
      </c>
      <c r="F59" s="627">
        <f t="shared" si="1"/>
        <v>127.34516613253687</v>
      </c>
      <c r="G59" s="620"/>
      <c r="H59" s="628"/>
      <c r="I59" s="630"/>
      <c r="J59" s="376"/>
      <c r="K59" s="614"/>
      <c r="L59" s="614"/>
    </row>
    <row r="60" spans="1:12" x14ac:dyDescent="0.25">
      <c r="A60" s="556">
        <v>1999</v>
      </c>
      <c r="B60" s="557" t="s">
        <v>17</v>
      </c>
      <c r="C60" s="558">
        <v>136</v>
      </c>
      <c r="D60" s="558">
        <f t="shared" si="0"/>
        <v>194.28571428571428</v>
      </c>
      <c r="E60" s="626">
        <f>E59*(1+IGPDI!D64/100)</f>
        <v>145.33253665486967</v>
      </c>
      <c r="F60" s="627">
        <f t="shared" si="1"/>
        <v>133.68356374807991</v>
      </c>
      <c r="G60" s="620"/>
      <c r="H60" s="628"/>
      <c r="I60" s="630"/>
      <c r="J60" s="376"/>
      <c r="K60" s="614"/>
      <c r="L60" s="614"/>
    </row>
    <row r="61" spans="1:12" x14ac:dyDescent="0.25">
      <c r="A61" s="556">
        <v>1999</v>
      </c>
      <c r="B61" s="557" t="s">
        <v>18</v>
      </c>
      <c r="C61" s="558">
        <v>136</v>
      </c>
      <c r="D61" s="558">
        <f t="shared" si="0"/>
        <v>194.28571428571428</v>
      </c>
      <c r="E61" s="626">
        <f>E60*(1+IGPDI!D65/100)</f>
        <v>146.81343935285193</v>
      </c>
      <c r="F61" s="627">
        <f t="shared" si="1"/>
        <v>132.33510170602796</v>
      </c>
      <c r="G61" s="620"/>
      <c r="H61" s="628"/>
      <c r="I61" s="630"/>
      <c r="J61" s="376"/>
      <c r="K61" s="614"/>
      <c r="L61" s="614"/>
    </row>
    <row r="62" spans="1:12" x14ac:dyDescent="0.25">
      <c r="A62" s="556">
        <v>1999</v>
      </c>
      <c r="B62" s="557" t="s">
        <v>19</v>
      </c>
      <c r="C62" s="558">
        <v>136</v>
      </c>
      <c r="D62" s="558">
        <f t="shared" si="0"/>
        <v>194.28571428571428</v>
      </c>
      <c r="E62" s="626">
        <f>E61*(1+IGPDI!D66/100)</f>
        <v>149.1501585696557</v>
      </c>
      <c r="F62" s="627">
        <f t="shared" si="1"/>
        <v>130.26182214548535</v>
      </c>
      <c r="G62" s="620"/>
      <c r="H62" s="628"/>
      <c r="I62" s="630"/>
      <c r="J62" s="376"/>
      <c r="K62" s="614"/>
      <c r="L62" s="614"/>
    </row>
    <row r="63" spans="1:12" x14ac:dyDescent="0.25">
      <c r="A63" s="556">
        <v>1999</v>
      </c>
      <c r="B63" s="557" t="s">
        <v>20</v>
      </c>
      <c r="C63" s="558">
        <v>136</v>
      </c>
      <c r="D63" s="558">
        <f t="shared" si="0"/>
        <v>194.28571428571428</v>
      </c>
      <c r="E63" s="626">
        <f>E62*(1+IGPDI!D67/100)</f>
        <v>151.31865606471476</v>
      </c>
      <c r="F63" s="627">
        <f t="shared" si="1"/>
        <v>128.39508315658296</v>
      </c>
      <c r="G63" s="620"/>
      <c r="H63" s="628"/>
      <c r="I63" s="630"/>
      <c r="J63" s="376"/>
      <c r="K63" s="614"/>
      <c r="L63" s="614"/>
    </row>
    <row r="64" spans="1:12" x14ac:dyDescent="0.25">
      <c r="A64" s="556">
        <v>1999</v>
      </c>
      <c r="B64" s="557" t="s">
        <v>21</v>
      </c>
      <c r="C64" s="558">
        <v>136</v>
      </c>
      <c r="D64" s="558">
        <f t="shared" si="0"/>
        <v>194.28571428571428</v>
      </c>
      <c r="E64" s="626">
        <f>E63*(1+IGPDI!D68/100)</f>
        <v>153.53955048949757</v>
      </c>
      <c r="F64" s="627">
        <f t="shared" si="1"/>
        <v>126.537894416334</v>
      </c>
      <c r="G64" s="620"/>
      <c r="H64" s="628"/>
      <c r="I64" s="630"/>
      <c r="J64" s="376"/>
      <c r="K64" s="614"/>
      <c r="L64" s="614"/>
    </row>
    <row r="65" spans="1:12" x14ac:dyDescent="0.25">
      <c r="A65" s="556">
        <v>1999</v>
      </c>
      <c r="B65" s="557" t="s">
        <v>22</v>
      </c>
      <c r="C65" s="558">
        <v>136</v>
      </c>
      <c r="D65" s="558">
        <f t="shared" si="0"/>
        <v>194.28571428571428</v>
      </c>
      <c r="E65" s="626">
        <f>E64*(1+IGPDI!D69/100)</f>
        <v>156.43884726754601</v>
      </c>
      <c r="F65" s="627">
        <f t="shared" si="1"/>
        <v>124.19275498332043</v>
      </c>
      <c r="G65" s="620"/>
      <c r="H65" s="628"/>
      <c r="I65" s="630"/>
      <c r="J65" s="376"/>
      <c r="K65" s="614"/>
      <c r="L65" s="614"/>
    </row>
    <row r="66" spans="1:12" x14ac:dyDescent="0.25">
      <c r="A66" s="556">
        <v>1999</v>
      </c>
      <c r="B66" s="557" t="s">
        <v>23</v>
      </c>
      <c r="C66" s="558">
        <v>136</v>
      </c>
      <c r="D66" s="558">
        <f t="shared" si="0"/>
        <v>194.28571428571428</v>
      </c>
      <c r="E66" s="626">
        <f>E65*(1+IGPDI!D70/100)</f>
        <v>160.40446752769219</v>
      </c>
      <c r="F66" s="627">
        <f t="shared" si="1"/>
        <v>121.12238348484455</v>
      </c>
      <c r="G66" s="620"/>
      <c r="H66" s="628"/>
      <c r="I66" s="630"/>
      <c r="J66" s="376"/>
      <c r="K66" s="614"/>
      <c r="L66" s="614"/>
    </row>
    <row r="67" spans="1:12" x14ac:dyDescent="0.25">
      <c r="A67" s="556">
        <v>1999</v>
      </c>
      <c r="B67" s="557" t="s">
        <v>12</v>
      </c>
      <c r="C67" s="558">
        <v>136</v>
      </c>
      <c r="D67" s="558">
        <f t="shared" si="0"/>
        <v>194.28571428571428</v>
      </c>
      <c r="E67" s="626">
        <f>E66*(1+IGPDI!D71/100)</f>
        <v>162.38176219147851</v>
      </c>
      <c r="F67" s="627">
        <f t="shared" si="1"/>
        <v>119.64749714725662</v>
      </c>
      <c r="G67" s="620"/>
      <c r="H67" s="628"/>
      <c r="I67" s="630"/>
      <c r="J67" s="376"/>
      <c r="K67" s="614"/>
      <c r="L67" s="614"/>
    </row>
    <row r="68" spans="1:12" x14ac:dyDescent="0.25">
      <c r="A68" s="556">
        <v>2000</v>
      </c>
      <c r="B68" s="557" t="s">
        <v>13</v>
      </c>
      <c r="C68" s="558">
        <v>136</v>
      </c>
      <c r="D68" s="558">
        <f t="shared" si="0"/>
        <v>194.28571428571428</v>
      </c>
      <c r="E68" s="626">
        <f>E67*(1+IGPDI!D72/100)</f>
        <v>164.04283678816006</v>
      </c>
      <c r="F68" s="627">
        <f t="shared" si="1"/>
        <v>118.4359634895908</v>
      </c>
      <c r="G68" s="620"/>
      <c r="H68" s="628"/>
      <c r="I68" s="630"/>
      <c r="J68" s="376"/>
      <c r="K68" s="614"/>
      <c r="L68" s="614"/>
    </row>
    <row r="69" spans="1:12" x14ac:dyDescent="0.25">
      <c r="A69" s="556">
        <v>2000</v>
      </c>
      <c r="B69" s="557" t="s">
        <v>14</v>
      </c>
      <c r="C69" s="558">
        <v>136</v>
      </c>
      <c r="D69" s="558">
        <f t="shared" si="0"/>
        <v>194.28571428571428</v>
      </c>
      <c r="E69" s="626">
        <f>E68*(1+IGPDI!D73/100)</f>
        <v>164.36089534402714</v>
      </c>
      <c r="F69" s="627">
        <f t="shared" si="1"/>
        <v>118.20677532758074</v>
      </c>
      <c r="G69" s="620"/>
      <c r="H69" s="628"/>
      <c r="I69" s="630"/>
      <c r="J69" s="376"/>
      <c r="K69" s="614"/>
      <c r="L69" s="614"/>
    </row>
    <row r="70" spans="1:12" x14ac:dyDescent="0.25">
      <c r="A70" s="556">
        <v>2000</v>
      </c>
      <c r="B70" s="557" t="s">
        <v>15</v>
      </c>
      <c r="C70" s="558">
        <v>136</v>
      </c>
      <c r="D70" s="558">
        <f t="shared" si="0"/>
        <v>194.28571428571428</v>
      </c>
      <c r="E70" s="626">
        <f>E69*(1+IGPDI!D74/100)</f>
        <v>164.66240750103407</v>
      </c>
      <c r="F70" s="627">
        <f t="shared" si="1"/>
        <v>117.99032774647982</v>
      </c>
      <c r="G70" s="620"/>
      <c r="H70" s="628"/>
      <c r="I70" s="630"/>
      <c r="J70" s="376"/>
      <c r="K70" s="614"/>
      <c r="L70" s="614"/>
    </row>
    <row r="71" spans="1:12" x14ac:dyDescent="0.25">
      <c r="A71" s="556">
        <v>2000</v>
      </c>
      <c r="B71" s="557" t="s">
        <v>16</v>
      </c>
      <c r="C71" s="558">
        <v>151</v>
      </c>
      <c r="D71" s="558">
        <f t="shared" si="0"/>
        <v>215.71428571428572</v>
      </c>
      <c r="E71" s="626">
        <f>E70*(1+IGPDI!D75/100)</f>
        <v>164.87291446431027</v>
      </c>
      <c r="F71" s="627">
        <f t="shared" si="1"/>
        <v>130.83670317539088</v>
      </c>
      <c r="G71" s="620"/>
      <c r="H71" s="628"/>
      <c r="I71" s="630"/>
      <c r="J71" s="376"/>
      <c r="K71" s="614"/>
      <c r="L71" s="614"/>
    </row>
    <row r="72" spans="1:12" x14ac:dyDescent="0.25">
      <c r="A72" s="556">
        <v>2000</v>
      </c>
      <c r="B72" s="557" t="s">
        <v>17</v>
      </c>
      <c r="C72" s="558">
        <v>151</v>
      </c>
      <c r="D72" s="558">
        <f t="shared" si="0"/>
        <v>215.71428571428572</v>
      </c>
      <c r="E72" s="626">
        <f>E71*(1+IGPDI!D76/100)</f>
        <v>165.98152318793944</v>
      </c>
      <c r="F72" s="627">
        <f t="shared" si="1"/>
        <v>129.96283054351434</v>
      </c>
      <c r="G72" s="620"/>
      <c r="H72" s="628"/>
      <c r="I72" s="630"/>
      <c r="J72" s="376"/>
      <c r="K72" s="614"/>
      <c r="L72" s="614"/>
    </row>
    <row r="73" spans="1:12" x14ac:dyDescent="0.25">
      <c r="A73" s="556">
        <v>2000</v>
      </c>
      <c r="B73" s="557" t="s">
        <v>18</v>
      </c>
      <c r="C73" s="558">
        <v>151</v>
      </c>
      <c r="D73" s="558">
        <f t="shared" ref="D73:D136" si="2">100*C73/C$8</f>
        <v>215.71428571428572</v>
      </c>
      <c r="E73" s="626">
        <f>E72*(1+IGPDI!D77/100)</f>
        <v>167.51941903755107</v>
      </c>
      <c r="F73" s="627">
        <f t="shared" si="1"/>
        <v>128.76971932784181</v>
      </c>
      <c r="G73" s="620"/>
      <c r="H73" s="628"/>
      <c r="I73" s="630"/>
      <c r="J73" s="376"/>
      <c r="K73" s="614"/>
      <c r="L73" s="614"/>
    </row>
    <row r="74" spans="1:12" x14ac:dyDescent="0.25">
      <c r="A74" s="556">
        <v>2000</v>
      </c>
      <c r="B74" s="557" t="s">
        <v>19</v>
      </c>
      <c r="C74" s="558">
        <v>151</v>
      </c>
      <c r="D74" s="558">
        <f t="shared" si="2"/>
        <v>215.71428571428572</v>
      </c>
      <c r="E74" s="626">
        <f>E73*(1+IGPDI!D78/100)</f>
        <v>171.30394815461688</v>
      </c>
      <c r="F74" s="627">
        <f t="shared" ref="F74:F137" si="3">+D74*E$8/E74</f>
        <v>125.92487682746496</v>
      </c>
      <c r="G74" s="620"/>
      <c r="H74" s="628"/>
      <c r="I74" s="630"/>
      <c r="J74" s="376"/>
      <c r="K74" s="614"/>
      <c r="L74" s="614"/>
    </row>
    <row r="75" spans="1:12" x14ac:dyDescent="0.25">
      <c r="A75" s="556">
        <v>2000</v>
      </c>
      <c r="B75" s="557" t="s">
        <v>20</v>
      </c>
      <c r="C75" s="558">
        <v>151</v>
      </c>
      <c r="D75" s="558">
        <f t="shared" si="2"/>
        <v>215.71428571428572</v>
      </c>
      <c r="E75" s="626">
        <f>E74*(1+IGPDI!D79/100)</f>
        <v>174.42294433975269</v>
      </c>
      <c r="F75" s="627">
        <f t="shared" si="3"/>
        <v>123.67311338014281</v>
      </c>
      <c r="G75" s="620"/>
      <c r="H75" s="628"/>
      <c r="I75" s="630"/>
      <c r="J75" s="376"/>
      <c r="K75" s="614"/>
      <c r="L75" s="614"/>
    </row>
    <row r="76" spans="1:12" x14ac:dyDescent="0.25">
      <c r="A76" s="556">
        <v>2000</v>
      </c>
      <c r="B76" s="557" t="s">
        <v>21</v>
      </c>
      <c r="C76" s="558">
        <v>151</v>
      </c>
      <c r="D76" s="558">
        <f t="shared" si="2"/>
        <v>215.71428571428572</v>
      </c>
      <c r="E76" s="626">
        <f>E75*(1+IGPDI!D80/100)</f>
        <v>175.62071976835037</v>
      </c>
      <c r="F76" s="627">
        <f t="shared" si="3"/>
        <v>122.82963308590246</v>
      </c>
      <c r="G76" s="620"/>
      <c r="H76" s="628"/>
      <c r="I76" s="630"/>
      <c r="J76" s="376"/>
      <c r="K76" s="614"/>
      <c r="L76" s="614"/>
    </row>
    <row r="77" spans="1:12" x14ac:dyDescent="0.25">
      <c r="A77" s="556">
        <v>2000</v>
      </c>
      <c r="B77" s="557" t="s">
        <v>22</v>
      </c>
      <c r="C77" s="558">
        <v>151</v>
      </c>
      <c r="D77" s="558">
        <f t="shared" si="2"/>
        <v>215.71428571428572</v>
      </c>
      <c r="E77" s="626">
        <f>E76*(1+IGPDI!D81/100)</f>
        <v>176.27706025646913</v>
      </c>
      <c r="F77" s="627">
        <f t="shared" si="3"/>
        <v>122.3722958622288</v>
      </c>
      <c r="G77" s="620"/>
      <c r="H77" s="628"/>
      <c r="I77" s="630"/>
      <c r="J77" s="376"/>
      <c r="K77" s="614"/>
      <c r="L77" s="614"/>
    </row>
    <row r="78" spans="1:12" x14ac:dyDescent="0.25">
      <c r="A78" s="556">
        <v>2000</v>
      </c>
      <c r="B78" s="557" t="s">
        <v>23</v>
      </c>
      <c r="C78" s="558">
        <v>151</v>
      </c>
      <c r="D78" s="558">
        <f t="shared" si="2"/>
        <v>215.71428571428572</v>
      </c>
      <c r="E78" s="626">
        <f>E77*(1+IGPDI!D82/100)</f>
        <v>176.96005883164031</v>
      </c>
      <c r="F78" s="627">
        <f t="shared" si="3"/>
        <v>121.89998530658049</v>
      </c>
      <c r="G78" s="620"/>
      <c r="H78" s="628"/>
      <c r="I78" s="630"/>
      <c r="J78" s="376"/>
      <c r="K78" s="614"/>
      <c r="L78" s="614"/>
    </row>
    <row r="79" spans="1:12" x14ac:dyDescent="0.25">
      <c r="A79" s="556">
        <v>2000</v>
      </c>
      <c r="B79" s="557" t="s">
        <v>12</v>
      </c>
      <c r="C79" s="558">
        <v>151</v>
      </c>
      <c r="D79" s="558">
        <f t="shared" si="2"/>
        <v>215.71428571428572</v>
      </c>
      <c r="E79" s="626">
        <f>E78*(1+IGPDI!D83/100)</f>
        <v>178.30583260559811</v>
      </c>
      <c r="F79" s="627">
        <f t="shared" si="3"/>
        <v>120.97993798746499</v>
      </c>
      <c r="G79" s="620"/>
      <c r="H79" s="628"/>
      <c r="I79" s="630"/>
      <c r="J79" s="376"/>
      <c r="K79" s="614"/>
      <c r="L79" s="614"/>
    </row>
    <row r="80" spans="1:12" x14ac:dyDescent="0.25">
      <c r="A80" s="556">
        <v>2001</v>
      </c>
      <c r="B80" s="557" t="s">
        <v>13</v>
      </c>
      <c r="C80" s="558">
        <v>151</v>
      </c>
      <c r="D80" s="558">
        <f t="shared" si="2"/>
        <v>215.71428571428572</v>
      </c>
      <c r="E80" s="626">
        <f>E79*(1+IGPDI!D84/100)</f>
        <v>179.17911476766091</v>
      </c>
      <c r="F80" s="627">
        <f t="shared" si="3"/>
        <v>120.39030664595005</v>
      </c>
      <c r="G80" s="620"/>
      <c r="H80" s="628"/>
      <c r="I80" s="630"/>
      <c r="J80" s="376"/>
      <c r="K80" s="614"/>
      <c r="L80" s="614"/>
    </row>
    <row r="81" spans="1:12" x14ac:dyDescent="0.25">
      <c r="A81" s="556">
        <v>2001</v>
      </c>
      <c r="B81" s="557" t="s">
        <v>14</v>
      </c>
      <c r="C81" s="558">
        <v>151</v>
      </c>
      <c r="D81" s="558">
        <f t="shared" si="2"/>
        <v>215.71428571428572</v>
      </c>
      <c r="E81" s="626">
        <f>E80*(1+IGPDI!D85/100)</f>
        <v>179.78581605919928</v>
      </c>
      <c r="F81" s="627">
        <f t="shared" si="3"/>
        <v>119.98404014433265</v>
      </c>
      <c r="G81" s="620"/>
      <c r="H81" s="628"/>
      <c r="I81" s="630"/>
      <c r="J81" s="376"/>
      <c r="K81" s="614"/>
      <c r="L81" s="614"/>
    </row>
    <row r="82" spans="1:12" x14ac:dyDescent="0.25">
      <c r="A82" s="556">
        <v>2001</v>
      </c>
      <c r="B82" s="557" t="s">
        <v>15</v>
      </c>
      <c r="C82" s="558">
        <v>151</v>
      </c>
      <c r="D82" s="558">
        <f t="shared" si="2"/>
        <v>215.71428571428572</v>
      </c>
      <c r="E82" s="626">
        <f>E81*(1+IGPDI!D86/100)</f>
        <v>181.22994898193679</v>
      </c>
      <c r="F82" s="627">
        <f t="shared" si="3"/>
        <v>119.02794594716021</v>
      </c>
      <c r="G82" s="620"/>
      <c r="H82" s="628"/>
      <c r="I82" s="630"/>
      <c r="J82" s="376"/>
      <c r="K82" s="614"/>
      <c r="L82" s="614"/>
    </row>
    <row r="83" spans="1:12" x14ac:dyDescent="0.25">
      <c r="A83" s="556">
        <v>2001</v>
      </c>
      <c r="B83" s="557" t="s">
        <v>16</v>
      </c>
      <c r="C83" s="558">
        <v>180</v>
      </c>
      <c r="D83" s="558">
        <f t="shared" si="2"/>
        <v>257.14285714285717</v>
      </c>
      <c r="E83" s="626">
        <f>E82*(1+IGPDI!D87/100)</f>
        <v>183.27342924116368</v>
      </c>
      <c r="F83" s="627">
        <f t="shared" si="3"/>
        <v>140.30558505264344</v>
      </c>
      <c r="G83" s="620"/>
      <c r="H83" s="628"/>
      <c r="I83" s="630"/>
      <c r="J83" s="376"/>
      <c r="K83" s="614"/>
      <c r="L83" s="614"/>
    </row>
    <row r="84" spans="1:12" x14ac:dyDescent="0.25">
      <c r="A84" s="556">
        <v>2001</v>
      </c>
      <c r="B84" s="557" t="s">
        <v>17</v>
      </c>
      <c r="C84" s="558">
        <v>180</v>
      </c>
      <c r="D84" s="558">
        <f t="shared" si="2"/>
        <v>257.14285714285717</v>
      </c>
      <c r="E84" s="626">
        <f>E83*(1+IGPDI!D88/100)</f>
        <v>184.07960656340481</v>
      </c>
      <c r="F84" s="627">
        <f t="shared" si="3"/>
        <v>139.69111622057181</v>
      </c>
      <c r="G84" s="620"/>
      <c r="H84" s="628"/>
      <c r="I84" s="630"/>
      <c r="J84" s="376"/>
      <c r="K84" s="614"/>
      <c r="L84" s="614"/>
    </row>
    <row r="85" spans="1:12" x14ac:dyDescent="0.25">
      <c r="A85" s="556">
        <v>2001</v>
      </c>
      <c r="B85" s="557" t="s">
        <v>18</v>
      </c>
      <c r="C85" s="558">
        <v>180</v>
      </c>
      <c r="D85" s="558">
        <f t="shared" si="2"/>
        <v>257.14285714285717</v>
      </c>
      <c r="E85" s="626">
        <f>E84*(1+IGPDI!D89/100)</f>
        <v>186.76012317874699</v>
      </c>
      <c r="F85" s="627">
        <f t="shared" si="3"/>
        <v>137.68616809957192</v>
      </c>
      <c r="G85" s="620"/>
      <c r="H85" s="628"/>
      <c r="I85" s="630"/>
      <c r="J85" s="376"/>
      <c r="K85" s="614"/>
      <c r="L85" s="614"/>
    </row>
    <row r="86" spans="1:12" x14ac:dyDescent="0.25">
      <c r="A86" s="556">
        <v>2001</v>
      </c>
      <c r="B86" s="557" t="s">
        <v>19</v>
      </c>
      <c r="C86" s="558">
        <v>180</v>
      </c>
      <c r="D86" s="558">
        <f t="shared" si="2"/>
        <v>257.14285714285717</v>
      </c>
      <c r="E86" s="626">
        <f>E85*(1+IGPDI!D90/100)</f>
        <v>189.77800248195973</v>
      </c>
      <c r="F86" s="627">
        <f t="shared" si="3"/>
        <v>135.49666124623749</v>
      </c>
      <c r="G86" s="620"/>
      <c r="H86" s="628"/>
      <c r="I86" s="630"/>
      <c r="J86" s="376"/>
      <c r="K86" s="614"/>
      <c r="L86" s="614"/>
    </row>
    <row r="87" spans="1:12" x14ac:dyDescent="0.25">
      <c r="A87" s="556">
        <v>2001</v>
      </c>
      <c r="B87" s="557" t="s">
        <v>20</v>
      </c>
      <c r="C87" s="558">
        <v>180</v>
      </c>
      <c r="D87" s="558">
        <f t="shared" si="2"/>
        <v>257.14285714285717</v>
      </c>
      <c r="E87" s="626">
        <f>E86*(1+IGPDI!D91/100)</f>
        <v>191.49239325274618</v>
      </c>
      <c r="F87" s="627">
        <f t="shared" si="3"/>
        <v>134.28358838434931</v>
      </c>
      <c r="G87" s="620"/>
      <c r="H87" s="628"/>
      <c r="I87" s="630"/>
      <c r="J87" s="376"/>
      <c r="K87" s="614"/>
      <c r="L87" s="614"/>
    </row>
    <row r="88" spans="1:12" x14ac:dyDescent="0.25">
      <c r="A88" s="556">
        <v>2001</v>
      </c>
      <c r="B88" s="557" t="s">
        <v>21</v>
      </c>
      <c r="C88" s="558">
        <v>180</v>
      </c>
      <c r="D88" s="558">
        <f t="shared" si="2"/>
        <v>257.14285714285717</v>
      </c>
      <c r="E88" s="626">
        <f>E87*(1+IGPDI!D92/100)</f>
        <v>192.22411178011669</v>
      </c>
      <c r="F88" s="627">
        <f t="shared" si="3"/>
        <v>133.77242571785189</v>
      </c>
      <c r="G88" s="620"/>
      <c r="H88" s="628"/>
      <c r="I88" s="630"/>
      <c r="J88" s="376"/>
      <c r="K88" s="614"/>
      <c r="L88" s="614"/>
    </row>
    <row r="89" spans="1:12" x14ac:dyDescent="0.25">
      <c r="A89" s="556">
        <v>2001</v>
      </c>
      <c r="B89" s="557" t="s">
        <v>22</v>
      </c>
      <c r="C89" s="558">
        <v>180</v>
      </c>
      <c r="D89" s="558">
        <f t="shared" si="2"/>
        <v>257.14285714285717</v>
      </c>
      <c r="E89" s="626">
        <f>E88*(1+IGPDI!D93/100)</f>
        <v>195.00390678861967</v>
      </c>
      <c r="F89" s="627">
        <f t="shared" si="3"/>
        <v>131.86548996764196</v>
      </c>
      <c r="G89" s="620"/>
      <c r="H89" s="628"/>
      <c r="I89" s="630"/>
      <c r="J89" s="376"/>
      <c r="K89" s="614"/>
      <c r="L89" s="614"/>
    </row>
    <row r="90" spans="1:12" x14ac:dyDescent="0.25">
      <c r="A90" s="556">
        <v>2001</v>
      </c>
      <c r="B90" s="557" t="s">
        <v>23</v>
      </c>
      <c r="C90" s="558">
        <v>180</v>
      </c>
      <c r="D90" s="558">
        <f t="shared" si="2"/>
        <v>257.14285714285717</v>
      </c>
      <c r="E90" s="626">
        <f>E89*(1+IGPDI!D94/100)</f>
        <v>196.49400193041313</v>
      </c>
      <c r="F90" s="627">
        <f t="shared" si="3"/>
        <v>130.86549951480066</v>
      </c>
      <c r="G90" s="620"/>
      <c r="H90" s="628"/>
      <c r="I90" s="630"/>
      <c r="J90" s="376"/>
      <c r="K90" s="614"/>
      <c r="L90" s="614"/>
    </row>
    <row r="91" spans="1:12" x14ac:dyDescent="0.25">
      <c r="A91" s="556">
        <v>2001</v>
      </c>
      <c r="B91" s="557" t="s">
        <v>12</v>
      </c>
      <c r="C91" s="558">
        <v>180</v>
      </c>
      <c r="D91" s="558">
        <f t="shared" si="2"/>
        <v>257.14285714285717</v>
      </c>
      <c r="E91" s="626">
        <f>E90*(1+IGPDI!D95/100)</f>
        <v>196.84423403961938</v>
      </c>
      <c r="F91" s="627">
        <f t="shared" si="3"/>
        <v>130.63265906539144</v>
      </c>
      <c r="G91" s="620"/>
      <c r="H91" s="628"/>
      <c r="I91" s="630"/>
      <c r="J91" s="376"/>
      <c r="K91" s="614"/>
      <c r="L91" s="614"/>
    </row>
    <row r="92" spans="1:12" x14ac:dyDescent="0.25">
      <c r="A92" s="556">
        <v>2002</v>
      </c>
      <c r="B92" s="557" t="s">
        <v>13</v>
      </c>
      <c r="C92" s="558">
        <v>180</v>
      </c>
      <c r="D92" s="558">
        <f t="shared" si="2"/>
        <v>257.14285714285717</v>
      </c>
      <c r="E92" s="626">
        <f>E91*(1+IGPDI!D96/100)</f>
        <v>197.21009330330463</v>
      </c>
      <c r="F92" s="627">
        <f t="shared" si="3"/>
        <v>130.39031260300521</v>
      </c>
      <c r="G92" s="620"/>
      <c r="H92" s="628"/>
      <c r="I92" s="630"/>
      <c r="J92" s="376"/>
      <c r="K92" s="614"/>
      <c r="L92" s="614"/>
    </row>
    <row r="93" spans="1:12" x14ac:dyDescent="0.25">
      <c r="A93" s="556">
        <v>2002</v>
      </c>
      <c r="B93" s="557" t="s">
        <v>14</v>
      </c>
      <c r="C93" s="558">
        <v>180</v>
      </c>
      <c r="D93" s="558">
        <f t="shared" si="2"/>
        <v>257.14285714285717</v>
      </c>
      <c r="E93" s="626">
        <f>E92*(1+IGPDI!D97/100)</f>
        <v>197.57043710070317</v>
      </c>
      <c r="F93" s="627">
        <f t="shared" si="3"/>
        <v>130.15249696076214</v>
      </c>
      <c r="G93" s="620"/>
      <c r="H93" s="628"/>
      <c r="I93" s="630"/>
      <c r="J93" s="376"/>
      <c r="K93" s="614"/>
      <c r="L93" s="614"/>
    </row>
    <row r="94" spans="1:12" x14ac:dyDescent="0.25">
      <c r="A94" s="556">
        <v>2002</v>
      </c>
      <c r="B94" s="557" t="s">
        <v>15</v>
      </c>
      <c r="C94" s="558">
        <v>180</v>
      </c>
      <c r="D94" s="558">
        <f t="shared" si="2"/>
        <v>257.14285714285717</v>
      </c>
      <c r="E94" s="626">
        <f>E93*(1+IGPDI!D98/100)</f>
        <v>197.79381348531501</v>
      </c>
      <c r="F94" s="627">
        <f t="shared" si="3"/>
        <v>130.00551059295313</v>
      </c>
      <c r="G94" s="620"/>
      <c r="H94" s="628"/>
      <c r="I94" s="630"/>
      <c r="J94" s="376"/>
      <c r="K94" s="614"/>
      <c r="L94" s="614"/>
    </row>
    <row r="95" spans="1:12" x14ac:dyDescent="0.25">
      <c r="A95" s="556">
        <v>2002</v>
      </c>
      <c r="B95" s="557" t="s">
        <v>16</v>
      </c>
      <c r="C95" s="558">
        <v>200</v>
      </c>
      <c r="D95" s="558">
        <f t="shared" si="2"/>
        <v>285.71428571428572</v>
      </c>
      <c r="E95" s="626">
        <f>E94*(1+IGPDI!D99/100)</f>
        <v>199.17543779013647</v>
      </c>
      <c r="F95" s="627">
        <f t="shared" si="3"/>
        <v>143.44855414116469</v>
      </c>
      <c r="G95" s="620"/>
      <c r="H95" s="628"/>
      <c r="I95" s="630"/>
      <c r="J95" s="376"/>
      <c r="K95" s="614"/>
      <c r="L95" s="614"/>
    </row>
    <row r="96" spans="1:12" x14ac:dyDescent="0.25">
      <c r="A96" s="556">
        <v>2002</v>
      </c>
      <c r="B96" s="557" t="s">
        <v>17</v>
      </c>
      <c r="C96" s="558">
        <v>200</v>
      </c>
      <c r="D96" s="558">
        <f t="shared" si="2"/>
        <v>285.71428571428572</v>
      </c>
      <c r="E96" s="626">
        <f>E95*(1+IGPDI!D100/100)</f>
        <v>201.37886657167803</v>
      </c>
      <c r="F96" s="627">
        <f t="shared" si="3"/>
        <v>141.87898193010719</v>
      </c>
      <c r="G96" s="620"/>
      <c r="H96" s="628"/>
      <c r="I96" s="630"/>
      <c r="J96" s="376"/>
      <c r="K96" s="614"/>
      <c r="L96" s="614"/>
    </row>
    <row r="97" spans="1:12" x14ac:dyDescent="0.25">
      <c r="A97" s="556">
        <v>2002</v>
      </c>
      <c r="B97" s="557" t="s">
        <v>18</v>
      </c>
      <c r="C97" s="558">
        <v>200</v>
      </c>
      <c r="D97" s="558">
        <f t="shared" si="2"/>
        <v>285.71428571428572</v>
      </c>
      <c r="E97" s="626">
        <f>E96*(1+IGPDI!D101/100)</f>
        <v>204.87383370869142</v>
      </c>
      <c r="F97" s="627">
        <f t="shared" si="3"/>
        <v>139.45865147451713</v>
      </c>
      <c r="G97" s="620"/>
      <c r="H97" s="628"/>
      <c r="I97" s="630"/>
      <c r="J97" s="376"/>
      <c r="K97" s="614"/>
      <c r="L97" s="614"/>
    </row>
    <row r="98" spans="1:12" x14ac:dyDescent="0.25">
      <c r="A98" s="556">
        <v>2002</v>
      </c>
      <c r="B98" s="557" t="s">
        <v>19</v>
      </c>
      <c r="C98" s="558">
        <v>200</v>
      </c>
      <c r="D98" s="558">
        <f t="shared" si="2"/>
        <v>285.71428571428572</v>
      </c>
      <c r="E98" s="626">
        <f>E97*(1+IGPDI!D102/100)</f>
        <v>209.07386128602286</v>
      </c>
      <c r="F98" s="627">
        <f t="shared" si="3"/>
        <v>136.65710479389634</v>
      </c>
      <c r="G98" s="620"/>
      <c r="H98" s="628"/>
      <c r="I98" s="630"/>
      <c r="J98" s="376"/>
      <c r="K98" s="614"/>
      <c r="L98" s="614"/>
    </row>
    <row r="99" spans="1:12" x14ac:dyDescent="0.25">
      <c r="A99" s="556">
        <v>2002</v>
      </c>
      <c r="B99" s="557" t="s">
        <v>20</v>
      </c>
      <c r="C99" s="558">
        <v>200</v>
      </c>
      <c r="D99" s="558">
        <f t="shared" si="2"/>
        <v>285.71428571428572</v>
      </c>
      <c r="E99" s="626">
        <f>E98*(1+IGPDI!D103/100)</f>
        <v>214.01663832329822</v>
      </c>
      <c r="F99" s="627">
        <f t="shared" si="3"/>
        <v>133.5009688745225</v>
      </c>
      <c r="G99" s="620"/>
      <c r="H99" s="628"/>
      <c r="I99" s="630"/>
      <c r="J99" s="376"/>
      <c r="K99" s="614"/>
      <c r="L99" s="614"/>
    </row>
    <row r="100" spans="1:12" x14ac:dyDescent="0.25">
      <c r="A100" s="556">
        <v>2002</v>
      </c>
      <c r="B100" s="557" t="s">
        <v>21</v>
      </c>
      <c r="C100" s="558">
        <v>200</v>
      </c>
      <c r="D100" s="558">
        <f t="shared" si="2"/>
        <v>285.71428571428572</v>
      </c>
      <c r="E100" s="626">
        <f>E99*(1+IGPDI!D104/100)</f>
        <v>219.67458748908393</v>
      </c>
      <c r="F100" s="627">
        <f t="shared" si="3"/>
        <v>130.06251154493845</v>
      </c>
      <c r="G100" s="620"/>
      <c r="H100" s="628"/>
      <c r="I100" s="630"/>
      <c r="J100" s="376"/>
      <c r="K100" s="614"/>
      <c r="L100" s="614"/>
    </row>
    <row r="101" spans="1:12" x14ac:dyDescent="0.25">
      <c r="A101" s="556">
        <v>2002</v>
      </c>
      <c r="B101" s="557" t="s">
        <v>22</v>
      </c>
      <c r="C101" s="558">
        <v>200</v>
      </c>
      <c r="D101" s="558">
        <f t="shared" si="2"/>
        <v>285.71428571428572</v>
      </c>
      <c r="E101" s="626">
        <f>E100*(1+IGPDI!D105/100)</f>
        <v>228.9304591625683</v>
      </c>
      <c r="F101" s="627">
        <f t="shared" si="3"/>
        <v>124.80396307220703</v>
      </c>
      <c r="G101" s="620"/>
      <c r="H101" s="628"/>
      <c r="I101" s="630"/>
      <c r="J101" s="376"/>
      <c r="K101" s="614"/>
      <c r="L101" s="614"/>
    </row>
    <row r="102" spans="1:12" x14ac:dyDescent="0.25">
      <c r="A102" s="556">
        <v>2002</v>
      </c>
      <c r="B102" s="557" t="s">
        <v>23</v>
      </c>
      <c r="C102" s="558">
        <v>200</v>
      </c>
      <c r="D102" s="558">
        <f t="shared" si="2"/>
        <v>285.71428571428572</v>
      </c>
      <c r="E102" s="626">
        <f>E101*(1+IGPDI!D106/100)</f>
        <v>242.29443397527223</v>
      </c>
      <c r="F102" s="627">
        <f t="shared" si="3"/>
        <v>117.92028443519457</v>
      </c>
      <c r="G102" s="620"/>
      <c r="H102" s="628"/>
      <c r="I102" s="630"/>
      <c r="J102" s="376"/>
      <c r="K102" s="614"/>
      <c r="L102" s="614"/>
    </row>
    <row r="103" spans="1:12" x14ac:dyDescent="0.25">
      <c r="A103" s="556">
        <v>2002</v>
      </c>
      <c r="B103" s="557" t="s">
        <v>12</v>
      </c>
      <c r="C103" s="558">
        <v>200</v>
      </c>
      <c r="D103" s="558">
        <f t="shared" si="2"/>
        <v>285.71428571428572</v>
      </c>
      <c r="E103" s="626">
        <f>E102*(1+IGPDI!D107/100)</f>
        <v>248.83210001378859</v>
      </c>
      <c r="F103" s="627">
        <f t="shared" si="3"/>
        <v>114.82211728247817</v>
      </c>
      <c r="G103" s="620"/>
      <c r="H103" s="628"/>
      <c r="I103" s="630"/>
      <c r="J103" s="376"/>
      <c r="K103" s="614"/>
      <c r="L103" s="614"/>
    </row>
    <row r="104" spans="1:12" x14ac:dyDescent="0.25">
      <c r="A104" s="556">
        <v>2003</v>
      </c>
      <c r="B104" s="557" t="s">
        <v>13</v>
      </c>
      <c r="C104" s="558">
        <v>200</v>
      </c>
      <c r="D104" s="558">
        <f t="shared" si="2"/>
        <v>285.71428571428572</v>
      </c>
      <c r="E104" s="626">
        <f>E103*(1+IGPDI!D108/100)</f>
        <v>254.24277244105335</v>
      </c>
      <c r="F104" s="627">
        <f t="shared" si="3"/>
        <v>112.37852819612762</v>
      </c>
      <c r="G104" s="620"/>
      <c r="H104" s="628"/>
      <c r="I104" s="630"/>
      <c r="J104" s="376"/>
      <c r="K104" s="614"/>
      <c r="L104" s="614"/>
    </row>
    <row r="105" spans="1:12" x14ac:dyDescent="0.25">
      <c r="A105" s="556">
        <v>2003</v>
      </c>
      <c r="B105" s="557" t="s">
        <v>14</v>
      </c>
      <c r="C105" s="558">
        <v>200</v>
      </c>
      <c r="D105" s="558">
        <f t="shared" si="2"/>
        <v>285.71428571428572</v>
      </c>
      <c r="E105" s="626">
        <f>E104*(1+IGPDI!D109/100)</f>
        <v>258.29296318426242</v>
      </c>
      <c r="F105" s="627">
        <f t="shared" si="3"/>
        <v>110.61636453117823</v>
      </c>
      <c r="G105" s="620"/>
      <c r="H105" s="628"/>
      <c r="I105" s="630"/>
      <c r="J105" s="376"/>
      <c r="K105" s="614"/>
      <c r="L105" s="614"/>
    </row>
    <row r="106" spans="1:12" x14ac:dyDescent="0.25">
      <c r="A106" s="556">
        <v>2003</v>
      </c>
      <c r="B106" s="557" t="s">
        <v>15</v>
      </c>
      <c r="C106" s="558">
        <v>200</v>
      </c>
      <c r="D106" s="558">
        <f t="shared" si="2"/>
        <v>285.71428571428572</v>
      </c>
      <c r="E106" s="626">
        <f>E105*(1+IGPDI!D110/100)</f>
        <v>262.57296502275113</v>
      </c>
      <c r="F106" s="627">
        <f t="shared" si="3"/>
        <v>108.81329145577857</v>
      </c>
      <c r="G106" s="620"/>
      <c r="H106" s="628"/>
      <c r="I106" s="630"/>
      <c r="J106" s="376"/>
      <c r="K106" s="614"/>
      <c r="L106" s="614"/>
    </row>
    <row r="107" spans="1:12" x14ac:dyDescent="0.25">
      <c r="A107" s="556">
        <v>2003</v>
      </c>
      <c r="B107" s="557" t="s">
        <v>16</v>
      </c>
      <c r="C107" s="558">
        <v>240</v>
      </c>
      <c r="D107" s="558">
        <f t="shared" si="2"/>
        <v>342.85714285714283</v>
      </c>
      <c r="E107" s="626">
        <f>E106*(1+IGPDI!D111/100)</f>
        <v>263.65307717056567</v>
      </c>
      <c r="F107" s="627">
        <f t="shared" si="3"/>
        <v>130.0410169820766</v>
      </c>
      <c r="G107" s="620"/>
      <c r="H107" s="628"/>
      <c r="I107" s="630"/>
      <c r="J107" s="376"/>
      <c r="K107" s="614"/>
      <c r="L107" s="614"/>
    </row>
    <row r="108" spans="1:12" x14ac:dyDescent="0.25">
      <c r="A108" s="556">
        <v>2003</v>
      </c>
      <c r="B108" s="557" t="s">
        <v>17</v>
      </c>
      <c r="C108" s="558">
        <v>240</v>
      </c>
      <c r="D108" s="558">
        <f t="shared" si="2"/>
        <v>342.85714285714283</v>
      </c>
      <c r="E108" s="626">
        <f>E107*(1+IGPDI!D112/100)</f>
        <v>261.89272418072329</v>
      </c>
      <c r="F108" s="627">
        <f t="shared" si="3"/>
        <v>130.91510805796526</v>
      </c>
      <c r="G108" s="620"/>
      <c r="H108" s="628"/>
      <c r="I108" s="630"/>
      <c r="J108" s="376"/>
      <c r="K108" s="628"/>
      <c r="L108" s="614"/>
    </row>
    <row r="109" spans="1:12" x14ac:dyDescent="0.25">
      <c r="A109" s="556">
        <v>2003</v>
      </c>
      <c r="B109" s="557" t="s">
        <v>18</v>
      </c>
      <c r="C109" s="558">
        <v>240</v>
      </c>
      <c r="D109" s="558">
        <f t="shared" si="2"/>
        <v>342.85714285714283</v>
      </c>
      <c r="E109" s="626">
        <f>E108*(1+IGPDI!D113/100)</f>
        <v>260.0661855954404</v>
      </c>
      <c r="F109" s="627">
        <f t="shared" si="3"/>
        <v>131.8345720617798</v>
      </c>
      <c r="G109" s="620"/>
      <c r="H109" s="628"/>
      <c r="I109" s="630"/>
      <c r="J109" s="376"/>
      <c r="K109" s="628"/>
      <c r="L109" s="614"/>
    </row>
    <row r="110" spans="1:12" x14ac:dyDescent="0.25">
      <c r="A110" s="556">
        <v>2003</v>
      </c>
      <c r="B110" s="557" t="s">
        <v>19</v>
      </c>
      <c r="C110" s="558">
        <v>240</v>
      </c>
      <c r="D110" s="558">
        <f t="shared" si="2"/>
        <v>342.85714285714283</v>
      </c>
      <c r="E110" s="626">
        <f>E109*(1+IGPDI!D114/100)</f>
        <v>259.54773176448941</v>
      </c>
      <c r="F110" s="627">
        <f t="shared" si="3"/>
        <v>132.09791529530582</v>
      </c>
      <c r="G110" s="620"/>
      <c r="H110" s="628"/>
      <c r="I110" s="630"/>
      <c r="J110" s="376"/>
      <c r="K110" s="628"/>
      <c r="L110" s="614"/>
    </row>
    <row r="111" spans="1:12" x14ac:dyDescent="0.25">
      <c r="A111" s="556">
        <v>2003</v>
      </c>
      <c r="B111" s="557" t="s">
        <v>20</v>
      </c>
      <c r="C111" s="558">
        <v>240</v>
      </c>
      <c r="D111" s="558">
        <f t="shared" si="2"/>
        <v>342.85714285714283</v>
      </c>
      <c r="E111" s="626">
        <f>E110*(1+IGPDI!D115/100)</f>
        <v>261.16192489773391</v>
      </c>
      <c r="F111" s="627">
        <f t="shared" si="3"/>
        <v>131.28144272615512</v>
      </c>
      <c r="G111" s="620"/>
      <c r="H111" s="628"/>
      <c r="I111" s="630"/>
      <c r="J111" s="376"/>
      <c r="K111" s="628"/>
      <c r="L111" s="614"/>
    </row>
    <row r="112" spans="1:12" x14ac:dyDescent="0.25">
      <c r="A112" s="556">
        <v>2003</v>
      </c>
      <c r="B112" s="557" t="s">
        <v>21</v>
      </c>
      <c r="C112" s="558">
        <v>240</v>
      </c>
      <c r="D112" s="558">
        <f t="shared" si="2"/>
        <v>342.85714285714283</v>
      </c>
      <c r="E112" s="626">
        <f>E111*(1+IGPDI!D116/100)</f>
        <v>263.89759617594319</v>
      </c>
      <c r="F112" s="627">
        <f t="shared" si="3"/>
        <v>129.92052516785961</v>
      </c>
      <c r="G112" s="620"/>
      <c r="H112" s="628"/>
      <c r="I112" s="630"/>
      <c r="J112" s="376"/>
      <c r="K112" s="628"/>
      <c r="L112" s="614"/>
    </row>
    <row r="113" spans="1:12" x14ac:dyDescent="0.25">
      <c r="A113" s="556">
        <v>2003</v>
      </c>
      <c r="B113" s="557" t="s">
        <v>22</v>
      </c>
      <c r="C113" s="558">
        <v>240</v>
      </c>
      <c r="D113" s="558">
        <f t="shared" si="2"/>
        <v>342.85714285714283</v>
      </c>
      <c r="E113" s="626">
        <f>E112*(1+IGPDI!D117/100)</f>
        <v>265.05216711862829</v>
      </c>
      <c r="F113" s="627">
        <f t="shared" si="3"/>
        <v>129.35458954526928</v>
      </c>
      <c r="G113" s="620"/>
      <c r="H113" s="628"/>
      <c r="I113" s="630"/>
      <c r="J113" s="376"/>
      <c r="K113" s="628"/>
      <c r="L113" s="614"/>
    </row>
    <row r="114" spans="1:12" x14ac:dyDescent="0.25">
      <c r="A114" s="556">
        <v>2003</v>
      </c>
      <c r="B114" s="557" t="s">
        <v>23</v>
      </c>
      <c r="C114" s="558">
        <v>240</v>
      </c>
      <c r="D114" s="558">
        <f t="shared" si="2"/>
        <v>342.85714285714283</v>
      </c>
      <c r="E114" s="626">
        <f>E113*(1+IGPDI!D118/100)</f>
        <v>266.32164360895331</v>
      </c>
      <c r="F114" s="627">
        <f t="shared" si="3"/>
        <v>128.7379944833055</v>
      </c>
      <c r="G114" s="620"/>
      <c r="H114" s="628"/>
      <c r="I114" s="630"/>
      <c r="J114" s="376"/>
      <c r="K114" s="628"/>
      <c r="L114" s="614"/>
    </row>
    <row r="115" spans="1:12" x14ac:dyDescent="0.25">
      <c r="A115" s="556">
        <v>2003</v>
      </c>
      <c r="B115" s="557" t="s">
        <v>12</v>
      </c>
      <c r="C115" s="558">
        <v>240</v>
      </c>
      <c r="D115" s="558">
        <f t="shared" si="2"/>
        <v>342.85714285714283</v>
      </c>
      <c r="E115" s="626">
        <f>E114*(1+IGPDI!D119/100)</f>
        <v>267.92480580962433</v>
      </c>
      <c r="F115" s="627">
        <f t="shared" si="3"/>
        <v>127.96767429618373</v>
      </c>
      <c r="G115" s="620"/>
      <c r="H115" s="628"/>
      <c r="I115" s="630"/>
      <c r="J115" s="376"/>
      <c r="K115" s="631"/>
    </row>
    <row r="116" spans="1:12" x14ac:dyDescent="0.25">
      <c r="A116" s="556">
        <v>2004</v>
      </c>
      <c r="B116" s="557" t="s">
        <v>13</v>
      </c>
      <c r="C116" s="558">
        <v>240</v>
      </c>
      <c r="D116" s="558">
        <f t="shared" si="2"/>
        <v>342.85714285714283</v>
      </c>
      <c r="E116" s="626">
        <f>E115*(1+IGPDI!D120/100)</f>
        <v>270.06756446201206</v>
      </c>
      <c r="F116" s="627">
        <f t="shared" si="3"/>
        <v>126.95235858483458</v>
      </c>
      <c r="G116" s="620"/>
      <c r="H116" s="628"/>
      <c r="I116" s="630"/>
      <c r="J116" s="376"/>
      <c r="K116" s="631"/>
    </row>
    <row r="117" spans="1:12" x14ac:dyDescent="0.25">
      <c r="A117" s="556">
        <v>2004</v>
      </c>
      <c r="B117" s="557" t="s">
        <v>14</v>
      </c>
      <c r="C117" s="558">
        <v>240</v>
      </c>
      <c r="D117" s="558">
        <f t="shared" si="2"/>
        <v>342.85714285714283</v>
      </c>
      <c r="E117" s="626">
        <f>E116*(1+IGPDI!D121/100)</f>
        <v>272.99351932711295</v>
      </c>
      <c r="F117" s="627">
        <f t="shared" si="3"/>
        <v>125.59167840402694</v>
      </c>
      <c r="G117" s="620"/>
      <c r="H117" s="628"/>
      <c r="I117" s="630"/>
      <c r="J117" s="376"/>
      <c r="K117" s="631"/>
    </row>
    <row r="118" spans="1:12" x14ac:dyDescent="0.25">
      <c r="A118" s="556">
        <v>2004</v>
      </c>
      <c r="B118" s="557" t="s">
        <v>15</v>
      </c>
      <c r="C118" s="558">
        <v>240</v>
      </c>
      <c r="D118" s="558">
        <f t="shared" si="2"/>
        <v>342.85714285714283</v>
      </c>
      <c r="E118" s="626">
        <f>E117*(1+IGPDI!D122/100)</f>
        <v>275.5398262628118</v>
      </c>
      <c r="F118" s="627">
        <f t="shared" si="3"/>
        <v>124.43106592152792</v>
      </c>
      <c r="G118" s="620"/>
      <c r="H118" s="628"/>
      <c r="I118" s="630"/>
      <c r="J118" s="376"/>
      <c r="K118" s="631"/>
    </row>
    <row r="119" spans="1:12" x14ac:dyDescent="0.25">
      <c r="A119" s="556">
        <v>2004</v>
      </c>
      <c r="B119" s="557" t="s">
        <v>16</v>
      </c>
      <c r="C119" s="558">
        <v>240</v>
      </c>
      <c r="D119" s="558">
        <f t="shared" si="2"/>
        <v>342.85714285714283</v>
      </c>
      <c r="E119" s="626">
        <f>E118*(1+IGPDI!D123/100)</f>
        <v>278.70018844509798</v>
      </c>
      <c r="F119" s="627">
        <f t="shared" si="3"/>
        <v>123.02006136773149</v>
      </c>
      <c r="G119" s="620"/>
      <c r="H119" s="628"/>
      <c r="I119" s="630"/>
      <c r="J119" s="376"/>
      <c r="K119" s="631"/>
    </row>
    <row r="120" spans="1:12" x14ac:dyDescent="0.25">
      <c r="A120" s="556">
        <v>2004</v>
      </c>
      <c r="B120" s="557" t="s">
        <v>17</v>
      </c>
      <c r="C120" s="558">
        <v>260</v>
      </c>
      <c r="D120" s="558">
        <f t="shared" si="2"/>
        <v>371.42857142857144</v>
      </c>
      <c r="E120" s="626">
        <f>E119*(1+IGPDI!D124/100)</f>
        <v>282.77427954221611</v>
      </c>
      <c r="F120" s="627">
        <f t="shared" si="3"/>
        <v>131.35161091379243</v>
      </c>
      <c r="G120" s="620"/>
      <c r="H120" s="628"/>
      <c r="I120" s="630"/>
      <c r="J120" s="376"/>
      <c r="K120" s="631"/>
    </row>
    <row r="121" spans="1:12" x14ac:dyDescent="0.25">
      <c r="A121" s="556">
        <v>2004</v>
      </c>
      <c r="B121" s="557" t="s">
        <v>18</v>
      </c>
      <c r="C121" s="558">
        <v>260</v>
      </c>
      <c r="D121" s="558">
        <f t="shared" si="2"/>
        <v>371.42857142857144</v>
      </c>
      <c r="E121" s="626">
        <f>E120*(1+IGPDI!D125/100)</f>
        <v>286.41448729144628</v>
      </c>
      <c r="F121" s="627">
        <f t="shared" si="3"/>
        <v>129.68218714810243</v>
      </c>
      <c r="G121" s="620"/>
      <c r="H121" s="628"/>
      <c r="I121" s="630"/>
      <c r="J121" s="376"/>
      <c r="K121" s="631"/>
    </row>
    <row r="122" spans="1:12" x14ac:dyDescent="0.25">
      <c r="A122" s="556">
        <v>2004</v>
      </c>
      <c r="B122" s="557" t="s">
        <v>19</v>
      </c>
      <c r="C122" s="558">
        <v>260</v>
      </c>
      <c r="D122" s="558">
        <f t="shared" si="2"/>
        <v>371.42857142857144</v>
      </c>
      <c r="E122" s="626">
        <f>E121*(1+IGPDI!D126/100)</f>
        <v>289.66585466746318</v>
      </c>
      <c r="F122" s="627">
        <f t="shared" si="3"/>
        <v>128.22656362275492</v>
      </c>
      <c r="G122" s="620"/>
      <c r="H122" s="628"/>
      <c r="I122" s="630"/>
      <c r="J122" s="376"/>
      <c r="K122" s="631"/>
    </row>
    <row r="123" spans="1:12" x14ac:dyDescent="0.25">
      <c r="A123" s="556">
        <v>2004</v>
      </c>
      <c r="B123" s="557" t="s">
        <v>20</v>
      </c>
      <c r="C123" s="558">
        <v>260</v>
      </c>
      <c r="D123" s="558">
        <f t="shared" si="2"/>
        <v>371.42857142857144</v>
      </c>
      <c r="E123" s="626">
        <f>E122*(1+IGPDI!D127/100)</f>
        <v>293.46325320586465</v>
      </c>
      <c r="F123" s="627">
        <f t="shared" si="3"/>
        <v>126.56731886224068</v>
      </c>
      <c r="G123" s="620"/>
      <c r="H123" s="628"/>
      <c r="I123" s="630"/>
      <c r="J123" s="376"/>
      <c r="K123" s="631"/>
    </row>
    <row r="124" spans="1:12" x14ac:dyDescent="0.25">
      <c r="A124" s="556">
        <v>2004</v>
      </c>
      <c r="B124" s="557" t="s">
        <v>21</v>
      </c>
      <c r="C124" s="558">
        <v>260</v>
      </c>
      <c r="D124" s="558">
        <f t="shared" si="2"/>
        <v>371.42857142857144</v>
      </c>
      <c r="E124" s="626">
        <f>E123*(1+IGPDI!D128/100)</f>
        <v>294.88256653031192</v>
      </c>
      <c r="F124" s="627">
        <f t="shared" si="3"/>
        <v>125.95813167218589</v>
      </c>
      <c r="G124" s="620"/>
      <c r="H124" s="628"/>
      <c r="I124" s="628"/>
      <c r="J124" s="376"/>
      <c r="K124" s="631"/>
    </row>
    <row r="125" spans="1:12" x14ac:dyDescent="0.25">
      <c r="A125" s="556">
        <v>2004</v>
      </c>
      <c r="B125" s="557" t="s">
        <v>22</v>
      </c>
      <c r="C125" s="558">
        <v>260</v>
      </c>
      <c r="D125" s="558">
        <f>100*C125/C$8</f>
        <v>371.42857142857144</v>
      </c>
      <c r="E125" s="626">
        <f>E124*(1+IGPDI!D129/100)</f>
        <v>296.44895895573819</v>
      </c>
      <c r="F125" s="627">
        <f t="shared" si="3"/>
        <v>125.29258754591484</v>
      </c>
      <c r="G125" s="620"/>
      <c r="H125" s="628"/>
      <c r="I125" s="628"/>
      <c r="J125" s="376"/>
      <c r="K125" s="631"/>
    </row>
    <row r="126" spans="1:12" x14ac:dyDescent="0.25">
      <c r="A126" s="556">
        <v>2004</v>
      </c>
      <c r="B126" s="557" t="s">
        <v>23</v>
      </c>
      <c r="C126" s="558">
        <v>260</v>
      </c>
      <c r="D126" s="558">
        <f>100*C126/C$8</f>
        <v>371.42857142857144</v>
      </c>
      <c r="E126" s="626">
        <f>E125*(1+IGPDI!D130/100)</f>
        <v>298.89047203198953</v>
      </c>
      <c r="F126" s="627">
        <f t="shared" si="3"/>
        <v>124.26912403845992</v>
      </c>
      <c r="G126" s="620"/>
      <c r="H126" s="628"/>
      <c r="I126" s="628"/>
      <c r="J126" s="376"/>
      <c r="K126" s="631"/>
    </row>
    <row r="127" spans="1:12" x14ac:dyDescent="0.25">
      <c r="A127" s="556">
        <v>2004</v>
      </c>
      <c r="B127" s="557" t="s">
        <v>12</v>
      </c>
      <c r="C127" s="558">
        <v>260</v>
      </c>
      <c r="D127" s="558">
        <f t="shared" si="2"/>
        <v>371.42857142857144</v>
      </c>
      <c r="E127" s="626">
        <f>E126*(1+IGPDI!D131/100)</f>
        <v>300.43939881417452</v>
      </c>
      <c r="F127" s="627">
        <f t="shared" si="3"/>
        <v>123.62844982868063</v>
      </c>
      <c r="G127" s="620"/>
      <c r="H127" s="628"/>
      <c r="I127" s="628"/>
      <c r="J127" s="376"/>
      <c r="K127" s="631"/>
    </row>
    <row r="128" spans="1:12" x14ac:dyDescent="0.25">
      <c r="A128" s="556">
        <v>2005</v>
      </c>
      <c r="B128" s="557" t="s">
        <v>13</v>
      </c>
      <c r="C128" s="558">
        <v>260</v>
      </c>
      <c r="D128" s="558">
        <f t="shared" si="2"/>
        <v>371.42857142857144</v>
      </c>
      <c r="E128" s="626">
        <f>E127*(1+IGPDI!D132/100)</f>
        <v>301.43402123454496</v>
      </c>
      <c r="F128" s="627">
        <f t="shared" si="3"/>
        <v>123.22052099738401</v>
      </c>
      <c r="G128" s="620"/>
      <c r="H128" s="628"/>
      <c r="I128" s="628"/>
      <c r="J128" s="376"/>
      <c r="K128" s="631"/>
    </row>
    <row r="129" spans="1:11" x14ac:dyDescent="0.25">
      <c r="A129" s="556">
        <v>2005</v>
      </c>
      <c r="B129" s="557" t="s">
        <v>14</v>
      </c>
      <c r="C129" s="558">
        <v>260</v>
      </c>
      <c r="D129" s="558">
        <f t="shared" si="2"/>
        <v>371.42857142857144</v>
      </c>
      <c r="E129" s="626">
        <f>E128*(1+IGPDI!D133/100)</f>
        <v>302.65293928390838</v>
      </c>
      <c r="F129" s="627">
        <f t="shared" si="3"/>
        <v>122.72425713339827</v>
      </c>
      <c r="G129" s="620"/>
      <c r="H129" s="628"/>
      <c r="I129" s="628"/>
      <c r="J129" s="376"/>
      <c r="K129" s="631"/>
    </row>
    <row r="130" spans="1:11" x14ac:dyDescent="0.25">
      <c r="A130" s="556">
        <v>2005</v>
      </c>
      <c r="B130" s="557" t="s">
        <v>15</v>
      </c>
      <c r="C130" s="558">
        <v>260</v>
      </c>
      <c r="D130" s="558">
        <f t="shared" si="2"/>
        <v>371.42857142857144</v>
      </c>
      <c r="E130" s="626">
        <f>E129*(1+IGPDI!D134/100)</f>
        <v>305.63956427816316</v>
      </c>
      <c r="F130" s="627">
        <f t="shared" si="3"/>
        <v>121.52502975384874</v>
      </c>
      <c r="G130" s="620"/>
      <c r="H130" s="628"/>
      <c r="I130" s="628"/>
      <c r="J130" s="376"/>
      <c r="K130" s="631"/>
    </row>
    <row r="131" spans="1:11" x14ac:dyDescent="0.25">
      <c r="A131" s="556">
        <v>2005</v>
      </c>
      <c r="B131" s="557" t="s">
        <v>16</v>
      </c>
      <c r="C131" s="558">
        <v>260</v>
      </c>
      <c r="D131" s="558">
        <f t="shared" si="2"/>
        <v>371.42857142857144</v>
      </c>
      <c r="E131" s="626">
        <f>E130*(1+IGPDI!D135/100)</f>
        <v>307.1838948384426</v>
      </c>
      <c r="F131" s="627">
        <f t="shared" si="3"/>
        <v>120.91407709506291</v>
      </c>
      <c r="G131" s="620"/>
      <c r="H131" s="628"/>
      <c r="I131" s="628"/>
      <c r="J131" s="376"/>
      <c r="K131" s="631"/>
    </row>
    <row r="132" spans="1:11" x14ac:dyDescent="0.25">
      <c r="A132" s="556">
        <v>2005</v>
      </c>
      <c r="B132" s="557" t="s">
        <v>17</v>
      </c>
      <c r="C132" s="558">
        <v>300</v>
      </c>
      <c r="D132" s="558">
        <f t="shared" si="2"/>
        <v>428.57142857142856</v>
      </c>
      <c r="E132" s="626">
        <f>E131*(1+IGPDI!D136/100)</f>
        <v>306.4034563588728</v>
      </c>
      <c r="F132" s="627">
        <f t="shared" si="3"/>
        <v>139.87160382077002</v>
      </c>
      <c r="G132" s="620"/>
      <c r="H132" s="628"/>
      <c r="I132" s="628"/>
      <c r="J132" s="376"/>
      <c r="K132" s="631"/>
    </row>
    <row r="133" spans="1:11" x14ac:dyDescent="0.25">
      <c r="A133" s="556">
        <v>2005</v>
      </c>
      <c r="B133" s="557" t="s">
        <v>18</v>
      </c>
      <c r="C133" s="558">
        <v>300</v>
      </c>
      <c r="D133" s="558">
        <f t="shared" si="2"/>
        <v>428.57142857142856</v>
      </c>
      <c r="E133" s="626">
        <f>E132*(1+IGPDI!D137/100)</f>
        <v>305.0264282759569</v>
      </c>
      <c r="F133" s="627">
        <f t="shared" si="3"/>
        <v>140.50304788137922</v>
      </c>
      <c r="G133" s="620"/>
      <c r="H133" s="628"/>
      <c r="I133" s="628"/>
      <c r="J133" s="376"/>
      <c r="K133" s="631"/>
    </row>
    <row r="134" spans="1:11" x14ac:dyDescent="0.25">
      <c r="A134" s="556">
        <v>2005</v>
      </c>
      <c r="B134" s="557" t="s">
        <v>19</v>
      </c>
      <c r="C134" s="558">
        <v>300</v>
      </c>
      <c r="D134" s="558">
        <f t="shared" si="2"/>
        <v>428.57142857142856</v>
      </c>
      <c r="E134" s="626">
        <f>E133*(1+IGPDI!D138/100)</f>
        <v>303.79556004963894</v>
      </c>
      <c r="F134" s="627">
        <f t="shared" si="3"/>
        <v>141.07231471763504</v>
      </c>
      <c r="G134" s="620"/>
      <c r="H134" s="628"/>
      <c r="I134" s="628"/>
      <c r="J134" s="376"/>
      <c r="K134" s="631"/>
    </row>
    <row r="135" spans="1:11" x14ac:dyDescent="0.25">
      <c r="A135" s="556">
        <v>2005</v>
      </c>
      <c r="B135" s="557" t="s">
        <v>20</v>
      </c>
      <c r="C135" s="558">
        <v>300</v>
      </c>
      <c r="D135" s="558">
        <f t="shared" si="2"/>
        <v>428.57142857142856</v>
      </c>
      <c r="E135" s="626">
        <f>E134*(1+IGPDI!D139/100)</f>
        <v>301.40828239187363</v>
      </c>
      <c r="F135" s="627">
        <f t="shared" si="3"/>
        <v>142.1896655162995</v>
      </c>
      <c r="G135" s="620"/>
      <c r="H135" s="628"/>
      <c r="I135" s="628"/>
      <c r="J135" s="376"/>
      <c r="K135" s="631"/>
    </row>
    <row r="136" spans="1:11" x14ac:dyDescent="0.25">
      <c r="A136" s="556">
        <v>2005</v>
      </c>
      <c r="B136" s="557" t="s">
        <v>21</v>
      </c>
      <c r="C136" s="558">
        <v>300</v>
      </c>
      <c r="D136" s="558">
        <f t="shared" si="2"/>
        <v>428.57142857142856</v>
      </c>
      <c r="E136" s="626">
        <f>E135*(1+IGPDI!D140/100)</f>
        <v>301.01024957484924</v>
      </c>
      <c r="F136" s="627">
        <f t="shared" si="3"/>
        <v>142.37768620063548</v>
      </c>
      <c r="G136" s="620"/>
      <c r="H136" s="628"/>
      <c r="I136" s="628"/>
      <c r="J136" s="376"/>
      <c r="K136" s="631"/>
    </row>
    <row r="137" spans="1:11" x14ac:dyDescent="0.25">
      <c r="A137" s="556">
        <v>2005</v>
      </c>
      <c r="B137" s="557" t="s">
        <v>22</v>
      </c>
      <c r="C137" s="558">
        <v>300</v>
      </c>
      <c r="D137" s="558">
        <f t="shared" ref="D137:D200" si="4">100*C137/C$8</f>
        <v>428.57142857142856</v>
      </c>
      <c r="E137" s="626">
        <f>E136*(1+IGPDI!D141/100)</f>
        <v>302.91768166567056</v>
      </c>
      <c r="F137" s="627">
        <f t="shared" si="3"/>
        <v>141.48115297027849</v>
      </c>
      <c r="G137" s="620"/>
      <c r="H137" s="628"/>
      <c r="I137" s="628"/>
      <c r="J137" s="376"/>
      <c r="K137" s="631"/>
    </row>
    <row r="138" spans="1:11" x14ac:dyDescent="0.25">
      <c r="A138" s="556">
        <v>2005</v>
      </c>
      <c r="B138" s="557" t="s">
        <v>25</v>
      </c>
      <c r="C138" s="558">
        <v>300</v>
      </c>
      <c r="D138" s="558">
        <f t="shared" si="4"/>
        <v>428.57142857142856</v>
      </c>
      <c r="E138" s="626">
        <f>E137*(1+IGPDI!D142/100)</f>
        <v>303.91965804108997</v>
      </c>
      <c r="F138" s="627">
        <f t="shared" ref="F138:F201" si="5">+D138*E$8/E138</f>
        <v>141.01471136608268</v>
      </c>
      <c r="G138" s="620"/>
      <c r="H138" s="628"/>
      <c r="I138" s="628"/>
      <c r="J138" s="376"/>
      <c r="K138" s="631"/>
    </row>
    <row r="139" spans="1:11" x14ac:dyDescent="0.25">
      <c r="A139" s="556">
        <v>2005</v>
      </c>
      <c r="B139" s="557" t="s">
        <v>26</v>
      </c>
      <c r="C139" s="558">
        <v>300</v>
      </c>
      <c r="D139" s="558">
        <f t="shared" si="4"/>
        <v>428.57142857142856</v>
      </c>
      <c r="E139" s="626">
        <f>E138*(1+IGPDI!D143/100)</f>
        <v>304.11821482741158</v>
      </c>
      <c r="F139" s="627">
        <f t="shared" si="5"/>
        <v>140.92264378660934</v>
      </c>
      <c r="G139" s="620"/>
      <c r="H139" s="628"/>
      <c r="I139" s="628"/>
      <c r="J139" s="376"/>
      <c r="K139" s="631"/>
    </row>
    <row r="140" spans="1:11" x14ac:dyDescent="0.25">
      <c r="A140" s="556">
        <v>2006</v>
      </c>
      <c r="B140" s="557" t="s">
        <v>27</v>
      </c>
      <c r="C140" s="558">
        <v>300</v>
      </c>
      <c r="D140" s="558">
        <f t="shared" si="4"/>
        <v>428.57142857142856</v>
      </c>
      <c r="E140" s="626">
        <f>E139*(1+IGPDI!D144/100)</f>
        <v>306.31245116514191</v>
      </c>
      <c r="F140" s="627">
        <f t="shared" si="5"/>
        <v>139.913159566724</v>
      </c>
      <c r="G140" s="620"/>
      <c r="H140" s="628"/>
      <c r="I140" s="628"/>
      <c r="J140" s="376"/>
      <c r="K140" s="631"/>
    </row>
    <row r="141" spans="1:11" x14ac:dyDescent="0.25">
      <c r="A141" s="556">
        <v>2006</v>
      </c>
      <c r="B141" s="557" t="s">
        <v>14</v>
      </c>
      <c r="C141" s="558">
        <v>300</v>
      </c>
      <c r="D141" s="558">
        <f t="shared" si="4"/>
        <v>428.57142857142856</v>
      </c>
      <c r="E141" s="626">
        <f>E140*(1+IGPDI!D145/100)</f>
        <v>306.13595624396709</v>
      </c>
      <c r="F141" s="627">
        <f t="shared" si="5"/>
        <v>139.99382295031353</v>
      </c>
      <c r="G141" s="620"/>
      <c r="H141" s="628"/>
      <c r="I141" s="628"/>
      <c r="J141" s="376"/>
      <c r="K141" s="631"/>
    </row>
    <row r="142" spans="1:11" x14ac:dyDescent="0.25">
      <c r="A142" s="556">
        <v>2006</v>
      </c>
      <c r="B142" s="557" t="s">
        <v>15</v>
      </c>
      <c r="C142" s="558">
        <v>300</v>
      </c>
      <c r="D142" s="558">
        <f t="shared" si="4"/>
        <v>428.57142857142856</v>
      </c>
      <c r="E142" s="626">
        <f>E141*(1+IGPDI!D146/100)</f>
        <v>304.75800891667018</v>
      </c>
      <c r="F142" s="627">
        <f t="shared" si="5"/>
        <v>140.62679766641099</v>
      </c>
      <c r="G142" s="620"/>
      <c r="H142" s="628"/>
      <c r="I142" s="628"/>
      <c r="J142" s="376"/>
      <c r="K142" s="631"/>
    </row>
    <row r="143" spans="1:11" x14ac:dyDescent="0.25">
      <c r="A143" s="556">
        <v>2006</v>
      </c>
      <c r="B143" s="557" t="s">
        <v>16</v>
      </c>
      <c r="C143" s="558">
        <v>350</v>
      </c>
      <c r="D143" s="558">
        <f t="shared" si="4"/>
        <v>500</v>
      </c>
      <c r="E143" s="626">
        <f>E142*(1+IGPDI!D147/100)</f>
        <v>304.82787148963519</v>
      </c>
      <c r="F143" s="627">
        <f t="shared" si="5"/>
        <v>164.02699581130693</v>
      </c>
      <c r="G143" s="620"/>
      <c r="H143" s="628"/>
      <c r="I143" s="628"/>
      <c r="J143" s="376"/>
      <c r="K143" s="631"/>
    </row>
    <row r="144" spans="1:11" x14ac:dyDescent="0.25">
      <c r="A144" s="556">
        <v>2006</v>
      </c>
      <c r="B144" s="557" t="s">
        <v>17</v>
      </c>
      <c r="C144" s="558">
        <v>350</v>
      </c>
      <c r="D144" s="558">
        <f t="shared" si="4"/>
        <v>500</v>
      </c>
      <c r="E144" s="626">
        <f>E143*(1+IGPDI!D148/100)</f>
        <v>305.97141149974686</v>
      </c>
      <c r="F144" s="627">
        <f t="shared" si="5"/>
        <v>163.41396000012037</v>
      </c>
      <c r="G144" s="620"/>
      <c r="H144" s="628"/>
      <c r="I144" s="628"/>
      <c r="J144" s="376"/>
      <c r="K144" s="631"/>
    </row>
    <row r="145" spans="1:11" x14ac:dyDescent="0.25">
      <c r="A145" s="556">
        <v>2006</v>
      </c>
      <c r="B145" s="557" t="s">
        <v>32</v>
      </c>
      <c r="C145" s="558">
        <v>350</v>
      </c>
      <c r="D145" s="558">
        <f t="shared" si="4"/>
        <v>500</v>
      </c>
      <c r="E145" s="626">
        <f>E144*(1+IGPDI!D149/100)</f>
        <v>308.0084570483059</v>
      </c>
      <c r="F145" s="627">
        <f t="shared" si="5"/>
        <v>162.33320500079108</v>
      </c>
      <c r="G145" s="620"/>
      <c r="H145" s="628"/>
      <c r="I145" s="628"/>
      <c r="J145" s="376"/>
      <c r="K145" s="631"/>
    </row>
    <row r="146" spans="1:11" x14ac:dyDescent="0.25">
      <c r="A146" s="556">
        <v>2006</v>
      </c>
      <c r="B146" s="557" t="s">
        <v>33</v>
      </c>
      <c r="C146" s="558">
        <v>350</v>
      </c>
      <c r="D146" s="558">
        <f t="shared" si="4"/>
        <v>500</v>
      </c>
      <c r="E146" s="626">
        <f>E145*(1+IGPDI!D150/100)</f>
        <v>308.53242634554357</v>
      </c>
      <c r="F146" s="627">
        <f t="shared" si="5"/>
        <v>162.05752047599063</v>
      </c>
      <c r="G146" s="620"/>
      <c r="H146" s="628"/>
      <c r="I146" s="628"/>
      <c r="J146" s="376"/>
      <c r="K146" s="631"/>
    </row>
    <row r="147" spans="1:11" x14ac:dyDescent="0.25">
      <c r="A147" s="556">
        <v>2006</v>
      </c>
      <c r="B147" s="557" t="s">
        <v>20</v>
      </c>
      <c r="C147" s="558">
        <v>350</v>
      </c>
      <c r="D147" s="558">
        <f t="shared" si="4"/>
        <v>500</v>
      </c>
      <c r="E147" s="626">
        <f>E146*(1+IGPDI!D151/100)</f>
        <v>309.79546812520073</v>
      </c>
      <c r="F147" s="627">
        <f t="shared" si="5"/>
        <v>161.39680900623441</v>
      </c>
      <c r="G147" s="620"/>
      <c r="H147" s="628"/>
      <c r="I147" s="628"/>
      <c r="J147" s="376"/>
      <c r="K147" s="631"/>
    </row>
    <row r="148" spans="1:11" x14ac:dyDescent="0.25">
      <c r="A148" s="556">
        <v>2006</v>
      </c>
      <c r="B148" s="557" t="s">
        <v>21</v>
      </c>
      <c r="C148" s="558">
        <v>350</v>
      </c>
      <c r="D148" s="558">
        <f t="shared" si="4"/>
        <v>500</v>
      </c>
      <c r="E148" s="626">
        <f>E147*(1+IGPDI!D152/100)</f>
        <v>310.5363790963824</v>
      </c>
      <c r="F148" s="627">
        <f t="shared" si="5"/>
        <v>161.01173120358084</v>
      </c>
      <c r="G148" s="620"/>
      <c r="H148" s="628"/>
      <c r="I148" s="628"/>
      <c r="J148" s="376"/>
      <c r="K148" s="631"/>
    </row>
    <row r="149" spans="1:11" x14ac:dyDescent="0.25">
      <c r="A149" s="556">
        <v>2006</v>
      </c>
      <c r="B149" s="557" t="s">
        <v>35</v>
      </c>
      <c r="C149" s="558">
        <v>350</v>
      </c>
      <c r="D149" s="558">
        <f t="shared" si="4"/>
        <v>500</v>
      </c>
      <c r="E149" s="626">
        <f>E148*(1+IGPDI!D153/100)</f>
        <v>313.04040079054982</v>
      </c>
      <c r="F149" s="627">
        <f t="shared" si="5"/>
        <v>159.72379243615325</v>
      </c>
      <c r="G149" s="620"/>
      <c r="H149" s="628"/>
      <c r="I149" s="628"/>
      <c r="J149" s="376"/>
      <c r="K149" s="631"/>
    </row>
    <row r="150" spans="1:11" x14ac:dyDescent="0.25">
      <c r="A150" s="556">
        <v>2006</v>
      </c>
      <c r="B150" s="557" t="s">
        <v>25</v>
      </c>
      <c r="C150" s="558">
        <v>350</v>
      </c>
      <c r="D150" s="558">
        <f t="shared" si="4"/>
        <v>500</v>
      </c>
      <c r="E150" s="626">
        <f>E149*(1+IGPDI!D154/100)</f>
        <v>314.82465413430128</v>
      </c>
      <c r="F150" s="627">
        <f t="shared" si="5"/>
        <v>158.81856564724586</v>
      </c>
      <c r="G150" s="620"/>
      <c r="H150" s="628"/>
      <c r="I150" s="628"/>
      <c r="J150" s="376"/>
      <c r="K150" s="631"/>
    </row>
    <row r="151" spans="1:11" x14ac:dyDescent="0.25">
      <c r="A151" s="556">
        <v>2006</v>
      </c>
      <c r="B151" s="557" t="s">
        <v>26</v>
      </c>
      <c r="C151" s="558">
        <v>350</v>
      </c>
      <c r="D151" s="558">
        <f>100*C151/C$8</f>
        <v>500</v>
      </c>
      <c r="E151" s="626">
        <f>E150*(1+IGPDI!D155/100)</f>
        <v>315.65381256607031</v>
      </c>
      <c r="F151" s="627">
        <f t="shared" si="5"/>
        <v>158.4013815436947</v>
      </c>
      <c r="G151" s="620"/>
      <c r="H151" s="628"/>
      <c r="I151" s="628"/>
      <c r="J151" s="376"/>
      <c r="K151" s="631"/>
    </row>
    <row r="152" spans="1:11" x14ac:dyDescent="0.25">
      <c r="A152" s="556">
        <v>2007</v>
      </c>
      <c r="B152" s="557" t="s">
        <v>27</v>
      </c>
      <c r="C152" s="632">
        <v>350</v>
      </c>
      <c r="D152" s="632">
        <f t="shared" si="4"/>
        <v>500</v>
      </c>
      <c r="E152" s="626">
        <f>E151*(1+IGPDI!D156/100)</f>
        <v>317.00142482879039</v>
      </c>
      <c r="F152" s="627">
        <f t="shared" si="5"/>
        <v>157.72799768015096</v>
      </c>
      <c r="G152" s="620"/>
      <c r="H152" s="628"/>
      <c r="I152" s="628"/>
      <c r="J152" s="376"/>
      <c r="K152" s="631"/>
    </row>
    <row r="153" spans="1:11" x14ac:dyDescent="0.25">
      <c r="A153" s="556">
        <v>2007</v>
      </c>
      <c r="B153" s="557" t="s">
        <v>28</v>
      </c>
      <c r="C153" s="632">
        <v>350</v>
      </c>
      <c r="D153" s="632">
        <f t="shared" si="4"/>
        <v>500</v>
      </c>
      <c r="E153" s="626">
        <f>E152*(1+IGPDI!D157/100)</f>
        <v>317.73865882244758</v>
      </c>
      <c r="F153" s="627">
        <f t="shared" si="5"/>
        <v>157.36202886139836</v>
      </c>
      <c r="G153" s="620"/>
      <c r="H153" s="628"/>
      <c r="I153" s="628"/>
      <c r="J153" s="376"/>
      <c r="K153" s="631"/>
    </row>
    <row r="154" spans="1:11" x14ac:dyDescent="0.25">
      <c r="A154" s="556">
        <v>2007</v>
      </c>
      <c r="B154" s="557" t="s">
        <v>29</v>
      </c>
      <c r="C154" s="632">
        <v>350</v>
      </c>
      <c r="D154" s="632">
        <f t="shared" si="4"/>
        <v>500</v>
      </c>
      <c r="E154" s="626">
        <f>E153*(1+IGPDI!D158/100)</f>
        <v>318.43268833019221</v>
      </c>
      <c r="F154" s="627">
        <f t="shared" si="5"/>
        <v>157.01905561954598</v>
      </c>
      <c r="G154" s="620"/>
      <c r="H154" s="628"/>
      <c r="I154" s="628"/>
      <c r="J154" s="376"/>
      <c r="K154" s="631"/>
    </row>
    <row r="155" spans="1:11" x14ac:dyDescent="0.25">
      <c r="A155" s="556">
        <v>2007</v>
      </c>
      <c r="B155" s="557" t="s">
        <v>16</v>
      </c>
      <c r="C155" s="632">
        <v>380</v>
      </c>
      <c r="D155" s="632">
        <f t="shared" si="4"/>
        <v>542.85714285714289</v>
      </c>
      <c r="E155" s="626">
        <f>E154*(1+IGPDI!D159/100)</f>
        <v>318.86565243369915</v>
      </c>
      <c r="F155" s="627">
        <f t="shared" si="5"/>
        <v>170.2463525669381</v>
      </c>
      <c r="G155" s="620"/>
      <c r="H155" s="628"/>
      <c r="I155" s="628"/>
      <c r="J155" s="376"/>
      <c r="K155" s="631"/>
    </row>
    <row r="156" spans="1:11" x14ac:dyDescent="0.25">
      <c r="A156" s="556">
        <v>2007</v>
      </c>
      <c r="B156" s="557" t="s">
        <v>17</v>
      </c>
      <c r="C156" s="632">
        <v>380</v>
      </c>
      <c r="D156" s="632">
        <f t="shared" si="4"/>
        <v>542.85714285714289</v>
      </c>
      <c r="E156" s="626">
        <f>E155*(1+IGPDI!D160/100)</f>
        <v>319.36480213264662</v>
      </c>
      <c r="F156" s="627">
        <f t="shared" si="5"/>
        <v>169.98026683969695</v>
      </c>
      <c r="G156" s="620"/>
      <c r="H156" s="628"/>
      <c r="I156" s="628"/>
      <c r="J156" s="376"/>
      <c r="K156" s="631"/>
    </row>
    <row r="157" spans="1:11" x14ac:dyDescent="0.25">
      <c r="A157" s="556">
        <v>2007</v>
      </c>
      <c r="B157" s="557" t="s">
        <v>18</v>
      </c>
      <c r="C157" s="632">
        <v>380</v>
      </c>
      <c r="D157" s="632">
        <f t="shared" si="4"/>
        <v>542.85714285714289</v>
      </c>
      <c r="E157" s="626">
        <f>E156*(1+IGPDI!D161/100)</f>
        <v>320.19855678632126</v>
      </c>
      <c r="F157" s="627">
        <f t="shared" si="5"/>
        <v>169.53766072699972</v>
      </c>
      <c r="G157" s="620"/>
      <c r="H157" s="628"/>
      <c r="I157" s="628"/>
      <c r="J157" s="376"/>
      <c r="K157" s="631"/>
    </row>
    <row r="158" spans="1:11" x14ac:dyDescent="0.25">
      <c r="A158" s="556">
        <v>2007</v>
      </c>
      <c r="B158" s="557" t="s">
        <v>19</v>
      </c>
      <c r="C158" s="632">
        <v>380</v>
      </c>
      <c r="D158" s="632">
        <f t="shared" si="4"/>
        <v>542.85714285714289</v>
      </c>
      <c r="E158" s="626">
        <f>E157*(1+IGPDI!D162/100)</f>
        <v>321.39357448177566</v>
      </c>
      <c r="F158" s="627">
        <f t="shared" si="5"/>
        <v>168.90727941044295</v>
      </c>
      <c r="G158" s="620"/>
      <c r="H158" s="628"/>
      <c r="I158" s="628"/>
      <c r="J158" s="376"/>
      <c r="K158" s="631"/>
    </row>
    <row r="159" spans="1:11" x14ac:dyDescent="0.25">
      <c r="A159" s="556">
        <v>2007</v>
      </c>
      <c r="B159" s="557" t="s">
        <v>20</v>
      </c>
      <c r="C159" s="632">
        <v>380</v>
      </c>
      <c r="D159" s="632">
        <f t="shared" si="4"/>
        <v>542.85714285714289</v>
      </c>
      <c r="E159" s="626">
        <f>E158*(1+IGPDI!D163/100)</f>
        <v>325.86753688468053</v>
      </c>
      <c r="F159" s="627">
        <f t="shared" si="5"/>
        <v>166.58828554906088</v>
      </c>
      <c r="G159" s="620"/>
      <c r="H159" s="628"/>
      <c r="I159" s="628"/>
      <c r="J159" s="376"/>
      <c r="K159" s="631"/>
    </row>
    <row r="160" spans="1:11" x14ac:dyDescent="0.25">
      <c r="A160" s="556">
        <v>2007</v>
      </c>
      <c r="B160" s="557" t="s">
        <v>21</v>
      </c>
      <c r="C160" s="632">
        <v>380</v>
      </c>
      <c r="D160" s="632">
        <f t="shared" si="4"/>
        <v>542.85714285714289</v>
      </c>
      <c r="E160" s="626">
        <f>E159*(1+IGPDI!D164/100)</f>
        <v>329.67137013374975</v>
      </c>
      <c r="F160" s="627">
        <f t="shared" si="5"/>
        <v>164.66614696838926</v>
      </c>
      <c r="G160" s="633"/>
      <c r="H160" s="631"/>
      <c r="I160" s="634"/>
      <c r="J160" s="635"/>
      <c r="K160" s="631"/>
    </row>
    <row r="161" spans="1:11" x14ac:dyDescent="0.25">
      <c r="A161" s="556">
        <v>2007</v>
      </c>
      <c r="B161" s="557" t="s">
        <v>22</v>
      </c>
      <c r="C161" s="632">
        <v>380</v>
      </c>
      <c r="D161" s="632">
        <f t="shared" si="4"/>
        <v>542.85714285714289</v>
      </c>
      <c r="E161" s="626">
        <f>E160*(1+IGPDI!D165/100)</f>
        <v>332.13034885324231</v>
      </c>
      <c r="F161" s="627">
        <f t="shared" si="5"/>
        <v>163.44701552612827</v>
      </c>
      <c r="G161" s="633"/>
      <c r="H161" s="631"/>
      <c r="I161" s="634"/>
      <c r="J161" s="635"/>
      <c r="K161" s="631"/>
    </row>
    <row r="162" spans="1:11" x14ac:dyDescent="0.25">
      <c r="A162" s="556">
        <v>2007</v>
      </c>
      <c r="B162" s="557" t="s">
        <v>23</v>
      </c>
      <c r="C162" s="632">
        <v>380</v>
      </c>
      <c r="D162" s="632">
        <f t="shared" si="4"/>
        <v>542.85714285714289</v>
      </c>
      <c r="E162" s="626">
        <f>E161*(1+IGPDI!D166/100)</f>
        <v>335.61612354644456</v>
      </c>
      <c r="F162" s="627">
        <f t="shared" si="5"/>
        <v>161.74942285870813</v>
      </c>
      <c r="G162" s="633"/>
      <c r="H162" s="631"/>
      <c r="I162" s="634"/>
      <c r="J162" s="635"/>
      <c r="K162" s="631"/>
    </row>
    <row r="163" spans="1:11" x14ac:dyDescent="0.25">
      <c r="A163" s="556">
        <v>2007</v>
      </c>
      <c r="B163" s="557" t="s">
        <v>12</v>
      </c>
      <c r="C163" s="632">
        <v>380</v>
      </c>
      <c r="D163" s="632">
        <f t="shared" si="4"/>
        <v>542.85714285714289</v>
      </c>
      <c r="E163" s="626">
        <f>E162*(1+IGPDI!D167/100)</f>
        <v>340.56625453876887</v>
      </c>
      <c r="F163" s="627">
        <f t="shared" si="5"/>
        <v>159.39839476824793</v>
      </c>
      <c r="G163" s="633"/>
      <c r="H163" s="631"/>
      <c r="I163" s="634"/>
      <c r="J163" s="635"/>
      <c r="K163" s="631"/>
    </row>
    <row r="164" spans="1:11" x14ac:dyDescent="0.25">
      <c r="A164" s="556">
        <v>2008</v>
      </c>
      <c r="B164" s="557" t="s">
        <v>13</v>
      </c>
      <c r="C164" s="632">
        <v>380</v>
      </c>
      <c r="D164" s="632">
        <f>100*C164/C$8</f>
        <v>542.85714285714289</v>
      </c>
      <c r="E164" s="626">
        <f>E163*(1+IGPDI!D168/100)</f>
        <v>343.92517350737671</v>
      </c>
      <c r="F164" s="627">
        <f t="shared" si="5"/>
        <v>157.84164250643298</v>
      </c>
      <c r="G164" s="633"/>
      <c r="H164" s="631"/>
      <c r="I164" s="634"/>
      <c r="J164" s="635"/>
      <c r="K164" s="631"/>
    </row>
    <row r="165" spans="1:11" x14ac:dyDescent="0.25">
      <c r="A165" s="556">
        <v>2008</v>
      </c>
      <c r="B165" s="557" t="s">
        <v>14</v>
      </c>
      <c r="C165" s="632">
        <v>380</v>
      </c>
      <c r="D165" s="632">
        <f t="shared" si="4"/>
        <v>542.85714285714289</v>
      </c>
      <c r="E165" s="626">
        <f>E164*(1+IGPDI!D169/100)</f>
        <v>345.22958128418418</v>
      </c>
      <c r="F165" s="627">
        <f t="shared" si="5"/>
        <v>157.24525715259514</v>
      </c>
      <c r="G165" s="633"/>
      <c r="H165" s="631"/>
      <c r="I165" s="634"/>
      <c r="J165" s="635"/>
      <c r="K165" s="631"/>
    </row>
    <row r="166" spans="1:11" x14ac:dyDescent="0.25">
      <c r="A166" s="556">
        <v>2008</v>
      </c>
      <c r="B166" s="557" t="s">
        <v>15</v>
      </c>
      <c r="C166" s="632">
        <v>415</v>
      </c>
      <c r="D166" s="632">
        <f t="shared" si="4"/>
        <v>592.85714285714289</v>
      </c>
      <c r="E166" s="626">
        <f>E165*(1+IGPDI!D170/100)</f>
        <v>347.65270947281317</v>
      </c>
      <c r="F166" s="627">
        <f t="shared" si="5"/>
        <v>170.53143171418458</v>
      </c>
      <c r="G166" s="633"/>
      <c r="H166" s="631"/>
      <c r="I166" s="634"/>
      <c r="J166" s="635"/>
      <c r="K166" s="631"/>
    </row>
    <row r="167" spans="1:11" x14ac:dyDescent="0.25">
      <c r="A167" s="556">
        <v>2008</v>
      </c>
      <c r="B167" s="557" t="s">
        <v>16</v>
      </c>
      <c r="C167" s="632">
        <v>415</v>
      </c>
      <c r="D167" s="632">
        <f t="shared" si="4"/>
        <v>592.85714285714289</v>
      </c>
      <c r="E167" s="626">
        <f>E166*(1+IGPDI!D171/100)</f>
        <v>351.53192076113413</v>
      </c>
      <c r="F167" s="627">
        <f t="shared" si="5"/>
        <v>168.64958993581388</v>
      </c>
      <c r="G167" s="633"/>
      <c r="H167" s="631"/>
      <c r="I167" s="634"/>
      <c r="J167" s="635"/>
      <c r="K167" s="631"/>
    </row>
    <row r="168" spans="1:11" x14ac:dyDescent="0.25">
      <c r="A168" s="556">
        <v>2008</v>
      </c>
      <c r="B168" s="557" t="s">
        <v>17</v>
      </c>
      <c r="C168" s="632">
        <v>415</v>
      </c>
      <c r="D168" s="632">
        <f t="shared" si="4"/>
        <v>592.85714285714289</v>
      </c>
      <c r="E168" s="626">
        <f>E167*(1+IGPDI!D172/100)</f>
        <v>358.12382221813647</v>
      </c>
      <c r="F168" s="627">
        <f t="shared" si="5"/>
        <v>165.54529636848014</v>
      </c>
      <c r="G168" s="633"/>
      <c r="H168" s="631"/>
      <c r="I168" s="634"/>
      <c r="J168" s="635"/>
      <c r="K168" s="631"/>
    </row>
    <row r="169" spans="1:11" x14ac:dyDescent="0.25">
      <c r="A169" s="556">
        <v>2008</v>
      </c>
      <c r="B169" s="557" t="s">
        <v>18</v>
      </c>
      <c r="C169" s="632">
        <v>415</v>
      </c>
      <c r="D169" s="632">
        <f t="shared" si="4"/>
        <v>592.85714285714289</v>
      </c>
      <c r="E169" s="626">
        <f>E168*(1+IGPDI!D173/100)</f>
        <v>364.89773406260031</v>
      </c>
      <c r="F169" s="627">
        <f t="shared" si="5"/>
        <v>162.47213603015547</v>
      </c>
      <c r="G169" s="633"/>
      <c r="H169" s="631"/>
      <c r="I169" s="634"/>
      <c r="J169" s="635"/>
      <c r="K169" s="631"/>
    </row>
    <row r="170" spans="1:11" x14ac:dyDescent="0.25">
      <c r="A170" s="556">
        <v>2008</v>
      </c>
      <c r="B170" s="557" t="s">
        <v>33</v>
      </c>
      <c r="C170" s="632">
        <v>415</v>
      </c>
      <c r="D170" s="632">
        <f t="shared" si="4"/>
        <v>592.85714285714289</v>
      </c>
      <c r="E170" s="626">
        <f>E169*(1+IGPDI!D174/100)</f>
        <v>368.99021004734084</v>
      </c>
      <c r="F170" s="627">
        <f t="shared" si="5"/>
        <v>160.67015511904239</v>
      </c>
      <c r="G170" s="633"/>
      <c r="H170" s="631"/>
      <c r="I170" s="634"/>
      <c r="J170" s="635"/>
      <c r="K170" s="631"/>
    </row>
    <row r="171" spans="1:11" x14ac:dyDescent="0.25">
      <c r="A171" s="556">
        <v>2008</v>
      </c>
      <c r="B171" s="557" t="s">
        <v>34</v>
      </c>
      <c r="C171" s="632">
        <v>415</v>
      </c>
      <c r="D171" s="632">
        <f t="shared" si="4"/>
        <v>592.85714285714289</v>
      </c>
      <c r="E171" s="626">
        <f>E170*(1+IGPDI!D175/100)</f>
        <v>367.57825067794249</v>
      </c>
      <c r="F171" s="627">
        <f t="shared" si="5"/>
        <v>161.2873290962421</v>
      </c>
      <c r="G171" s="633"/>
      <c r="H171" s="631"/>
      <c r="I171" s="634"/>
      <c r="J171" s="635"/>
      <c r="K171" s="631"/>
    </row>
    <row r="172" spans="1:11" x14ac:dyDescent="0.25">
      <c r="A172" s="556">
        <v>2008</v>
      </c>
      <c r="B172" s="557" t="s">
        <v>36</v>
      </c>
      <c r="C172" s="632">
        <v>415</v>
      </c>
      <c r="D172" s="632">
        <f t="shared" si="4"/>
        <v>592.85714285714289</v>
      </c>
      <c r="E172" s="626">
        <f>E171*(1+IGPDI!D176/100)</f>
        <v>368.91758974123246</v>
      </c>
      <c r="F172" s="627">
        <f t="shared" si="5"/>
        <v>160.70178255067398</v>
      </c>
      <c r="G172" s="633"/>
      <c r="H172" s="631"/>
      <c r="I172" s="634"/>
      <c r="J172" s="635"/>
      <c r="K172" s="631"/>
    </row>
    <row r="173" spans="1:11" x14ac:dyDescent="0.25">
      <c r="A173" s="556">
        <v>2008</v>
      </c>
      <c r="B173" s="557" t="s">
        <v>35</v>
      </c>
      <c r="C173" s="632">
        <v>415</v>
      </c>
      <c r="D173" s="632">
        <f t="shared" si="4"/>
        <v>592.85714285714289</v>
      </c>
      <c r="E173" s="626">
        <f>E172*(1+IGPDI!D177/100)</f>
        <v>372.94388013053248</v>
      </c>
      <c r="F173" s="627">
        <f t="shared" si="5"/>
        <v>158.96685116528511</v>
      </c>
      <c r="G173" s="633"/>
      <c r="H173" s="631"/>
      <c r="I173" s="634"/>
      <c r="J173" s="635"/>
      <c r="K173" s="631"/>
    </row>
    <row r="174" spans="1:11" x14ac:dyDescent="0.25">
      <c r="A174" s="556">
        <v>2008</v>
      </c>
      <c r="B174" s="557" t="s">
        <v>25</v>
      </c>
      <c r="C174" s="632">
        <v>415</v>
      </c>
      <c r="D174" s="632">
        <f t="shared" si="4"/>
        <v>592.85714285714289</v>
      </c>
      <c r="E174" s="626">
        <f>E173*(1+IGPDI!D178/100)</f>
        <v>373.19667233534017</v>
      </c>
      <c r="F174" s="627">
        <f t="shared" si="5"/>
        <v>158.85917180001655</v>
      </c>
      <c r="G174" s="633"/>
      <c r="H174" s="631"/>
      <c r="I174" s="634"/>
      <c r="J174" s="635"/>
      <c r="K174" s="631"/>
    </row>
    <row r="175" spans="1:11" x14ac:dyDescent="0.25">
      <c r="A175" s="556">
        <v>2008</v>
      </c>
      <c r="B175" s="557" t="s">
        <v>26</v>
      </c>
      <c r="C175" s="632">
        <v>415</v>
      </c>
      <c r="D175" s="632">
        <f t="shared" si="4"/>
        <v>592.85714285714289</v>
      </c>
      <c r="E175" s="626">
        <f>E174*(1+IGPDI!D179/100)</f>
        <v>371.5447901824698</v>
      </c>
      <c r="F175" s="627">
        <f t="shared" si="5"/>
        <v>159.56545711917644</v>
      </c>
      <c r="G175" s="633"/>
      <c r="H175" s="631"/>
      <c r="I175" s="634"/>
      <c r="J175" s="635"/>
      <c r="K175" s="631"/>
    </row>
    <row r="176" spans="1:11" x14ac:dyDescent="0.25">
      <c r="A176" s="556">
        <v>2009</v>
      </c>
      <c r="B176" s="557" t="s">
        <v>27</v>
      </c>
      <c r="C176" s="632">
        <v>415</v>
      </c>
      <c r="D176" s="632">
        <f t="shared" si="4"/>
        <v>592.85714285714289</v>
      </c>
      <c r="E176" s="626">
        <f>E175*(1+IGPDI!D180/100)</f>
        <v>371.59902560095583</v>
      </c>
      <c r="F176" s="627">
        <f t="shared" si="5"/>
        <v>159.54216830853227</v>
      </c>
      <c r="G176" s="633"/>
      <c r="H176" s="631"/>
      <c r="I176" s="634"/>
      <c r="J176" s="635"/>
      <c r="K176" s="631"/>
    </row>
    <row r="177" spans="1:11" x14ac:dyDescent="0.25">
      <c r="A177" s="556">
        <v>2009</v>
      </c>
      <c r="B177" s="557" t="s">
        <v>28</v>
      </c>
      <c r="C177" s="632">
        <v>465</v>
      </c>
      <c r="D177" s="632">
        <f t="shared" si="4"/>
        <v>664.28571428571433</v>
      </c>
      <c r="E177" s="626">
        <f>E176*(1+IGPDI!D181/100)</f>
        <v>371.13296869972862</v>
      </c>
      <c r="F177" s="627">
        <f t="shared" si="5"/>
        <v>178.98860255208584</v>
      </c>
      <c r="G177" s="633"/>
      <c r="H177" s="631"/>
      <c r="I177" s="634"/>
      <c r="J177" s="635"/>
      <c r="K177" s="631"/>
    </row>
    <row r="178" spans="1:11" x14ac:dyDescent="0.25">
      <c r="A178" s="556">
        <v>2009</v>
      </c>
      <c r="B178" s="557" t="s">
        <v>29</v>
      </c>
      <c r="C178" s="632">
        <v>465</v>
      </c>
      <c r="D178" s="632">
        <f t="shared" si="4"/>
        <v>664.28571428571433</v>
      </c>
      <c r="E178" s="626">
        <f>E177*(1+IGPDI!D182/100)</f>
        <v>368.02224571402286</v>
      </c>
      <c r="F178" s="627">
        <f t="shared" si="5"/>
        <v>180.50151098798179</v>
      </c>
      <c r="G178" s="633"/>
      <c r="H178" s="631"/>
      <c r="I178" s="634"/>
      <c r="J178" s="635"/>
      <c r="K178" s="631"/>
    </row>
    <row r="179" spans="1:11" x14ac:dyDescent="0.25">
      <c r="A179" s="556">
        <v>2009</v>
      </c>
      <c r="B179" s="557" t="s">
        <v>30</v>
      </c>
      <c r="C179" s="632">
        <v>465</v>
      </c>
      <c r="D179" s="632">
        <f t="shared" si="4"/>
        <v>664.28571428571433</v>
      </c>
      <c r="E179" s="626">
        <f>E178*(1+IGPDI!D183/100)</f>
        <v>368.18495196948084</v>
      </c>
      <c r="F179" s="627">
        <f t="shared" si="5"/>
        <v>180.42174475962221</v>
      </c>
      <c r="G179" s="633"/>
      <c r="H179" s="631"/>
      <c r="I179" s="634"/>
      <c r="J179" s="635"/>
      <c r="K179" s="631"/>
    </row>
    <row r="180" spans="1:11" x14ac:dyDescent="0.25">
      <c r="A180" s="556">
        <v>2009</v>
      </c>
      <c r="B180" s="557" t="s">
        <v>31</v>
      </c>
      <c r="C180" s="632">
        <v>465</v>
      </c>
      <c r="D180" s="632">
        <f t="shared" si="4"/>
        <v>664.28571428571433</v>
      </c>
      <c r="E180" s="626">
        <f>E179*(1+IGPDI!D184/100)</f>
        <v>368.83026152502623</v>
      </c>
      <c r="F180" s="627">
        <f t="shared" si="5"/>
        <v>180.10607685471615</v>
      </c>
      <c r="G180" s="633"/>
      <c r="H180" s="631"/>
      <c r="I180" s="634"/>
      <c r="J180" s="635"/>
      <c r="K180" s="631"/>
    </row>
    <row r="181" spans="1:11" x14ac:dyDescent="0.25">
      <c r="A181" s="556">
        <v>2009</v>
      </c>
      <c r="B181" s="557" t="s">
        <v>32</v>
      </c>
      <c r="C181" s="632">
        <v>465</v>
      </c>
      <c r="D181" s="632">
        <f t="shared" si="4"/>
        <v>664.28571428571433</v>
      </c>
      <c r="E181" s="626">
        <f>E180*(1+IGPDI!D185/100)</f>
        <v>367.6664981385299</v>
      </c>
      <c r="F181" s="627">
        <f t="shared" si="5"/>
        <v>180.67616104511754</v>
      </c>
      <c r="G181" s="633"/>
      <c r="H181" s="631"/>
      <c r="I181" s="634"/>
      <c r="J181" s="635"/>
      <c r="K181" s="631"/>
    </row>
    <row r="182" spans="1:11" x14ac:dyDescent="0.25">
      <c r="A182" s="556">
        <v>2009</v>
      </c>
      <c r="B182" s="557" t="s">
        <v>33</v>
      </c>
      <c r="C182" s="632">
        <v>465</v>
      </c>
      <c r="D182" s="632">
        <f t="shared" si="4"/>
        <v>664.28571428571433</v>
      </c>
      <c r="E182" s="626">
        <f>E181*(1+IGPDI!D186/100)</f>
        <v>365.30128234591143</v>
      </c>
      <c r="F182" s="627">
        <f t="shared" si="5"/>
        <v>181.8459847772142</v>
      </c>
      <c r="G182" s="633"/>
      <c r="H182" s="631"/>
      <c r="I182" s="634"/>
      <c r="J182" s="635"/>
      <c r="K182" s="631"/>
    </row>
    <row r="183" spans="1:11" x14ac:dyDescent="0.25">
      <c r="A183" s="556">
        <v>2009</v>
      </c>
      <c r="B183" s="557" t="s">
        <v>34</v>
      </c>
      <c r="C183" s="632">
        <v>465</v>
      </c>
      <c r="D183" s="632">
        <f t="shared" si="4"/>
        <v>664.28571428571433</v>
      </c>
      <c r="E183" s="626">
        <f>E182*(1+IGPDI!D187/100)</f>
        <v>365.63680654501979</v>
      </c>
      <c r="F183" s="627">
        <f t="shared" si="5"/>
        <v>181.6791150110657</v>
      </c>
      <c r="G183" s="633"/>
      <c r="H183" s="631"/>
      <c r="I183" s="634"/>
      <c r="J183" s="635"/>
      <c r="K183" s="631"/>
    </row>
    <row r="184" spans="1:11" x14ac:dyDescent="0.25">
      <c r="A184" s="556">
        <v>2009</v>
      </c>
      <c r="B184" s="557" t="s">
        <v>36</v>
      </c>
      <c r="C184" s="632">
        <v>465</v>
      </c>
      <c r="D184" s="632">
        <f t="shared" si="4"/>
        <v>664.28571428571433</v>
      </c>
      <c r="E184" s="626">
        <f>E183*(1+IGPDI!D188/100)</f>
        <v>366.53766603851619</v>
      </c>
      <c r="F184" s="627">
        <f t="shared" si="5"/>
        <v>181.23259240045209</v>
      </c>
      <c r="G184" s="633"/>
      <c r="H184" s="631"/>
      <c r="I184" s="634"/>
      <c r="J184" s="635"/>
      <c r="K184" s="631"/>
    </row>
    <row r="185" spans="1:11" x14ac:dyDescent="0.25">
      <c r="A185" s="556">
        <v>2009</v>
      </c>
      <c r="B185" s="557" t="s">
        <v>35</v>
      </c>
      <c r="C185" s="632">
        <v>465</v>
      </c>
      <c r="D185" s="632">
        <f t="shared" si="4"/>
        <v>664.28571428571433</v>
      </c>
      <c r="E185" s="626">
        <f>E184*(1+IGPDI!D189/100)</f>
        <v>366.38782920439382</v>
      </c>
      <c r="F185" s="627">
        <f t="shared" si="5"/>
        <v>181.30670872124813</v>
      </c>
      <c r="G185" s="633"/>
      <c r="H185" s="631"/>
      <c r="I185" s="634"/>
      <c r="J185" s="635"/>
      <c r="K185" s="631"/>
    </row>
    <row r="186" spans="1:11" x14ac:dyDescent="0.25">
      <c r="A186" s="556">
        <v>2009</v>
      </c>
      <c r="B186" s="557" t="s">
        <v>25</v>
      </c>
      <c r="C186" s="632">
        <v>465</v>
      </c>
      <c r="D186" s="632">
        <f t="shared" si="4"/>
        <v>664.28571428571433</v>
      </c>
      <c r="E186" s="626">
        <f>E185*(1+IGPDI!D190/100)</f>
        <v>366.64705611986932</v>
      </c>
      <c r="F186" s="627">
        <f t="shared" si="5"/>
        <v>181.1785211957455</v>
      </c>
      <c r="G186" s="633"/>
      <c r="H186" s="631"/>
      <c r="I186" s="634"/>
      <c r="J186" s="635"/>
      <c r="K186" s="631"/>
    </row>
    <row r="187" spans="1:11" x14ac:dyDescent="0.25">
      <c r="A187" s="556">
        <v>2009</v>
      </c>
      <c r="B187" s="557" t="s">
        <v>26</v>
      </c>
      <c r="C187" s="632">
        <v>465</v>
      </c>
      <c r="D187" s="632">
        <f t="shared" si="4"/>
        <v>664.28571428571433</v>
      </c>
      <c r="E187" s="626">
        <f>E186*(1+IGPDI!D191/100)</f>
        <v>366.2333961483659</v>
      </c>
      <c r="F187" s="627">
        <f t="shared" si="5"/>
        <v>181.38316201415</v>
      </c>
      <c r="G187" s="633"/>
      <c r="H187" s="631"/>
      <c r="I187" s="634"/>
      <c r="J187" s="635"/>
      <c r="K187" s="631"/>
    </row>
    <row r="188" spans="1:11" x14ac:dyDescent="0.25">
      <c r="A188" s="556">
        <v>2010</v>
      </c>
      <c r="B188" s="557" t="s">
        <v>27</v>
      </c>
      <c r="C188" s="632">
        <v>510</v>
      </c>
      <c r="D188" s="632">
        <f t="shared" si="4"/>
        <v>728.57142857142856</v>
      </c>
      <c r="E188" s="626">
        <f>E187*(1+IGPDI!D192/100)</f>
        <v>369.92692007170092</v>
      </c>
      <c r="F188" s="627">
        <f t="shared" si="5"/>
        <v>196.95009717871127</v>
      </c>
      <c r="G188" s="633"/>
      <c r="H188" s="631"/>
      <c r="I188" s="634"/>
      <c r="J188" s="635"/>
      <c r="K188" s="631"/>
    </row>
    <row r="189" spans="1:11" x14ac:dyDescent="0.25">
      <c r="A189" s="556">
        <v>2010</v>
      </c>
      <c r="B189" s="557" t="s">
        <v>28</v>
      </c>
      <c r="C189" s="632">
        <v>510</v>
      </c>
      <c r="D189" s="632">
        <f t="shared" si="4"/>
        <v>728.57142857142856</v>
      </c>
      <c r="E189" s="626">
        <f>E188*(1+IGPDI!D193/100)</f>
        <v>373.97251459300441</v>
      </c>
      <c r="F189" s="627">
        <f t="shared" si="5"/>
        <v>194.81951216771515</v>
      </c>
      <c r="G189" s="633"/>
      <c r="H189" s="631"/>
      <c r="I189" s="634"/>
      <c r="J189" s="635"/>
      <c r="K189" s="631"/>
    </row>
    <row r="190" spans="1:11" x14ac:dyDescent="0.25">
      <c r="A190" s="556">
        <v>2010</v>
      </c>
      <c r="B190" s="557" t="s">
        <v>29</v>
      </c>
      <c r="C190" s="632">
        <v>510</v>
      </c>
      <c r="D190" s="632">
        <f t="shared" si="4"/>
        <v>728.57142857142856</v>
      </c>
      <c r="E190" s="626">
        <f>E189*(1+IGPDI!D194/100)</f>
        <v>376.33773038562288</v>
      </c>
      <c r="F190" s="627">
        <f t="shared" si="5"/>
        <v>193.59510613641675</v>
      </c>
      <c r="G190" s="633"/>
      <c r="H190" s="631"/>
      <c r="I190" s="634"/>
      <c r="J190" s="635"/>
      <c r="K190" s="631"/>
    </row>
    <row r="191" spans="1:11" x14ac:dyDescent="0.25">
      <c r="A191" s="556">
        <v>2010</v>
      </c>
      <c r="B191" s="557" t="s">
        <v>16</v>
      </c>
      <c r="C191" s="632">
        <v>510</v>
      </c>
      <c r="D191" s="632">
        <f t="shared" si="4"/>
        <v>728.57142857142856</v>
      </c>
      <c r="E191" s="626">
        <f>E190*(1+IGPDI!D195/100)</f>
        <v>379.0421473548742</v>
      </c>
      <c r="F191" s="627">
        <f t="shared" si="5"/>
        <v>192.21382995419538</v>
      </c>
      <c r="G191" s="633"/>
      <c r="H191" s="631"/>
      <c r="I191" s="634"/>
      <c r="J191" s="635"/>
      <c r="K191" s="631"/>
    </row>
    <row r="192" spans="1:11" x14ac:dyDescent="0.25">
      <c r="A192" s="556">
        <v>2010</v>
      </c>
      <c r="B192" s="557" t="s">
        <v>17</v>
      </c>
      <c r="C192" s="632">
        <v>510</v>
      </c>
      <c r="D192" s="632">
        <f t="shared" si="4"/>
        <v>728.57142857142856</v>
      </c>
      <c r="E192" s="626">
        <f>E191*(1+IGPDI!D196/100)</f>
        <v>384.98965850071232</v>
      </c>
      <c r="F192" s="627">
        <f t="shared" si="5"/>
        <v>189.24441539773997</v>
      </c>
      <c r="G192" s="633"/>
      <c r="H192" s="631"/>
      <c r="I192" s="634"/>
      <c r="J192" s="635"/>
      <c r="K192" s="631"/>
    </row>
    <row r="193" spans="1:11" x14ac:dyDescent="0.25">
      <c r="A193" s="556">
        <v>2010</v>
      </c>
      <c r="B193" s="557" t="s">
        <v>18</v>
      </c>
      <c r="C193" s="632">
        <v>510</v>
      </c>
      <c r="D193" s="632">
        <f t="shared" si="4"/>
        <v>728.57142857142856</v>
      </c>
      <c r="E193" s="626">
        <f>E192*(1+IGPDI!D197/100)</f>
        <v>386.30417796571214</v>
      </c>
      <c r="F193" s="627">
        <f t="shared" si="5"/>
        <v>188.60045273341456</v>
      </c>
      <c r="G193" s="633"/>
      <c r="H193" s="631"/>
      <c r="I193" s="634"/>
      <c r="J193" s="635"/>
      <c r="K193" s="631"/>
    </row>
    <row r="194" spans="1:11" x14ac:dyDescent="0.25">
      <c r="A194" s="556">
        <v>2010</v>
      </c>
      <c r="B194" s="557" t="s">
        <v>19</v>
      </c>
      <c r="C194" s="632">
        <v>510</v>
      </c>
      <c r="D194" s="632">
        <f t="shared" si="4"/>
        <v>728.57142857142856</v>
      </c>
      <c r="E194" s="626">
        <f>E193*(1+IGPDI!D198/100)</f>
        <v>387.14344808567353</v>
      </c>
      <c r="F194" s="627">
        <f t="shared" si="5"/>
        <v>188.19159465930008</v>
      </c>
      <c r="G194" s="633"/>
      <c r="H194" s="631"/>
      <c r="I194" s="634"/>
      <c r="J194" s="635"/>
      <c r="K194" s="631"/>
    </row>
    <row r="195" spans="1:11" x14ac:dyDescent="0.25">
      <c r="A195" s="556">
        <v>2010</v>
      </c>
      <c r="B195" s="557" t="s">
        <v>20</v>
      </c>
      <c r="C195" s="632">
        <v>510</v>
      </c>
      <c r="D195" s="632">
        <f t="shared" si="4"/>
        <v>728.57142857142856</v>
      </c>
      <c r="E195" s="626">
        <f>E194*(1+IGPDI!D199/100)</f>
        <v>391.40322654777771</v>
      </c>
      <c r="F195" s="627">
        <f t="shared" si="5"/>
        <v>186.14343959233904</v>
      </c>
      <c r="G195" s="633"/>
      <c r="H195" s="631"/>
      <c r="I195" s="634"/>
      <c r="J195" s="635"/>
      <c r="K195" s="631"/>
    </row>
    <row r="196" spans="1:11" x14ac:dyDescent="0.25">
      <c r="A196" s="556">
        <v>2010</v>
      </c>
      <c r="B196" s="557" t="s">
        <v>21</v>
      </c>
      <c r="C196" s="632">
        <v>510</v>
      </c>
      <c r="D196" s="632">
        <f t="shared" si="4"/>
        <v>728.57142857142856</v>
      </c>
      <c r="E196" s="626">
        <f>E195*(1+IGPDI!D200/100)</f>
        <v>395.69150158569653</v>
      </c>
      <c r="F196" s="627">
        <f t="shared" si="5"/>
        <v>184.12612493615532</v>
      </c>
      <c r="G196" s="633"/>
      <c r="H196" s="631"/>
      <c r="I196" s="634"/>
      <c r="J196" s="635"/>
      <c r="K196" s="631"/>
    </row>
    <row r="197" spans="1:11" x14ac:dyDescent="0.25">
      <c r="A197" s="556">
        <v>2010</v>
      </c>
      <c r="B197" s="557" t="s">
        <v>22</v>
      </c>
      <c r="C197" s="632">
        <v>510</v>
      </c>
      <c r="D197" s="632">
        <f t="shared" si="4"/>
        <v>728.57142857142856</v>
      </c>
      <c r="E197" s="626">
        <f>E196*(1+IGPDI!D201/100)</f>
        <v>399.7628349496714</v>
      </c>
      <c r="F197" s="627">
        <f t="shared" si="5"/>
        <v>182.2509160120282</v>
      </c>
      <c r="G197" s="633"/>
      <c r="H197" s="631"/>
      <c r="I197" s="634"/>
      <c r="J197" s="635"/>
      <c r="K197" s="631"/>
    </row>
    <row r="198" spans="1:11" x14ac:dyDescent="0.25">
      <c r="A198" s="556">
        <v>2010</v>
      </c>
      <c r="B198" s="557" t="s">
        <v>23</v>
      </c>
      <c r="C198" s="632">
        <v>510</v>
      </c>
      <c r="D198" s="632">
        <f t="shared" si="4"/>
        <v>728.57142857142856</v>
      </c>
      <c r="E198" s="626">
        <f>E197*(1+IGPDI!D202/100)</f>
        <v>406.07988233671927</v>
      </c>
      <c r="F198" s="627">
        <f t="shared" si="5"/>
        <v>179.41578991280858</v>
      </c>
      <c r="G198" s="633"/>
      <c r="H198" s="631"/>
      <c r="I198" s="634"/>
      <c r="J198" s="635"/>
      <c r="K198" s="631"/>
    </row>
    <row r="199" spans="1:11" x14ac:dyDescent="0.25">
      <c r="A199" s="556">
        <v>2010</v>
      </c>
      <c r="B199" s="557" t="s">
        <v>12</v>
      </c>
      <c r="C199" s="632">
        <v>510</v>
      </c>
      <c r="D199" s="632">
        <f t="shared" si="4"/>
        <v>728.57142857142856</v>
      </c>
      <c r="E199" s="626">
        <f>E198*(1+IGPDI!D203/100)</f>
        <v>407.6177781863309</v>
      </c>
      <c r="F199" s="627">
        <f t="shared" si="5"/>
        <v>178.73887439678424</v>
      </c>
      <c r="G199" s="633"/>
      <c r="H199" s="631"/>
      <c r="I199" s="634"/>
      <c r="J199" s="635"/>
      <c r="K199" s="631"/>
    </row>
    <row r="200" spans="1:11" x14ac:dyDescent="0.25">
      <c r="A200" s="556">
        <v>2011</v>
      </c>
      <c r="B200" s="557" t="s">
        <v>13</v>
      </c>
      <c r="C200" s="632">
        <v>540</v>
      </c>
      <c r="D200" s="632">
        <f t="shared" si="4"/>
        <v>771.42857142857144</v>
      </c>
      <c r="E200" s="626">
        <f>E199*(1+IGPDI!D204/100)</f>
        <v>411.60454106724274</v>
      </c>
      <c r="F200" s="627">
        <f t="shared" si="5"/>
        <v>187.4198397880516</v>
      </c>
      <c r="G200" s="633"/>
      <c r="H200" s="631"/>
      <c r="I200" s="634"/>
      <c r="J200" s="635"/>
      <c r="K200" s="631"/>
    </row>
    <row r="201" spans="1:11" x14ac:dyDescent="0.25">
      <c r="A201" s="556">
        <v>2011</v>
      </c>
      <c r="B201" s="557" t="s">
        <v>14</v>
      </c>
      <c r="C201" s="632">
        <v>540</v>
      </c>
      <c r="D201" s="632">
        <f t="shared" ref="D201:D264" si="6">100*C201/C$8</f>
        <v>771.42857142857144</v>
      </c>
      <c r="E201" s="626">
        <f>E200*(1+IGPDI!D205/100)</f>
        <v>415.54166475157427</v>
      </c>
      <c r="F201" s="627">
        <f t="shared" si="5"/>
        <v>185.64409705817565</v>
      </c>
      <c r="G201" s="633"/>
      <c r="H201" s="631"/>
      <c r="I201" s="634"/>
      <c r="J201" s="635"/>
      <c r="K201" s="631"/>
    </row>
    <row r="202" spans="1:11" ht="15.75" customHeight="1" x14ac:dyDescent="0.25">
      <c r="A202" s="556">
        <v>2011</v>
      </c>
      <c r="B202" s="557" t="s">
        <v>15</v>
      </c>
      <c r="C202" s="632">
        <v>545</v>
      </c>
      <c r="D202" s="632">
        <f t="shared" si="6"/>
        <v>778.57142857142856</v>
      </c>
      <c r="E202" s="626">
        <f>E201*(1+IGPDI!D206/100)</f>
        <v>418.07694075469965</v>
      </c>
      <c r="F202" s="627">
        <f t="shared" ref="F202:F265" si="7">+D202*E$8/E202</f>
        <v>186.22682876648861</v>
      </c>
      <c r="G202" s="633"/>
      <c r="H202" s="631"/>
      <c r="I202" s="634"/>
      <c r="J202" s="635"/>
      <c r="K202" s="631"/>
    </row>
    <row r="203" spans="1:11" ht="15.75" customHeight="1" x14ac:dyDescent="0.25">
      <c r="A203" s="556">
        <v>2011</v>
      </c>
      <c r="B203" s="557" t="s">
        <v>16</v>
      </c>
      <c r="C203" s="632">
        <v>545</v>
      </c>
      <c r="D203" s="632">
        <f t="shared" si="6"/>
        <v>778.57142857142856</v>
      </c>
      <c r="E203" s="626">
        <f>E202*(1+IGPDI!D207/100)</f>
        <v>420.1489175897413</v>
      </c>
      <c r="F203" s="627">
        <f t="shared" si="7"/>
        <v>185.30844564299761</v>
      </c>
      <c r="G203" s="633"/>
      <c r="H203" s="631"/>
      <c r="I203" s="634"/>
      <c r="J203" s="635"/>
      <c r="K203" s="631"/>
    </row>
    <row r="204" spans="1:11" ht="15.75" customHeight="1" x14ac:dyDescent="0.25">
      <c r="A204" s="556">
        <v>2011</v>
      </c>
      <c r="B204" s="557" t="s">
        <v>17</v>
      </c>
      <c r="C204" s="632">
        <v>545</v>
      </c>
      <c r="D204" s="632">
        <f t="shared" si="6"/>
        <v>778.57142857142856</v>
      </c>
      <c r="E204" s="626">
        <f>E203*(1+IGPDI!D208/100)</f>
        <v>420.17741416555594</v>
      </c>
      <c r="F204" s="627">
        <f t="shared" si="7"/>
        <v>185.29587796088921</v>
      </c>
      <c r="G204" s="633"/>
      <c r="H204" s="631"/>
      <c r="I204" s="634"/>
      <c r="J204" s="635"/>
      <c r="K204" s="631"/>
    </row>
    <row r="205" spans="1:11" ht="15.75" customHeight="1" x14ac:dyDescent="0.25">
      <c r="A205" s="556">
        <v>2011</v>
      </c>
      <c r="B205" s="557" t="s">
        <v>18</v>
      </c>
      <c r="C205" s="632">
        <v>545</v>
      </c>
      <c r="D205" s="632">
        <f t="shared" si="6"/>
        <v>778.57142857142856</v>
      </c>
      <c r="E205" s="626">
        <f>E204*(1+IGPDI!D209/100)</f>
        <v>419.62586753688475</v>
      </c>
      <c r="F205" s="627">
        <f t="shared" si="7"/>
        <v>185.53942661863971</v>
      </c>
      <c r="G205" s="633"/>
      <c r="H205" s="631"/>
      <c r="I205" s="634"/>
      <c r="J205" s="635"/>
      <c r="K205" s="631"/>
    </row>
    <row r="206" spans="1:11" ht="15.75" customHeight="1" x14ac:dyDescent="0.25">
      <c r="A206" s="556">
        <v>2011</v>
      </c>
      <c r="B206" s="557" t="s">
        <v>19</v>
      </c>
      <c r="C206" s="632">
        <v>545</v>
      </c>
      <c r="D206" s="632">
        <f t="shared" si="6"/>
        <v>778.57142857142856</v>
      </c>
      <c r="E206" s="626">
        <f>E205*(1+IGPDI!D210/100)</f>
        <v>419.41260284046518</v>
      </c>
      <c r="F206" s="627">
        <f t="shared" si="7"/>
        <v>185.63377049200858</v>
      </c>
      <c r="G206" s="633"/>
      <c r="H206" s="631"/>
      <c r="I206" s="634"/>
      <c r="J206" s="635"/>
      <c r="K206" s="631"/>
    </row>
    <row r="207" spans="1:11" ht="15.75" customHeight="1" x14ac:dyDescent="0.25">
      <c r="A207" s="556">
        <v>2011</v>
      </c>
      <c r="B207" s="557" t="s">
        <v>20</v>
      </c>
      <c r="C207" s="632">
        <v>545</v>
      </c>
      <c r="D207" s="632">
        <f t="shared" si="6"/>
        <v>778.57142857142856</v>
      </c>
      <c r="E207" s="626">
        <f>E206*(1+IGPDI!D211/100)</f>
        <v>421.98372937445424</v>
      </c>
      <c r="F207" s="627">
        <f t="shared" si="7"/>
        <v>184.50271287131793</v>
      </c>
      <c r="G207" s="633"/>
      <c r="H207" s="631"/>
      <c r="I207" s="634"/>
      <c r="J207" s="635"/>
      <c r="K207" s="631"/>
    </row>
    <row r="208" spans="1:11" ht="15.75" customHeight="1" x14ac:dyDescent="0.25">
      <c r="A208" s="556">
        <v>2011</v>
      </c>
      <c r="B208" s="557" t="s">
        <v>21</v>
      </c>
      <c r="C208" s="632">
        <v>545</v>
      </c>
      <c r="D208" s="632">
        <f t="shared" si="6"/>
        <v>778.57142857142856</v>
      </c>
      <c r="E208" s="626">
        <f>E207*(1+IGPDI!D212/100)</f>
        <v>425.15879946683833</v>
      </c>
      <c r="F208" s="627">
        <f t="shared" si="7"/>
        <v>183.12485347775467</v>
      </c>
      <c r="G208" s="633"/>
      <c r="H208" s="631"/>
      <c r="I208" s="634"/>
      <c r="J208" s="635"/>
      <c r="K208" s="631"/>
    </row>
    <row r="209" spans="1:11" ht="15.75" customHeight="1" x14ac:dyDescent="0.25">
      <c r="A209" s="556">
        <v>2011</v>
      </c>
      <c r="B209" s="557" t="s">
        <v>22</v>
      </c>
      <c r="C209" s="632">
        <v>545</v>
      </c>
      <c r="D209" s="632">
        <f t="shared" si="6"/>
        <v>778.57142857142856</v>
      </c>
      <c r="E209" s="626">
        <f>E208*(1+IGPDI!D213/100)</f>
        <v>426.85020912809676</v>
      </c>
      <c r="F209" s="627">
        <f t="shared" si="7"/>
        <v>182.39921450706871</v>
      </c>
      <c r="G209" s="633"/>
      <c r="H209" s="631"/>
      <c r="I209" s="634"/>
      <c r="J209" s="635"/>
      <c r="K209" s="631"/>
    </row>
    <row r="210" spans="1:11" ht="15.75" customHeight="1" x14ac:dyDescent="0.25">
      <c r="A210" s="556">
        <v>2011</v>
      </c>
      <c r="B210" s="557" t="s">
        <v>23</v>
      </c>
      <c r="C210" s="632">
        <v>545</v>
      </c>
      <c r="D210" s="632">
        <f t="shared" si="6"/>
        <v>778.57142857142856</v>
      </c>
      <c r="E210" s="626">
        <f>E209*(1+IGPDI!D214/100)</f>
        <v>428.67215149147415</v>
      </c>
      <c r="F210" s="627">
        <f t="shared" si="7"/>
        <v>181.62398137190715</v>
      </c>
      <c r="G210" s="633"/>
      <c r="H210" s="631"/>
      <c r="I210" s="634"/>
      <c r="J210" s="635"/>
      <c r="K210" s="631"/>
    </row>
    <row r="211" spans="1:11" ht="15.75" customHeight="1" x14ac:dyDescent="0.25">
      <c r="A211" s="556">
        <v>2011</v>
      </c>
      <c r="B211" s="557" t="s">
        <v>12</v>
      </c>
      <c r="C211" s="632">
        <v>545</v>
      </c>
      <c r="D211" s="632">
        <f t="shared" si="6"/>
        <v>778.57142857142856</v>
      </c>
      <c r="E211" s="626">
        <f>E210*(1+IGPDI!D215/100)</f>
        <v>427.9873144275407</v>
      </c>
      <c r="F211" s="627">
        <f t="shared" si="7"/>
        <v>181.91460408419246</v>
      </c>
      <c r="G211" s="633"/>
      <c r="H211" s="631"/>
      <c r="I211" s="634"/>
      <c r="J211" s="635"/>
      <c r="K211" s="631"/>
    </row>
    <row r="212" spans="1:11" ht="15.75" customHeight="1" x14ac:dyDescent="0.25">
      <c r="A212" s="556">
        <f>2012</f>
        <v>2012</v>
      </c>
      <c r="B212" s="557" t="s">
        <v>13</v>
      </c>
      <c r="C212" s="632">
        <v>622</v>
      </c>
      <c r="D212" s="632">
        <f t="shared" si="6"/>
        <v>888.57142857142856</v>
      </c>
      <c r="E212" s="626">
        <f>E211*(1+IGPDI!D216/100)</f>
        <v>429.26782185043902</v>
      </c>
      <c r="F212" s="627">
        <f t="shared" si="7"/>
        <v>206.99698028635729</v>
      </c>
      <c r="G212" s="633"/>
      <c r="H212" s="631"/>
      <c r="I212" s="634"/>
      <c r="J212" s="635"/>
      <c r="K212" s="631"/>
    </row>
    <row r="213" spans="1:11" ht="15.75" customHeight="1" x14ac:dyDescent="0.25">
      <c r="A213" s="556">
        <f>2012</f>
        <v>2012</v>
      </c>
      <c r="B213" s="557" t="s">
        <v>14</v>
      </c>
      <c r="C213" s="632">
        <v>622</v>
      </c>
      <c r="D213" s="632">
        <f t="shared" si="6"/>
        <v>888.57142857142856</v>
      </c>
      <c r="E213" s="626">
        <f>E212*(1+IGPDI!D217/100)</f>
        <v>429.57025325182707</v>
      </c>
      <c r="F213" s="627">
        <f t="shared" si="7"/>
        <v>206.8512476934759</v>
      </c>
      <c r="G213" s="633"/>
      <c r="H213" s="631"/>
      <c r="I213" s="634"/>
      <c r="J213" s="635"/>
      <c r="K213" s="631"/>
    </row>
    <row r="214" spans="1:11" ht="15.75" customHeight="1" x14ac:dyDescent="0.25">
      <c r="A214" s="556">
        <f>2012</f>
        <v>2012</v>
      </c>
      <c r="B214" s="557" t="s">
        <v>15</v>
      </c>
      <c r="C214" s="632">
        <v>622</v>
      </c>
      <c r="D214" s="632">
        <f t="shared" si="6"/>
        <v>888.57142857142856</v>
      </c>
      <c r="E214" s="626">
        <f>E213*(1+IGPDI!D218/100)</f>
        <v>431.96212713149799</v>
      </c>
      <c r="F214" s="627">
        <f t="shared" si="7"/>
        <v>205.70586464885369</v>
      </c>
      <c r="G214" s="633"/>
      <c r="H214" s="631"/>
      <c r="I214" s="634"/>
      <c r="J214" s="635"/>
      <c r="K214" s="631"/>
    </row>
    <row r="215" spans="1:11" ht="15.75" customHeight="1" x14ac:dyDescent="0.25">
      <c r="A215" s="556">
        <f>2012</f>
        <v>2012</v>
      </c>
      <c r="B215" s="557" t="s">
        <v>16</v>
      </c>
      <c r="C215" s="632">
        <v>622</v>
      </c>
      <c r="D215" s="632">
        <f t="shared" si="6"/>
        <v>888.57142857142856</v>
      </c>
      <c r="E215" s="626">
        <f>E214*(1+IGPDI!D219/100)</f>
        <v>436.34968056257759</v>
      </c>
      <c r="F215" s="627">
        <f t="shared" si="7"/>
        <v>203.63746512334095</v>
      </c>
      <c r="G215" s="633"/>
      <c r="H215" s="631"/>
      <c r="I215" s="634"/>
      <c r="J215" s="635"/>
      <c r="K215" s="631"/>
    </row>
    <row r="216" spans="1:11" ht="15.75" customHeight="1" x14ac:dyDescent="0.25">
      <c r="A216" s="556">
        <f>2012</f>
        <v>2012</v>
      </c>
      <c r="B216" s="557" t="s">
        <v>17</v>
      </c>
      <c r="C216" s="632">
        <v>622</v>
      </c>
      <c r="D216" s="632">
        <f t="shared" si="6"/>
        <v>888.57142857142856</v>
      </c>
      <c r="E216" s="626">
        <f>E215*(1+IGPDI!D220/100)</f>
        <v>440.33552419910836</v>
      </c>
      <c r="F216" s="627">
        <f t="shared" si="7"/>
        <v>201.79417279302669</v>
      </c>
      <c r="G216" s="633"/>
      <c r="H216" s="631"/>
      <c r="I216" s="634"/>
      <c r="J216" s="635"/>
      <c r="K216" s="631"/>
    </row>
    <row r="217" spans="1:11" ht="15.75" customHeight="1" x14ac:dyDescent="0.25">
      <c r="A217" s="556">
        <f>2012</f>
        <v>2012</v>
      </c>
      <c r="B217" s="557" t="s">
        <v>18</v>
      </c>
      <c r="C217" s="632">
        <v>622</v>
      </c>
      <c r="D217" s="632">
        <f t="shared" si="6"/>
        <v>888.57142857142856</v>
      </c>
      <c r="E217" s="626">
        <f>E216*(1+IGPDI!D221/100)</f>
        <v>443.36167670175115</v>
      </c>
      <c r="F217" s="627">
        <f t="shared" si="7"/>
        <v>200.41683241133387</v>
      </c>
      <c r="G217" s="633"/>
      <c r="H217" s="631"/>
      <c r="I217" s="634"/>
      <c r="J217" s="635"/>
      <c r="K217" s="631"/>
    </row>
    <row r="218" spans="1:11" ht="15.75" customHeight="1" x14ac:dyDescent="0.25">
      <c r="A218" s="556">
        <f>2012</f>
        <v>2012</v>
      </c>
      <c r="B218" s="557" t="s">
        <v>19</v>
      </c>
      <c r="C218" s="632">
        <v>622</v>
      </c>
      <c r="D218" s="632">
        <f t="shared" si="6"/>
        <v>888.57142857142856</v>
      </c>
      <c r="E218" s="626">
        <f>E217*(1+IGPDI!D222/100)</f>
        <v>450.08135312772896</v>
      </c>
      <c r="F218" s="627">
        <f t="shared" si="7"/>
        <v>197.42462610293035</v>
      </c>
      <c r="G218" s="633"/>
      <c r="H218" s="631"/>
      <c r="I218" s="634"/>
      <c r="J218" s="635"/>
      <c r="K218" s="631"/>
    </row>
    <row r="219" spans="1:11" ht="15.75" customHeight="1" x14ac:dyDescent="0.25">
      <c r="A219" s="556">
        <f>2012</f>
        <v>2012</v>
      </c>
      <c r="B219" s="557" t="s">
        <v>20</v>
      </c>
      <c r="C219" s="632">
        <v>622</v>
      </c>
      <c r="D219" s="632">
        <f t="shared" si="6"/>
        <v>888.57142857142856</v>
      </c>
      <c r="E219" s="626">
        <f>E218*(1+IGPDI!D223/100)</f>
        <v>455.8983315714483</v>
      </c>
      <c r="F219" s="627">
        <f t="shared" si="7"/>
        <v>194.9056109744003</v>
      </c>
      <c r="G219" s="633"/>
      <c r="H219" s="631"/>
      <c r="I219" s="634"/>
      <c r="J219" s="635"/>
      <c r="K219" s="631"/>
    </row>
    <row r="220" spans="1:11" ht="15.75" customHeight="1" x14ac:dyDescent="0.25">
      <c r="A220" s="556">
        <f>2012</f>
        <v>2012</v>
      </c>
      <c r="B220" s="557" t="s">
        <v>21</v>
      </c>
      <c r="C220" s="632">
        <v>622</v>
      </c>
      <c r="D220" s="632">
        <f t="shared" si="6"/>
        <v>888.57142857142856</v>
      </c>
      <c r="E220" s="626">
        <f>E219*(1+IGPDI!D224/100)</f>
        <v>459.91083329503152</v>
      </c>
      <c r="F220" s="627">
        <f t="shared" si="7"/>
        <v>193.20515287827814</v>
      </c>
      <c r="G220" s="633"/>
      <c r="H220" s="631"/>
      <c r="I220" s="634"/>
      <c r="J220" s="635"/>
      <c r="K220" s="631"/>
    </row>
    <row r="221" spans="1:11" ht="15.75" customHeight="1" x14ac:dyDescent="0.25">
      <c r="A221" s="556">
        <f>2012</f>
        <v>2012</v>
      </c>
      <c r="B221" s="557" t="s">
        <v>22</v>
      </c>
      <c r="C221" s="632">
        <v>622</v>
      </c>
      <c r="D221" s="632">
        <f t="shared" si="6"/>
        <v>888.57142857142856</v>
      </c>
      <c r="E221" s="626">
        <f>E220*(1+IGPDI!D225/100)</f>
        <v>458.46302339476949</v>
      </c>
      <c r="F221" s="627">
        <f t="shared" si="7"/>
        <v>193.81528787029458</v>
      </c>
      <c r="G221" s="633"/>
      <c r="H221" s="631"/>
      <c r="I221" s="634"/>
      <c r="J221" s="635"/>
      <c r="K221" s="631"/>
    </row>
    <row r="222" spans="1:11" ht="15.75" customHeight="1" x14ac:dyDescent="0.25">
      <c r="A222" s="556">
        <f>2012</f>
        <v>2012</v>
      </c>
      <c r="B222" s="557" t="s">
        <v>23</v>
      </c>
      <c r="C222" s="632">
        <v>622</v>
      </c>
      <c r="D222" s="632">
        <f t="shared" si="6"/>
        <v>888.57142857142856</v>
      </c>
      <c r="E222" s="626">
        <f>E221*(1+IGPDI!D226/100)</f>
        <v>459.61207887116791</v>
      </c>
      <c r="F222" s="627">
        <f t="shared" si="7"/>
        <v>193.33073899054349</v>
      </c>
      <c r="G222" s="633"/>
      <c r="H222" s="631"/>
      <c r="I222" s="634"/>
      <c r="J222" s="635"/>
      <c r="K222" s="631"/>
    </row>
    <row r="223" spans="1:11" ht="15.75" customHeight="1" x14ac:dyDescent="0.25">
      <c r="A223" s="556">
        <f>2012</f>
        <v>2012</v>
      </c>
      <c r="B223" s="557" t="s">
        <v>12</v>
      </c>
      <c r="C223" s="632">
        <v>622</v>
      </c>
      <c r="D223" s="632">
        <f t="shared" si="6"/>
        <v>888.57142857142856</v>
      </c>
      <c r="E223" s="626">
        <f>E222*(1+IGPDI!D227/100)</f>
        <v>462.640069862573</v>
      </c>
      <c r="F223" s="627">
        <f t="shared" si="7"/>
        <v>192.06538440031323</v>
      </c>
      <c r="G223" s="633"/>
      <c r="H223" s="631"/>
      <c r="I223" s="634"/>
      <c r="J223" s="635"/>
      <c r="K223" s="631"/>
    </row>
    <row r="224" spans="1:11" ht="15.75" customHeight="1" x14ac:dyDescent="0.25">
      <c r="A224" s="556">
        <f>2013</f>
        <v>2013</v>
      </c>
      <c r="B224" s="557" t="s">
        <v>13</v>
      </c>
      <c r="C224" s="632">
        <v>678</v>
      </c>
      <c r="D224" s="632">
        <f t="shared" si="6"/>
        <v>968.57142857142856</v>
      </c>
      <c r="E224" s="626">
        <f>E223*(1+IGPDI!D228/100)</f>
        <v>464.06214092016359</v>
      </c>
      <c r="F224" s="627">
        <f t="shared" si="7"/>
        <v>208.71589021481066</v>
      </c>
      <c r="G224" s="633"/>
      <c r="H224" s="631"/>
      <c r="I224" s="634"/>
      <c r="J224" s="635"/>
      <c r="K224" s="631"/>
    </row>
    <row r="225" spans="1:12" ht="15.75" customHeight="1" x14ac:dyDescent="0.25">
      <c r="A225" s="556">
        <f>2013</f>
        <v>2013</v>
      </c>
      <c r="B225" s="557" t="s">
        <v>14</v>
      </c>
      <c r="C225" s="632">
        <v>678</v>
      </c>
      <c r="D225" s="632">
        <f t="shared" si="6"/>
        <v>968.57142857142856</v>
      </c>
      <c r="E225" s="626">
        <f>E224*(1+IGPDI!D229/100)</f>
        <v>464.98322379004458</v>
      </c>
      <c r="F225" s="627">
        <f t="shared" si="7"/>
        <v>208.30244598432455</v>
      </c>
      <c r="G225" s="633"/>
      <c r="H225" s="631"/>
      <c r="I225" s="634"/>
      <c r="J225" s="635"/>
      <c r="K225" s="631"/>
    </row>
    <row r="226" spans="1:12" ht="15.75" customHeight="1" x14ac:dyDescent="0.25">
      <c r="A226" s="556">
        <f>2013</f>
        <v>2013</v>
      </c>
      <c r="B226" s="557" t="s">
        <v>15</v>
      </c>
      <c r="C226" s="632">
        <v>678</v>
      </c>
      <c r="D226" s="632">
        <f t="shared" si="6"/>
        <v>968.57142857142856</v>
      </c>
      <c r="E226" s="626">
        <f>E225*(1+IGPDI!D230/100)</f>
        <v>466.40161787011078</v>
      </c>
      <c r="F226" s="627">
        <f t="shared" si="7"/>
        <v>207.66896842994402</v>
      </c>
      <c r="G226" s="633"/>
      <c r="H226" s="631"/>
      <c r="I226" s="634"/>
      <c r="J226" s="635"/>
      <c r="K226" s="631"/>
    </row>
    <row r="227" spans="1:12" ht="15.75" customHeight="1" x14ac:dyDescent="0.25">
      <c r="A227" s="556">
        <f>2013</f>
        <v>2013</v>
      </c>
      <c r="B227" s="557" t="s">
        <v>16</v>
      </c>
      <c r="C227" s="632">
        <v>678</v>
      </c>
      <c r="D227" s="632">
        <f t="shared" si="6"/>
        <v>968.57142857142856</v>
      </c>
      <c r="E227" s="626">
        <f>E226*(1+IGPDI!D231/100)</f>
        <v>466.13687548834855</v>
      </c>
      <c r="F227" s="627">
        <f t="shared" si="7"/>
        <v>207.7869139953161</v>
      </c>
      <c r="G227" s="633"/>
      <c r="H227" s="631"/>
      <c r="I227" s="634"/>
      <c r="J227" s="635"/>
      <c r="K227" s="631"/>
    </row>
    <row r="228" spans="1:12" ht="15.75" customHeight="1" x14ac:dyDescent="0.25">
      <c r="A228" s="556">
        <f>2013</f>
        <v>2013</v>
      </c>
      <c r="B228" s="557" t="s">
        <v>17</v>
      </c>
      <c r="C228" s="632">
        <v>678</v>
      </c>
      <c r="D228" s="632">
        <f t="shared" si="6"/>
        <v>968.57142857142856</v>
      </c>
      <c r="E228" s="626">
        <f>E227*(1+IGPDI!D232/100)</f>
        <v>467.63340534080982</v>
      </c>
      <c r="F228" s="627">
        <f t="shared" si="7"/>
        <v>207.12195012363085</v>
      </c>
      <c r="G228" s="633"/>
      <c r="H228" s="631"/>
      <c r="I228" s="634"/>
      <c r="J228" s="635"/>
      <c r="K228" s="631"/>
    </row>
    <row r="229" spans="1:12" ht="15.75" customHeight="1" x14ac:dyDescent="0.25">
      <c r="A229" s="556">
        <f>2013</f>
        <v>2013</v>
      </c>
      <c r="B229" s="557" t="s">
        <v>18</v>
      </c>
      <c r="C229" s="632">
        <v>678</v>
      </c>
      <c r="D229" s="632">
        <f t="shared" si="6"/>
        <v>968.57142857142856</v>
      </c>
      <c r="E229" s="626">
        <f>E228*(1+IGPDI!D233/100)</f>
        <v>471.20283127269374</v>
      </c>
      <c r="F229" s="627">
        <f t="shared" si="7"/>
        <v>205.5529730064161</v>
      </c>
      <c r="G229" s="633"/>
      <c r="H229" s="631"/>
      <c r="I229" s="634"/>
      <c r="J229" s="635"/>
      <c r="K229" s="631"/>
    </row>
    <row r="230" spans="1:12" ht="15.75" customHeight="1" x14ac:dyDescent="0.25">
      <c r="A230" s="556">
        <f>2013</f>
        <v>2013</v>
      </c>
      <c r="B230" s="557" t="s">
        <v>19</v>
      </c>
      <c r="C230" s="632">
        <v>678</v>
      </c>
      <c r="D230" s="632">
        <f t="shared" si="6"/>
        <v>968.57142857142856</v>
      </c>
      <c r="E230" s="626">
        <f>E229*(1+IGPDI!D234/100)</f>
        <v>471.86009100519368</v>
      </c>
      <c r="F230" s="627">
        <f t="shared" si="7"/>
        <v>205.26665573859003</v>
      </c>
      <c r="G230" s="633"/>
      <c r="H230" s="631"/>
      <c r="I230" s="634"/>
      <c r="J230" s="635"/>
      <c r="K230" s="631"/>
    </row>
    <row r="231" spans="1:12" ht="15.75" customHeight="1" x14ac:dyDescent="0.25">
      <c r="A231" s="556">
        <f>2013</f>
        <v>2013</v>
      </c>
      <c r="B231" s="557" t="s">
        <v>20</v>
      </c>
      <c r="C231" s="632">
        <v>678</v>
      </c>
      <c r="D231" s="632">
        <f t="shared" si="6"/>
        <v>968.57142857142856</v>
      </c>
      <c r="E231" s="626">
        <f>E230*(1+IGPDI!D235/100)</f>
        <v>474.04329641035071</v>
      </c>
      <c r="F231" s="627">
        <f t="shared" si="7"/>
        <v>204.32130058706593</v>
      </c>
      <c r="G231" s="633"/>
      <c r="H231" s="631"/>
      <c r="I231" s="634"/>
      <c r="J231" s="635"/>
      <c r="K231" s="631"/>
    </row>
    <row r="232" spans="1:12" ht="15.75" customHeight="1" x14ac:dyDescent="0.25">
      <c r="A232" s="556">
        <f>2013</f>
        <v>2013</v>
      </c>
      <c r="B232" s="557" t="s">
        <v>21</v>
      </c>
      <c r="C232" s="632">
        <v>678</v>
      </c>
      <c r="D232" s="632">
        <f t="shared" si="6"/>
        <v>968.57142857142856</v>
      </c>
      <c r="E232" s="626">
        <f>E231*(1+IGPDI!D236/100)</f>
        <v>480.47984556694411</v>
      </c>
      <c r="F232" s="627">
        <f t="shared" si="7"/>
        <v>201.58419494756515</v>
      </c>
      <c r="G232" s="633"/>
      <c r="H232" s="631"/>
      <c r="I232" s="634"/>
      <c r="J232" s="635"/>
      <c r="K232" s="631"/>
    </row>
    <row r="233" spans="1:12" ht="15.75" customHeight="1" x14ac:dyDescent="0.25">
      <c r="A233" s="556">
        <f>2013</f>
        <v>2013</v>
      </c>
      <c r="B233" s="557" t="s">
        <v>22</v>
      </c>
      <c r="C233" s="632">
        <v>678</v>
      </c>
      <c r="D233" s="632">
        <f t="shared" si="6"/>
        <v>968.57142857142856</v>
      </c>
      <c r="E233" s="626">
        <f>E232*(1+IGPDI!D237/100)</f>
        <v>483.49129015948898</v>
      </c>
      <c r="F233" s="627">
        <f t="shared" si="7"/>
        <v>200.32861982930996</v>
      </c>
      <c r="G233" s="633"/>
      <c r="H233" s="631"/>
      <c r="I233" s="634"/>
      <c r="J233" s="636"/>
      <c r="K233" s="636"/>
      <c r="L233" s="636"/>
    </row>
    <row r="234" spans="1:12" ht="15.75" customHeight="1" x14ac:dyDescent="0.25">
      <c r="A234" s="556">
        <f>2013</f>
        <v>2013</v>
      </c>
      <c r="B234" s="557" t="s">
        <v>23</v>
      </c>
      <c r="C234" s="632">
        <v>678</v>
      </c>
      <c r="D234" s="632">
        <f t="shared" si="6"/>
        <v>968.57142857142856</v>
      </c>
      <c r="E234" s="626">
        <f>E233*(1+IGPDI!D238/100)</f>
        <v>484.82970997839789</v>
      </c>
      <c r="F234" s="627">
        <f t="shared" si="7"/>
        <v>199.77559308702106</v>
      </c>
      <c r="G234" s="633"/>
      <c r="H234" s="631"/>
      <c r="I234" s="634"/>
      <c r="J234" s="636"/>
      <c r="K234" s="636"/>
      <c r="L234" s="636"/>
    </row>
    <row r="235" spans="1:12" ht="15.75" customHeight="1" x14ac:dyDescent="0.25">
      <c r="A235" s="556">
        <f>2013</f>
        <v>2013</v>
      </c>
      <c r="B235" s="557" t="s">
        <v>12</v>
      </c>
      <c r="C235" s="632">
        <v>678</v>
      </c>
      <c r="D235" s="632">
        <f t="shared" si="6"/>
        <v>968.57142857142856</v>
      </c>
      <c r="E235" s="626">
        <f>E234*(1+IGPDI!D239/100)</f>
        <v>488.17024405938332</v>
      </c>
      <c r="F235" s="627">
        <f t="shared" si="7"/>
        <v>198.40853480074196</v>
      </c>
      <c r="G235" s="633"/>
      <c r="H235" s="637"/>
      <c r="I235" s="634"/>
      <c r="J235" s="636"/>
      <c r="K235" s="636"/>
      <c r="L235" s="636"/>
    </row>
    <row r="236" spans="1:12" ht="15.75" customHeight="1" x14ac:dyDescent="0.25">
      <c r="A236" s="556">
        <f>2014</f>
        <v>2014</v>
      </c>
      <c r="B236" s="557" t="s">
        <v>13</v>
      </c>
      <c r="C236" s="632">
        <v>724</v>
      </c>
      <c r="D236" s="632">
        <f t="shared" si="6"/>
        <v>1034.2857142857142</v>
      </c>
      <c r="E236" s="626">
        <f>E235*(1+IGPDI!D240/100)</f>
        <v>490.13834627935847</v>
      </c>
      <c r="F236" s="627">
        <f t="shared" si="7"/>
        <v>211.01913819577265</v>
      </c>
      <c r="G236" s="633"/>
      <c r="H236" s="638"/>
      <c r="I236" s="634"/>
      <c r="J236" s="636"/>
      <c r="K236" s="636"/>
      <c r="L236" s="636"/>
    </row>
    <row r="237" spans="1:12" ht="15.75" customHeight="1" x14ac:dyDescent="0.25">
      <c r="A237" s="556">
        <f>2014</f>
        <v>2014</v>
      </c>
      <c r="B237" s="557" t="s">
        <v>14</v>
      </c>
      <c r="C237" s="632">
        <v>724</v>
      </c>
      <c r="D237" s="632">
        <f t="shared" si="6"/>
        <v>1034.2857142857142</v>
      </c>
      <c r="E237" s="626">
        <f>E236*(1+IGPDI!D241/100)</f>
        <v>494.28046146067936</v>
      </c>
      <c r="F237" s="627">
        <f t="shared" si="7"/>
        <v>209.25077864280357</v>
      </c>
      <c r="G237" s="633"/>
      <c r="H237" s="638"/>
      <c r="I237" s="634"/>
      <c r="J237" s="636"/>
      <c r="K237" s="636"/>
      <c r="L237" s="636"/>
    </row>
    <row r="238" spans="1:12" ht="15.75" customHeight="1" x14ac:dyDescent="0.25">
      <c r="A238" s="556">
        <f>2014</f>
        <v>2014</v>
      </c>
      <c r="B238" s="557" t="s">
        <v>15</v>
      </c>
      <c r="C238" s="632">
        <v>724</v>
      </c>
      <c r="D238" s="632">
        <f t="shared" si="6"/>
        <v>1034.2857142857142</v>
      </c>
      <c r="E238" s="626">
        <f>E237*(1+IGPDI!D242/100)</f>
        <v>501.61695086638787</v>
      </c>
      <c r="F238" s="627">
        <f t="shared" si="7"/>
        <v>206.19034354786177</v>
      </c>
      <c r="G238" s="633"/>
      <c r="H238" s="638"/>
      <c r="I238" s="634"/>
      <c r="J238" s="636"/>
      <c r="K238" s="636"/>
      <c r="L238" s="636"/>
    </row>
    <row r="239" spans="1:12" ht="15.75" customHeight="1" x14ac:dyDescent="0.25">
      <c r="A239" s="556">
        <f>2014</f>
        <v>2014</v>
      </c>
      <c r="B239" s="557" t="s">
        <v>16</v>
      </c>
      <c r="C239" s="632">
        <v>724</v>
      </c>
      <c r="D239" s="632">
        <f t="shared" si="6"/>
        <v>1034.2857142857142</v>
      </c>
      <c r="E239" s="626">
        <f>E238*(1+IGPDI!D243/100)</f>
        <v>503.87921128832107</v>
      </c>
      <c r="F239" s="627">
        <f t="shared" si="7"/>
        <v>205.26461324753743</v>
      </c>
      <c r="G239" s="633"/>
      <c r="H239" s="638"/>
      <c r="I239" s="634"/>
      <c r="J239" s="636"/>
      <c r="K239" s="636"/>
      <c r="L239" s="636"/>
    </row>
    <row r="240" spans="1:12" ht="15.75" customHeight="1" x14ac:dyDescent="0.25">
      <c r="A240" s="556">
        <f>2014</f>
        <v>2014</v>
      </c>
      <c r="B240" s="557" t="s">
        <v>17</v>
      </c>
      <c r="C240" s="632">
        <v>724</v>
      </c>
      <c r="D240" s="632">
        <f t="shared" si="6"/>
        <v>1034.2857142857142</v>
      </c>
      <c r="E240" s="626">
        <f>E239*(1+IGPDI!D244/100)</f>
        <v>501.58753504619216</v>
      </c>
      <c r="F240" s="627">
        <f t="shared" si="7"/>
        <v>206.20243567066811</v>
      </c>
      <c r="G240" s="633"/>
      <c r="H240" s="638"/>
      <c r="I240" s="634"/>
      <c r="J240" s="636"/>
      <c r="K240" s="636"/>
      <c r="L240" s="636"/>
    </row>
    <row r="241" spans="1:12" ht="15.75" customHeight="1" x14ac:dyDescent="0.25">
      <c r="A241" s="556">
        <f>2014</f>
        <v>2014</v>
      </c>
      <c r="B241" s="557" t="s">
        <v>18</v>
      </c>
      <c r="C241" s="632">
        <v>724</v>
      </c>
      <c r="D241" s="632">
        <f t="shared" si="6"/>
        <v>1034.2857142857142</v>
      </c>
      <c r="E241" s="626">
        <f>E240*(1+IGPDI!D245/100)</f>
        <v>498.40878797628358</v>
      </c>
      <c r="F241" s="627">
        <f t="shared" si="7"/>
        <v>207.51755170394989</v>
      </c>
      <c r="G241" s="633"/>
      <c r="H241" s="638"/>
      <c r="I241" s="634"/>
      <c r="J241" s="636"/>
      <c r="K241" s="636"/>
      <c r="L241" s="636"/>
    </row>
    <row r="242" spans="1:12" ht="15.75" customHeight="1" x14ac:dyDescent="0.25">
      <c r="A242" s="556">
        <f>2014</f>
        <v>2014</v>
      </c>
      <c r="B242" s="557" t="s">
        <v>19</v>
      </c>
      <c r="C242" s="632">
        <v>724</v>
      </c>
      <c r="D242" s="632">
        <f t="shared" si="6"/>
        <v>1034.2857142857142</v>
      </c>
      <c r="E242" s="626">
        <f>E241*(1+IGPDI!D246/100)</f>
        <v>495.66576274302543</v>
      </c>
      <c r="F242" s="627">
        <f t="shared" si="7"/>
        <v>208.66595839945731</v>
      </c>
      <c r="G242" s="639"/>
      <c r="H242" s="638"/>
      <c r="I242" s="634"/>
      <c r="J242" s="636"/>
      <c r="K242" s="636"/>
      <c r="L242" s="636"/>
    </row>
    <row r="243" spans="1:12" ht="15.75" customHeight="1" x14ac:dyDescent="0.25">
      <c r="A243" s="556">
        <f>2014</f>
        <v>2014</v>
      </c>
      <c r="B243" s="557" t="s">
        <v>20</v>
      </c>
      <c r="C243" s="632">
        <v>724</v>
      </c>
      <c r="D243" s="632">
        <f t="shared" si="6"/>
        <v>1034.2857142857142</v>
      </c>
      <c r="E243" s="626">
        <f>E242*(1+IGPDI!D247/100)</f>
        <v>495.97830583260566</v>
      </c>
      <c r="F243" s="627">
        <f t="shared" si="7"/>
        <v>208.53446655281513</v>
      </c>
      <c r="G243" s="639"/>
      <c r="H243" s="638"/>
      <c r="I243" s="634"/>
      <c r="J243" s="636"/>
      <c r="K243" s="636"/>
      <c r="L243" s="636"/>
    </row>
    <row r="244" spans="1:12" ht="15.75" customHeight="1" x14ac:dyDescent="0.25">
      <c r="A244" s="556">
        <f>2014</f>
        <v>2014</v>
      </c>
      <c r="B244" s="557" t="s">
        <v>21</v>
      </c>
      <c r="C244" s="632">
        <v>724</v>
      </c>
      <c r="D244" s="632">
        <f t="shared" si="6"/>
        <v>1034.2857142857142</v>
      </c>
      <c r="E244" s="626">
        <f>E243*(1+IGPDI!D248/100)</f>
        <v>496.06931102633644</v>
      </c>
      <c r="F244" s="627">
        <f t="shared" si="7"/>
        <v>208.49621036742661</v>
      </c>
      <c r="G244" s="639"/>
      <c r="H244" s="638"/>
      <c r="I244" s="634"/>
      <c r="J244" s="636"/>
      <c r="K244" s="636"/>
      <c r="L244" s="636"/>
    </row>
    <row r="245" spans="1:12" ht="15.75" customHeight="1" x14ac:dyDescent="0.25">
      <c r="A245" s="556">
        <f>2014</f>
        <v>2014</v>
      </c>
      <c r="B245" s="557" t="s">
        <v>22</v>
      </c>
      <c r="C245" s="632">
        <v>724</v>
      </c>
      <c r="D245" s="632">
        <f t="shared" si="6"/>
        <v>1034.2857142857142</v>
      </c>
      <c r="E245" s="626">
        <f>E244*(1+IGPDI!D249/100)</f>
        <v>499.01457002344074</v>
      </c>
      <c r="F245" s="627">
        <f t="shared" si="7"/>
        <v>207.26563439563088</v>
      </c>
      <c r="G245" s="639"/>
      <c r="H245" s="638"/>
      <c r="I245" s="634"/>
      <c r="J245" s="636"/>
      <c r="K245" s="636"/>
      <c r="L245" s="636"/>
    </row>
    <row r="246" spans="1:12" ht="15.75" customHeight="1" x14ac:dyDescent="0.25">
      <c r="A246" s="556">
        <f>2014</f>
        <v>2014</v>
      </c>
      <c r="B246" s="557" t="s">
        <v>23</v>
      </c>
      <c r="C246" s="632">
        <v>724</v>
      </c>
      <c r="D246" s="632">
        <f t="shared" si="6"/>
        <v>1034.2857142857142</v>
      </c>
      <c r="E246" s="626">
        <f>E245*(1+IGPDI!D250/100)</f>
        <v>504.70193500942224</v>
      </c>
      <c r="F246" s="627">
        <f t="shared" si="7"/>
        <v>204.93000770175473</v>
      </c>
      <c r="G246" s="639"/>
      <c r="H246" s="638"/>
      <c r="I246" s="634"/>
      <c r="J246" s="636"/>
      <c r="K246" s="636"/>
      <c r="L246" s="636"/>
    </row>
    <row r="247" spans="1:12" ht="15.75" customHeight="1" x14ac:dyDescent="0.25">
      <c r="A247" s="556">
        <f>2014</f>
        <v>2014</v>
      </c>
      <c r="B247" s="557" t="s">
        <v>12</v>
      </c>
      <c r="C247" s="632">
        <v>724</v>
      </c>
      <c r="D247" s="632">
        <f t="shared" si="6"/>
        <v>1034.2857142857142</v>
      </c>
      <c r="E247" s="626">
        <f>E246*(1+IGPDI!D251/100)</f>
        <v>506.64062140920163</v>
      </c>
      <c r="F247" s="627">
        <f t="shared" si="7"/>
        <v>204.14583248553734</v>
      </c>
      <c r="G247" s="639"/>
      <c r="H247" s="638"/>
      <c r="I247" s="634"/>
      <c r="J247" s="636"/>
      <c r="K247" s="636"/>
      <c r="L247" s="636"/>
    </row>
    <row r="248" spans="1:12" ht="15.75" customHeight="1" x14ac:dyDescent="0.25">
      <c r="A248" s="556">
        <f>2015</f>
        <v>2015</v>
      </c>
      <c r="B248" s="557" t="s">
        <v>13</v>
      </c>
      <c r="C248" s="632">
        <v>788</v>
      </c>
      <c r="D248" s="632">
        <f t="shared" si="6"/>
        <v>1125.7142857142858</v>
      </c>
      <c r="E248" s="626">
        <f>E247*(1+IGPDI!D252/100)</f>
        <v>510.02895619800529</v>
      </c>
      <c r="F248" s="627">
        <f t="shared" si="7"/>
        <v>220.7157597689918</v>
      </c>
      <c r="G248" s="639"/>
      <c r="H248" s="638"/>
      <c r="I248" s="634"/>
      <c r="J248" s="636"/>
      <c r="K248" s="636"/>
      <c r="L248" s="636"/>
    </row>
    <row r="249" spans="1:12" ht="15.75" customHeight="1" x14ac:dyDescent="0.25">
      <c r="A249" s="556">
        <f>2015</f>
        <v>2015</v>
      </c>
      <c r="B249" s="557" t="s">
        <v>14</v>
      </c>
      <c r="C249" s="632">
        <v>788</v>
      </c>
      <c r="D249" s="632">
        <f t="shared" si="6"/>
        <v>1125.7142857142858</v>
      </c>
      <c r="E249" s="626">
        <f>E248*(1+IGPDI!D253/100)</f>
        <v>512.75727352116564</v>
      </c>
      <c r="F249" s="627">
        <f t="shared" si="7"/>
        <v>219.54135881561874</v>
      </c>
      <c r="G249" s="639"/>
      <c r="H249" s="638"/>
      <c r="I249" s="634"/>
      <c r="J249" s="636"/>
      <c r="K249" s="636"/>
      <c r="L249" s="636"/>
    </row>
    <row r="250" spans="1:12" ht="15.75" customHeight="1" x14ac:dyDescent="0.25">
      <c r="A250" s="556">
        <f>2015</f>
        <v>2015</v>
      </c>
      <c r="B250" s="557" t="s">
        <v>15</v>
      </c>
      <c r="C250" s="632">
        <v>788</v>
      </c>
      <c r="D250" s="632">
        <f t="shared" si="6"/>
        <v>1125.7142857142858</v>
      </c>
      <c r="E250" s="626">
        <f>E249*(1+IGPDI!D254/100)</f>
        <v>518.97596175943374</v>
      </c>
      <c r="F250" s="627">
        <f t="shared" si="7"/>
        <v>216.91067961951188</v>
      </c>
      <c r="G250" s="639"/>
      <c r="H250" s="638"/>
      <c r="I250" s="634"/>
      <c r="J250" s="636"/>
      <c r="K250" s="636"/>
      <c r="L250" s="636"/>
    </row>
    <row r="251" spans="1:12" ht="15.75" customHeight="1" x14ac:dyDescent="0.25">
      <c r="A251" s="556">
        <f>2015</f>
        <v>2015</v>
      </c>
      <c r="B251" s="557" t="s">
        <v>16</v>
      </c>
      <c r="C251" s="632">
        <v>788</v>
      </c>
      <c r="D251" s="632">
        <f t="shared" si="6"/>
        <v>1125.7142857142858</v>
      </c>
      <c r="E251" s="626">
        <f>E250*(1+IGPDI!D255/100)</f>
        <v>523.72845520981753</v>
      </c>
      <c r="F251" s="627">
        <f t="shared" si="7"/>
        <v>214.94235696307527</v>
      </c>
      <c r="G251" s="639"/>
      <c r="H251" s="638"/>
      <c r="I251" s="634"/>
      <c r="J251" s="636"/>
      <c r="K251" s="636"/>
      <c r="L251" s="636"/>
    </row>
    <row r="252" spans="1:12" ht="15.75" customHeight="1" x14ac:dyDescent="0.25">
      <c r="A252" s="556">
        <f>2015</f>
        <v>2015</v>
      </c>
      <c r="B252" s="557" t="s">
        <v>17</v>
      </c>
      <c r="C252" s="632">
        <v>788</v>
      </c>
      <c r="D252" s="632">
        <f t="shared" si="6"/>
        <v>1125.7142857142858</v>
      </c>
      <c r="E252" s="626">
        <f>E251*(1+IGPDI!D256/100)</f>
        <v>525.83904030886606</v>
      </c>
      <c r="F252" s="627">
        <f t="shared" si="7"/>
        <v>214.07963262922937</v>
      </c>
      <c r="G252" s="639"/>
      <c r="H252" s="638"/>
      <c r="I252" s="634"/>
      <c r="J252" s="636"/>
      <c r="K252" s="636"/>
      <c r="L252" s="636"/>
    </row>
    <row r="253" spans="1:12" ht="15.75" customHeight="1" x14ac:dyDescent="0.25">
      <c r="A253" s="556">
        <f>2015</f>
        <v>2015</v>
      </c>
      <c r="B253" s="557" t="s">
        <v>18</v>
      </c>
      <c r="C253" s="632">
        <v>788</v>
      </c>
      <c r="D253" s="632">
        <f t="shared" si="6"/>
        <v>1125.7142857142858</v>
      </c>
      <c r="E253" s="626">
        <f>E252*(1+IGPDI!D257/100)</f>
        <v>529.42777037275346</v>
      </c>
      <c r="F253" s="627">
        <f t="shared" si="7"/>
        <v>212.62849225338252</v>
      </c>
      <c r="G253" s="639"/>
      <c r="H253" s="638"/>
      <c r="I253" s="634"/>
      <c r="J253" s="636"/>
      <c r="K253" s="636"/>
      <c r="L253" s="636"/>
    </row>
    <row r="254" spans="1:12" ht="15.75" customHeight="1" x14ac:dyDescent="0.25">
      <c r="A254" s="556">
        <f>2015</f>
        <v>2015</v>
      </c>
      <c r="B254" s="557" t="s">
        <v>19</v>
      </c>
      <c r="C254" s="632">
        <v>788</v>
      </c>
      <c r="D254" s="632">
        <f t="shared" si="6"/>
        <v>1125.7142857142858</v>
      </c>
      <c r="E254" s="626">
        <f>E253*(1+IGPDI!D258/100)</f>
        <v>532.51183527140677</v>
      </c>
      <c r="F254" s="627">
        <f t="shared" si="7"/>
        <v>211.3970453145966</v>
      </c>
      <c r="G254" s="639"/>
      <c r="H254" s="638"/>
      <c r="I254" s="634"/>
      <c r="J254" s="636"/>
      <c r="K254" s="636"/>
      <c r="L254" s="636"/>
    </row>
    <row r="255" spans="1:12" ht="15.75" customHeight="1" x14ac:dyDescent="0.25">
      <c r="A255" s="556">
        <f>2015</f>
        <v>2015</v>
      </c>
      <c r="B255" s="557" t="s">
        <v>20</v>
      </c>
      <c r="C255" s="632">
        <v>788</v>
      </c>
      <c r="D255" s="632">
        <f t="shared" si="6"/>
        <v>1125.7142857142858</v>
      </c>
      <c r="E255" s="626">
        <f>E254*(1+IGPDI!D259/100)</f>
        <v>534.64907845750781</v>
      </c>
      <c r="F255" s="627">
        <f t="shared" si="7"/>
        <v>210.5519921519427</v>
      </c>
      <c r="G255" s="639"/>
      <c r="H255" s="638"/>
      <c r="I255" s="634"/>
      <c r="J255" s="636"/>
      <c r="K255" s="636"/>
      <c r="L255" s="636"/>
    </row>
    <row r="256" spans="1:12" ht="15.75" customHeight="1" x14ac:dyDescent="0.25">
      <c r="A256" s="556">
        <f>2015</f>
        <v>2015</v>
      </c>
      <c r="B256" s="557" t="s">
        <v>21</v>
      </c>
      <c r="C256" s="632">
        <v>788</v>
      </c>
      <c r="D256" s="632">
        <f t="shared" si="6"/>
        <v>1125.7142857142858</v>
      </c>
      <c r="E256" s="626">
        <f>E255*(1+IGPDI!D260/100)</f>
        <v>542.25950268878978</v>
      </c>
      <c r="F256" s="627">
        <f t="shared" si="7"/>
        <v>207.59696789681689</v>
      </c>
      <c r="G256" s="639"/>
      <c r="H256" s="638"/>
      <c r="I256" s="634"/>
      <c r="J256" s="636"/>
      <c r="K256" s="636"/>
      <c r="L256" s="636"/>
    </row>
    <row r="257" spans="1:12" ht="15.75" customHeight="1" x14ac:dyDescent="0.25">
      <c r="A257" s="556">
        <f>2015</f>
        <v>2015</v>
      </c>
      <c r="B257" s="557" t="s">
        <v>22</v>
      </c>
      <c r="C257" s="632">
        <v>788</v>
      </c>
      <c r="D257" s="632">
        <f t="shared" si="6"/>
        <v>1125.7142857142858</v>
      </c>
      <c r="E257" s="626">
        <f>E256*(1+IGPDI!D261/100)</f>
        <v>551.79390540975317</v>
      </c>
      <c r="F257" s="627">
        <f t="shared" si="7"/>
        <v>204.00991650648058</v>
      </c>
      <c r="G257" s="639"/>
      <c r="H257" s="638"/>
      <c r="I257" s="634"/>
      <c r="J257" s="636"/>
      <c r="K257" s="636"/>
      <c r="L257" s="636"/>
    </row>
    <row r="258" spans="1:12" ht="15.75" customHeight="1" x14ac:dyDescent="0.25">
      <c r="A258" s="556">
        <f>2015</f>
        <v>2015</v>
      </c>
      <c r="B258" s="557" t="s">
        <v>23</v>
      </c>
      <c r="C258" s="632">
        <v>788</v>
      </c>
      <c r="D258" s="632">
        <f t="shared" si="6"/>
        <v>1125.7142857142858</v>
      </c>
      <c r="E258" s="626">
        <f>E257*(1+IGPDI!D262/100)</f>
        <v>558.38672611113657</v>
      </c>
      <c r="F258" s="627">
        <f t="shared" si="7"/>
        <v>201.60119019201633</v>
      </c>
      <c r="G258" s="639"/>
      <c r="H258" s="638"/>
      <c r="I258" s="634"/>
      <c r="J258" s="636"/>
      <c r="K258" s="636"/>
      <c r="L258" s="636"/>
    </row>
    <row r="259" spans="1:12" ht="15.75" customHeight="1" x14ac:dyDescent="0.25">
      <c r="A259" s="556">
        <f>2015</f>
        <v>2015</v>
      </c>
      <c r="B259" s="557" t="s">
        <v>12</v>
      </c>
      <c r="C259" s="632">
        <v>788</v>
      </c>
      <c r="D259" s="632">
        <f t="shared" si="6"/>
        <v>1125.7142857142858</v>
      </c>
      <c r="E259" s="626">
        <f>E258*(1+IGPDI!D263/100)</f>
        <v>560.85673576320255</v>
      </c>
      <c r="F259" s="627">
        <f t="shared" si="7"/>
        <v>200.71333977694616</v>
      </c>
      <c r="G259" s="639"/>
      <c r="H259" s="638"/>
      <c r="I259" s="634"/>
      <c r="J259" s="636"/>
      <c r="K259" s="636"/>
      <c r="L259" s="636"/>
    </row>
    <row r="260" spans="1:12" ht="15.75" customHeight="1" x14ac:dyDescent="0.25">
      <c r="A260" s="556">
        <f>2016</f>
        <v>2016</v>
      </c>
      <c r="B260" s="557" t="s">
        <v>13</v>
      </c>
      <c r="C260" s="632">
        <v>880</v>
      </c>
      <c r="D260" s="632">
        <f t="shared" si="6"/>
        <v>1257.1428571428571</v>
      </c>
      <c r="E260" s="626">
        <f>E259*(1+IGPDI!D264/100)</f>
        <v>569.4498322379003</v>
      </c>
      <c r="F260" s="627">
        <f t="shared" si="7"/>
        <v>220.76446176169173</v>
      </c>
      <c r="G260" s="639"/>
      <c r="H260" s="638"/>
      <c r="I260" s="634"/>
      <c r="J260" s="636"/>
      <c r="K260" s="636"/>
      <c r="L260" s="636"/>
    </row>
    <row r="261" spans="1:12" ht="15.75" customHeight="1" x14ac:dyDescent="0.25">
      <c r="A261" s="556">
        <f>2016</f>
        <v>2016</v>
      </c>
      <c r="B261" s="557" t="s">
        <v>14</v>
      </c>
      <c r="C261" s="632">
        <v>880</v>
      </c>
      <c r="D261" s="632">
        <f t="shared" si="6"/>
        <v>1257.1428571428571</v>
      </c>
      <c r="E261" s="626">
        <f>E260*(1+IGPDI!D265/100)</f>
        <v>573.94493726157077</v>
      </c>
      <c r="F261" s="627">
        <f t="shared" si="7"/>
        <v>219.03544669998968</v>
      </c>
      <c r="G261" s="639"/>
      <c r="H261" s="638"/>
      <c r="I261" s="634"/>
      <c r="J261" s="636"/>
      <c r="K261" s="636"/>
      <c r="L261" s="636"/>
    </row>
    <row r="262" spans="1:12" ht="15.75" customHeight="1" x14ac:dyDescent="0.25">
      <c r="A262" s="556">
        <f>2016</f>
        <v>2016</v>
      </c>
      <c r="B262" s="557" t="s">
        <v>15</v>
      </c>
      <c r="C262" s="632">
        <v>880</v>
      </c>
      <c r="D262" s="632">
        <f t="shared" si="6"/>
        <v>1257.1428571428571</v>
      </c>
      <c r="E262" s="626">
        <f>E261*(1+IGPDI!D266/100)</f>
        <v>576.42138162430456</v>
      </c>
      <c r="F262" s="627">
        <f t="shared" si="7"/>
        <v>218.09441794132263</v>
      </c>
      <c r="G262" s="639"/>
      <c r="H262" s="638"/>
      <c r="I262" s="634"/>
      <c r="J262" s="636"/>
      <c r="K262" s="636"/>
      <c r="L262" s="636"/>
    </row>
    <row r="263" spans="1:12" ht="15.75" customHeight="1" x14ac:dyDescent="0.25">
      <c r="A263" s="556">
        <f>2016</f>
        <v>2016</v>
      </c>
      <c r="B263" s="557" t="s">
        <v>16</v>
      </c>
      <c r="C263" s="632">
        <v>880</v>
      </c>
      <c r="D263" s="632">
        <f t="shared" si="6"/>
        <v>1257.1428571428571</v>
      </c>
      <c r="E263" s="626">
        <f>E262*(1+IGPDI!D267/100)</f>
        <v>578.52185503516091</v>
      </c>
      <c r="F263" s="627">
        <f t="shared" si="7"/>
        <v>217.30256967845261</v>
      </c>
      <c r="G263" s="639"/>
      <c r="H263" s="638"/>
      <c r="I263" s="634"/>
      <c r="J263" s="636"/>
      <c r="K263" s="636"/>
      <c r="L263" s="636"/>
    </row>
    <row r="264" spans="1:12" ht="15.75" customHeight="1" x14ac:dyDescent="0.25">
      <c r="A264" s="556">
        <f>2016</f>
        <v>2016</v>
      </c>
      <c r="B264" s="557" t="s">
        <v>17</v>
      </c>
      <c r="C264" s="632">
        <v>880</v>
      </c>
      <c r="D264" s="632">
        <f t="shared" si="6"/>
        <v>1257.1428571428571</v>
      </c>
      <c r="E264" s="626">
        <f>E263*(1+IGPDI!D268/100)</f>
        <v>585.06963276186957</v>
      </c>
      <c r="F264" s="627">
        <f t="shared" si="7"/>
        <v>214.8706387662628</v>
      </c>
      <c r="G264" s="639"/>
      <c r="H264" s="638"/>
      <c r="I264" s="634"/>
      <c r="J264" s="636"/>
      <c r="K264" s="636"/>
      <c r="L264" s="636"/>
    </row>
    <row r="265" spans="1:12" ht="15.75" customHeight="1" x14ac:dyDescent="0.25">
      <c r="A265" s="556">
        <f>2016</f>
        <v>2016</v>
      </c>
      <c r="B265" s="557" t="s">
        <v>18</v>
      </c>
      <c r="C265" s="632">
        <v>880</v>
      </c>
      <c r="D265" s="632">
        <f t="shared" ref="D265:D328" si="8">100*C265/C$8</f>
        <v>1257.1428571428571</v>
      </c>
      <c r="E265" s="626">
        <f>E264*(1+IGPDI!D269/100)</f>
        <v>594.62977432550429</v>
      </c>
      <c r="F265" s="627">
        <f t="shared" si="7"/>
        <v>211.41606280459962</v>
      </c>
      <c r="G265" s="639"/>
      <c r="H265" s="638"/>
      <c r="I265" s="634"/>
      <c r="J265" s="636"/>
      <c r="K265" s="636"/>
      <c r="L265" s="636"/>
    </row>
    <row r="266" spans="1:12" ht="15.75" customHeight="1" x14ac:dyDescent="0.25">
      <c r="A266" s="556">
        <f>2016</f>
        <v>2016</v>
      </c>
      <c r="B266" s="557" t="s">
        <v>19</v>
      </c>
      <c r="C266" s="632">
        <v>880</v>
      </c>
      <c r="D266" s="632">
        <f t="shared" si="8"/>
        <v>1257.1428571428571</v>
      </c>
      <c r="E266" s="626">
        <f>E265*(1+IGPDI!D270/100)</f>
        <v>592.32063244013398</v>
      </c>
      <c r="F266" s="627">
        <f t="shared" ref="F266:F329" si="9">+D266*E$8/E266</f>
        <v>212.24026115111175</v>
      </c>
      <c r="G266" s="639"/>
      <c r="H266" s="638"/>
      <c r="I266" s="634"/>
      <c r="J266" s="636"/>
      <c r="K266" s="636"/>
      <c r="L266" s="636"/>
    </row>
    <row r="267" spans="1:12" ht="15.75" customHeight="1" x14ac:dyDescent="0.25">
      <c r="A267" s="556">
        <f>2016</f>
        <v>2016</v>
      </c>
      <c r="B267" s="557" t="s">
        <v>20</v>
      </c>
      <c r="C267" s="632">
        <v>880</v>
      </c>
      <c r="D267" s="632">
        <f t="shared" si="8"/>
        <v>1257.1428571428571</v>
      </c>
      <c r="E267" s="626">
        <f>E266*(1+IGPDI!D271/100)</f>
        <v>594.89175897412304</v>
      </c>
      <c r="F267" s="627">
        <f t="shared" si="9"/>
        <v>211.32295718985426</v>
      </c>
      <c r="G267" s="639"/>
      <c r="H267" s="638"/>
      <c r="I267" s="634"/>
      <c r="J267" s="636"/>
      <c r="K267" s="636"/>
      <c r="L267" s="636"/>
    </row>
    <row r="268" spans="1:12" ht="15.75" customHeight="1" x14ac:dyDescent="0.25">
      <c r="A268" s="556">
        <f>2016</f>
        <v>2016</v>
      </c>
      <c r="B268" s="557" t="s">
        <v>21</v>
      </c>
      <c r="C268" s="632">
        <v>880</v>
      </c>
      <c r="D268" s="632">
        <f t="shared" si="8"/>
        <v>1257.1428571428571</v>
      </c>
      <c r="E268" s="626">
        <f>E267*(1+IGPDI!D272/100)</f>
        <v>595.08204256101453</v>
      </c>
      <c r="F268" s="627">
        <f t="shared" si="9"/>
        <v>211.25538450674398</v>
      </c>
      <c r="G268" s="639"/>
      <c r="H268" s="638"/>
      <c r="I268" s="634"/>
      <c r="J268" s="636"/>
      <c r="K268" s="636"/>
      <c r="L268" s="636"/>
    </row>
    <row r="269" spans="1:12" ht="15.75" customHeight="1" x14ac:dyDescent="0.25">
      <c r="A269" s="556">
        <f>2016</f>
        <v>2016</v>
      </c>
      <c r="B269" s="557" t="s">
        <v>22</v>
      </c>
      <c r="C269" s="632">
        <v>880</v>
      </c>
      <c r="D269" s="632">
        <f t="shared" si="8"/>
        <v>1257.1428571428571</v>
      </c>
      <c r="E269" s="626">
        <f>E268*(1+IGPDI!D273/100)</f>
        <v>595.86615801810865</v>
      </c>
      <c r="F269" s="627">
        <f t="shared" si="9"/>
        <v>210.97738816451664</v>
      </c>
      <c r="G269" s="639"/>
      <c r="H269" s="638"/>
      <c r="I269" s="634"/>
      <c r="J269" s="636"/>
      <c r="K269" s="636"/>
      <c r="L269" s="636"/>
    </row>
    <row r="270" spans="1:12" ht="15.75" customHeight="1" x14ac:dyDescent="0.25">
      <c r="A270" s="556">
        <f>2016</f>
        <v>2016</v>
      </c>
      <c r="B270" s="557" t="s">
        <v>23</v>
      </c>
      <c r="C270" s="632">
        <v>880</v>
      </c>
      <c r="D270" s="632">
        <f t="shared" si="8"/>
        <v>1257.1428571428571</v>
      </c>
      <c r="E270" s="626">
        <f>E269*(1+IGPDI!D274/100)</f>
        <v>596.18605506273798</v>
      </c>
      <c r="F270" s="627">
        <f t="shared" si="9"/>
        <v>210.86418349898594</v>
      </c>
      <c r="G270" s="639"/>
      <c r="H270" s="638"/>
      <c r="I270" s="634"/>
      <c r="J270" s="636"/>
      <c r="K270" s="636"/>
      <c r="L270" s="636"/>
    </row>
    <row r="271" spans="1:12" ht="15.75" customHeight="1" x14ac:dyDescent="0.25">
      <c r="A271" s="556">
        <f>2016</f>
        <v>2016</v>
      </c>
      <c r="B271" s="557" t="s">
        <v>12</v>
      </c>
      <c r="C271" s="632">
        <v>880</v>
      </c>
      <c r="D271" s="632">
        <f t="shared" si="8"/>
        <v>1257.1428571428571</v>
      </c>
      <c r="E271" s="626">
        <f>E270*(1+IGPDI!D275/100)</f>
        <v>601.14078227696791</v>
      </c>
      <c r="F271" s="627">
        <f t="shared" si="9"/>
        <v>209.12619709165642</v>
      </c>
      <c r="G271" s="639"/>
      <c r="H271" s="638"/>
      <c r="I271" s="634"/>
      <c r="J271" s="636"/>
      <c r="K271" s="636"/>
      <c r="L271" s="636"/>
    </row>
    <row r="272" spans="1:12" ht="15.75" customHeight="1" x14ac:dyDescent="0.25">
      <c r="A272" s="556">
        <f>2017</f>
        <v>2017</v>
      </c>
      <c r="B272" s="557" t="s">
        <v>13</v>
      </c>
      <c r="C272" s="632">
        <v>937</v>
      </c>
      <c r="D272" s="632">
        <f t="shared" si="8"/>
        <v>1338.5714285714287</v>
      </c>
      <c r="E272" s="626">
        <f>E271*(1+IGPDI!D276/100)</f>
        <v>603.73948614239055</v>
      </c>
      <c r="F272" s="627">
        <f t="shared" si="9"/>
        <v>221.71341436093013</v>
      </c>
      <c r="G272" s="639"/>
      <c r="H272" s="638"/>
      <c r="I272" s="634"/>
      <c r="J272" s="636"/>
      <c r="K272" s="636"/>
      <c r="L272" s="636"/>
    </row>
    <row r="273" spans="1:12" ht="15.75" customHeight="1" x14ac:dyDescent="0.25">
      <c r="A273" s="556">
        <f>2017</f>
        <v>2017</v>
      </c>
      <c r="B273" s="557" t="s">
        <v>14</v>
      </c>
      <c r="C273" s="632">
        <v>937</v>
      </c>
      <c r="D273" s="632">
        <f t="shared" si="8"/>
        <v>1338.5714285714287</v>
      </c>
      <c r="E273" s="626">
        <f>E272*(1+IGPDI!D277/100)</f>
        <v>604.1191340717927</v>
      </c>
      <c r="F273" s="627">
        <f t="shared" si="9"/>
        <v>221.57408250743381</v>
      </c>
      <c r="G273" s="639"/>
      <c r="H273" s="638"/>
      <c r="I273" s="634"/>
      <c r="J273" s="636"/>
      <c r="K273" s="636"/>
      <c r="L273" s="636"/>
    </row>
    <row r="274" spans="1:12" ht="15.75" customHeight="1" x14ac:dyDescent="0.25">
      <c r="A274" s="556">
        <f>2017</f>
        <v>2017</v>
      </c>
      <c r="B274" s="557" t="s">
        <v>15</v>
      </c>
      <c r="C274" s="632">
        <v>937</v>
      </c>
      <c r="D274" s="632">
        <f t="shared" si="8"/>
        <v>1338.5714285714287</v>
      </c>
      <c r="E274" s="626">
        <f>E273*(1+IGPDI!D278/100)</f>
        <v>601.83756951785597</v>
      </c>
      <c r="F274" s="627">
        <f t="shared" si="9"/>
        <v>222.41406923861283</v>
      </c>
      <c r="G274" s="639"/>
      <c r="H274" s="638"/>
      <c r="I274" s="634"/>
      <c r="J274" s="636"/>
      <c r="K274" s="636"/>
      <c r="L274" s="636"/>
    </row>
    <row r="275" spans="1:12" ht="15.75" customHeight="1" x14ac:dyDescent="0.25">
      <c r="A275" s="556">
        <f>2017</f>
        <v>2017</v>
      </c>
      <c r="B275" s="557" t="s">
        <v>16</v>
      </c>
      <c r="C275" s="632">
        <v>937</v>
      </c>
      <c r="D275" s="632">
        <f t="shared" si="8"/>
        <v>1338.5714285714287</v>
      </c>
      <c r="E275" s="626">
        <f>E274*(1+IGPDI!D279/100)</f>
        <v>594.35859723307408</v>
      </c>
      <c r="F275" s="627">
        <f t="shared" si="9"/>
        <v>225.2127646176734</v>
      </c>
      <c r="G275" s="639"/>
      <c r="H275" s="638"/>
      <c r="I275" s="634"/>
      <c r="J275" s="636"/>
      <c r="K275" s="636"/>
      <c r="L275" s="636"/>
    </row>
    <row r="276" spans="1:12" ht="15.75" customHeight="1" x14ac:dyDescent="0.25">
      <c r="A276" s="556">
        <f>2017</f>
        <v>2017</v>
      </c>
      <c r="B276" s="557" t="s">
        <v>17</v>
      </c>
      <c r="C276" s="632">
        <v>937</v>
      </c>
      <c r="D276" s="632">
        <f t="shared" si="8"/>
        <v>1338.5714285714287</v>
      </c>
      <c r="E276" s="626">
        <f>E275*(1+IGPDI!D280/100)</f>
        <v>591.31314059842782</v>
      </c>
      <c r="F276" s="627">
        <f t="shared" si="9"/>
        <v>226.37268422899439</v>
      </c>
      <c r="G276" s="639"/>
      <c r="H276" s="638"/>
      <c r="I276" s="634"/>
      <c r="J276" s="636"/>
      <c r="K276" s="636"/>
      <c r="L276" s="636"/>
    </row>
    <row r="277" spans="1:12" ht="15.75" customHeight="1" x14ac:dyDescent="0.25">
      <c r="A277" s="556">
        <f>2017</f>
        <v>2017</v>
      </c>
      <c r="B277" s="557" t="s">
        <v>18</v>
      </c>
      <c r="C277" s="632">
        <v>937</v>
      </c>
      <c r="D277" s="632">
        <f t="shared" si="8"/>
        <v>1338.5714285714287</v>
      </c>
      <c r="E277" s="626">
        <f>E276*(1+IGPDI!D281/100)</f>
        <v>585.63129107873294</v>
      </c>
      <c r="F277" s="627">
        <f t="shared" si="9"/>
        <v>228.5689731683872</v>
      </c>
      <c r="G277" s="639"/>
      <c r="H277" s="638"/>
      <c r="I277" s="634"/>
      <c r="J277" s="636"/>
      <c r="K277" s="636"/>
      <c r="L277" s="636"/>
    </row>
    <row r="278" spans="1:12" ht="15.75" customHeight="1" x14ac:dyDescent="0.25">
      <c r="A278" s="556">
        <f>2017</f>
        <v>2017</v>
      </c>
      <c r="B278" s="557" t="s">
        <v>19</v>
      </c>
      <c r="C278" s="632">
        <v>937</v>
      </c>
      <c r="D278" s="632">
        <f t="shared" si="8"/>
        <v>1338.5714285714287</v>
      </c>
      <c r="E278" s="626">
        <f>E277*(1+IGPDI!D282/100)</f>
        <v>583.90219239784869</v>
      </c>
      <c r="F278" s="627">
        <f t="shared" si="9"/>
        <v>229.24583020907329</v>
      </c>
      <c r="G278" s="639"/>
      <c r="H278" s="638"/>
      <c r="I278" s="634"/>
      <c r="J278" s="636"/>
      <c r="K278" s="636"/>
      <c r="L278" s="636"/>
    </row>
    <row r="279" spans="1:12" ht="15.75" customHeight="1" x14ac:dyDescent="0.25">
      <c r="A279" s="556">
        <f>2017</f>
        <v>2017</v>
      </c>
      <c r="B279" s="557" t="s">
        <v>20</v>
      </c>
      <c r="C279" s="632">
        <v>937</v>
      </c>
      <c r="D279" s="632">
        <f t="shared" si="8"/>
        <v>1338.5714285714287</v>
      </c>
      <c r="E279" s="626">
        <f>E278*(1+IGPDI!D283/100)</f>
        <v>585.29576687962481</v>
      </c>
      <c r="F279" s="627">
        <f t="shared" si="9"/>
        <v>228.70000166031045</v>
      </c>
      <c r="G279" s="639"/>
      <c r="H279" s="638"/>
      <c r="I279" s="634"/>
      <c r="J279" s="636"/>
      <c r="K279" s="636"/>
      <c r="L279" s="636"/>
    </row>
    <row r="280" spans="1:12" ht="15.75" customHeight="1" x14ac:dyDescent="0.25">
      <c r="A280" s="556">
        <f>2017</f>
        <v>2017</v>
      </c>
      <c r="B280" s="557" t="s">
        <v>21</v>
      </c>
      <c r="C280" s="632">
        <v>937</v>
      </c>
      <c r="D280" s="632">
        <f t="shared" si="8"/>
        <v>1338.5714285714287</v>
      </c>
      <c r="E280" s="626">
        <f>E279*(1+IGPDI!D284/100)</f>
        <v>588.91758974123252</v>
      </c>
      <c r="F280" s="627">
        <f t="shared" si="9"/>
        <v>227.29350453933466</v>
      </c>
      <c r="G280" s="639"/>
      <c r="H280" s="638"/>
      <c r="I280" s="634"/>
      <c r="J280" s="636"/>
      <c r="K280" s="636"/>
      <c r="L280" s="636"/>
    </row>
    <row r="281" spans="1:12" ht="15.75" customHeight="1" x14ac:dyDescent="0.25">
      <c r="A281" s="556">
        <f>2017</f>
        <v>2017</v>
      </c>
      <c r="B281" s="557" t="s">
        <v>22</v>
      </c>
      <c r="C281" s="632">
        <v>937</v>
      </c>
      <c r="D281" s="632">
        <f t="shared" si="8"/>
        <v>1338.5714285714287</v>
      </c>
      <c r="E281" s="626">
        <f>E280*(1+IGPDI!D285/100)</f>
        <v>589.49211747943173</v>
      </c>
      <c r="F281" s="627">
        <f t="shared" si="9"/>
        <v>227.0719809274012</v>
      </c>
      <c r="G281" s="639"/>
      <c r="H281" s="638"/>
      <c r="I281" s="634"/>
      <c r="J281" s="636"/>
      <c r="K281" s="636"/>
      <c r="L281" s="636"/>
    </row>
    <row r="282" spans="1:12" ht="15.75" customHeight="1" x14ac:dyDescent="0.25">
      <c r="A282" s="556">
        <f>2017</f>
        <v>2017</v>
      </c>
      <c r="B282" s="557" t="s">
        <v>23</v>
      </c>
      <c r="C282" s="632">
        <v>937</v>
      </c>
      <c r="D282" s="632">
        <f t="shared" si="8"/>
        <v>1338.5714285714287</v>
      </c>
      <c r="E282" s="626">
        <f>E281*(1+IGPDI!D286/100)</f>
        <v>594.21979133152536</v>
      </c>
      <c r="F282" s="627">
        <f t="shared" si="9"/>
        <v>225.26537286345902</v>
      </c>
      <c r="G282" s="639"/>
      <c r="H282" s="638"/>
      <c r="I282" s="634"/>
      <c r="J282" s="636"/>
      <c r="K282" s="636"/>
      <c r="L282" s="636"/>
    </row>
    <row r="283" spans="1:12" ht="15.75" customHeight="1" x14ac:dyDescent="0.25">
      <c r="A283" s="556">
        <f>2017</f>
        <v>2017</v>
      </c>
      <c r="B283" s="557" t="s">
        <v>12</v>
      </c>
      <c r="C283" s="632">
        <v>937</v>
      </c>
      <c r="D283" s="632">
        <f t="shared" si="8"/>
        <v>1338.5714285714287</v>
      </c>
      <c r="E283" s="626">
        <f>E282*(1+IGPDI!D287/100)</f>
        <v>598.62481040584623</v>
      </c>
      <c r="F283" s="627">
        <f t="shared" si="9"/>
        <v>223.60774316452489</v>
      </c>
      <c r="G283" s="639"/>
      <c r="H283" s="638"/>
      <c r="I283" s="634"/>
      <c r="J283" s="636"/>
      <c r="K283" s="636"/>
      <c r="L283" s="636"/>
    </row>
    <row r="284" spans="1:12" ht="15.75" customHeight="1" x14ac:dyDescent="0.25">
      <c r="A284" s="556">
        <f>2018</f>
        <v>2018</v>
      </c>
      <c r="B284" s="557" t="s">
        <v>13</v>
      </c>
      <c r="C284" s="632">
        <v>954</v>
      </c>
      <c r="D284" s="632">
        <f t="shared" si="8"/>
        <v>1362.8571428571429</v>
      </c>
      <c r="E284" s="626">
        <f>E283*(1+IGPDI!D288/100)</f>
        <v>602.07565381256586</v>
      </c>
      <c r="F284" s="627">
        <f t="shared" si="9"/>
        <v>226.35978289888106</v>
      </c>
      <c r="G284" s="639"/>
      <c r="H284" s="638"/>
      <c r="I284" s="634"/>
      <c r="J284" s="636"/>
      <c r="K284" s="636"/>
      <c r="L284" s="636"/>
    </row>
    <row r="285" spans="1:12" ht="15.75" customHeight="1" x14ac:dyDescent="0.25">
      <c r="A285" s="556">
        <f>2018</f>
        <v>2018</v>
      </c>
      <c r="B285" s="557" t="s">
        <v>14</v>
      </c>
      <c r="C285" s="632">
        <v>954</v>
      </c>
      <c r="D285" s="632">
        <f t="shared" si="8"/>
        <v>1362.8571428571429</v>
      </c>
      <c r="E285" s="626">
        <f>E284*(1+IGPDI!D289/100)</f>
        <v>603.00133290435247</v>
      </c>
      <c r="F285" s="627">
        <f t="shared" si="9"/>
        <v>226.01229358697256</v>
      </c>
      <c r="G285" s="639"/>
      <c r="H285" s="638"/>
      <c r="I285" s="634"/>
      <c r="J285" s="636"/>
      <c r="K285" s="636"/>
      <c r="L285" s="636"/>
    </row>
    <row r="286" spans="1:12" ht="15.75" customHeight="1" x14ac:dyDescent="0.25">
      <c r="A286" s="556">
        <f>2018</f>
        <v>2018</v>
      </c>
      <c r="B286" s="557" t="s">
        <v>15</v>
      </c>
      <c r="C286" s="632">
        <v>954</v>
      </c>
      <c r="D286" s="632">
        <f t="shared" si="8"/>
        <v>1362.8571428571429</v>
      </c>
      <c r="E286" s="626">
        <f>E285*(1+IGPDI!D290/100)</f>
        <v>606.39334467068045</v>
      </c>
      <c r="F286" s="627">
        <f t="shared" si="9"/>
        <v>224.74803769445757</v>
      </c>
      <c r="G286" s="639"/>
      <c r="H286" s="638"/>
      <c r="I286" s="634"/>
      <c r="J286" s="636"/>
      <c r="K286" s="636"/>
      <c r="L286" s="636"/>
    </row>
    <row r="287" spans="1:12" ht="15.75" customHeight="1" x14ac:dyDescent="0.25">
      <c r="A287" s="556">
        <f>2018</f>
        <v>2018</v>
      </c>
      <c r="B287" s="557" t="s">
        <v>16</v>
      </c>
      <c r="C287" s="632">
        <v>954</v>
      </c>
      <c r="D287" s="632">
        <f t="shared" si="8"/>
        <v>1362.8571428571429</v>
      </c>
      <c r="E287" s="626">
        <f>E286*(1+IGPDI!D291/100)</f>
        <v>612.00533161741021</v>
      </c>
      <c r="F287" s="627">
        <f t="shared" si="9"/>
        <v>222.6871356259885</v>
      </c>
      <c r="G287" s="639"/>
      <c r="H287" s="638"/>
      <c r="I287" s="634"/>
      <c r="J287" s="636"/>
      <c r="K287" s="636"/>
      <c r="L287" s="636"/>
    </row>
    <row r="288" spans="1:12" ht="15.75" customHeight="1" x14ac:dyDescent="0.25">
      <c r="A288" s="556">
        <f>2018</f>
        <v>2018</v>
      </c>
      <c r="B288" s="557" t="s">
        <v>17</v>
      </c>
      <c r="C288" s="632">
        <v>954</v>
      </c>
      <c r="D288" s="632">
        <f t="shared" si="8"/>
        <v>1362.8571428571429</v>
      </c>
      <c r="E288" s="626">
        <f>E287*(1+IGPDI!D292/100)</f>
        <v>622.04807648113228</v>
      </c>
      <c r="F288" s="627">
        <f t="shared" si="9"/>
        <v>219.09193105566666</v>
      </c>
      <c r="G288" s="639"/>
      <c r="H288" s="638"/>
      <c r="I288" s="634"/>
      <c r="J288" s="636"/>
      <c r="K288" s="636"/>
      <c r="L288" s="636"/>
    </row>
    <row r="289" spans="1:12" ht="15.75" customHeight="1" x14ac:dyDescent="0.25">
      <c r="A289" s="556">
        <f>2018</f>
        <v>2018</v>
      </c>
      <c r="B289" s="557" t="s">
        <v>18</v>
      </c>
      <c r="C289" s="632">
        <v>954</v>
      </c>
      <c r="D289" s="632">
        <f t="shared" si="8"/>
        <v>1362.8571428571429</v>
      </c>
      <c r="E289" s="626">
        <f>E288*(1+IGPDI!D293/100)</f>
        <v>631.24143953670057</v>
      </c>
      <c r="F289" s="627">
        <f t="shared" si="9"/>
        <v>215.90108910742796</v>
      </c>
      <c r="G289" s="639"/>
      <c r="H289" s="638"/>
      <c r="I289" s="634"/>
      <c r="J289" s="636"/>
      <c r="K289" s="636"/>
      <c r="L289" s="636"/>
    </row>
    <row r="290" spans="1:12" ht="15.75" customHeight="1" x14ac:dyDescent="0.25">
      <c r="A290" s="556">
        <f>2018</f>
        <v>2018</v>
      </c>
      <c r="B290" s="557" t="s">
        <v>19</v>
      </c>
      <c r="C290" s="632">
        <v>954</v>
      </c>
      <c r="D290" s="632">
        <f t="shared" si="8"/>
        <v>1362.8571428571429</v>
      </c>
      <c r="E290" s="626">
        <f>E289*(1+IGPDI!D294/100)</f>
        <v>634.04513489911255</v>
      </c>
      <c r="F290" s="627">
        <f t="shared" si="9"/>
        <v>214.94639227442332</v>
      </c>
      <c r="G290" s="639"/>
      <c r="H290" s="638"/>
      <c r="I290" s="634"/>
      <c r="J290" s="636"/>
      <c r="K290" s="636"/>
      <c r="L290" s="636"/>
    </row>
    <row r="291" spans="1:12" ht="15.75" customHeight="1" x14ac:dyDescent="0.25">
      <c r="A291" s="556">
        <f>2018</f>
        <v>2018</v>
      </c>
      <c r="B291" s="557" t="s">
        <v>20</v>
      </c>
      <c r="C291" s="632">
        <v>954</v>
      </c>
      <c r="D291" s="632">
        <f t="shared" si="8"/>
        <v>1362.8571428571429</v>
      </c>
      <c r="E291" s="626">
        <f>E290*(1+IGPDI!D295/100)</f>
        <v>638.33616767017475</v>
      </c>
      <c r="F291" s="627">
        <f t="shared" si="9"/>
        <v>213.50147647615742</v>
      </c>
      <c r="G291" s="639"/>
      <c r="H291" s="638"/>
      <c r="I291" s="634"/>
      <c r="J291" s="636"/>
      <c r="K291" s="636"/>
      <c r="L291" s="636"/>
    </row>
    <row r="292" spans="1:12" ht="15.75" customHeight="1" x14ac:dyDescent="0.25">
      <c r="A292" s="556">
        <f>2018</f>
        <v>2018</v>
      </c>
      <c r="B292" s="557" t="s">
        <v>21</v>
      </c>
      <c r="C292" s="632">
        <v>954</v>
      </c>
      <c r="D292" s="632">
        <f t="shared" si="8"/>
        <v>1362.8571428571429</v>
      </c>
      <c r="E292" s="626">
        <f>E291*(1+IGPDI!D296/100)</f>
        <v>649.75318288366918</v>
      </c>
      <c r="F292" s="627">
        <f t="shared" si="9"/>
        <v>209.74997564592874</v>
      </c>
      <c r="G292" s="639"/>
      <c r="H292" s="638"/>
      <c r="I292" s="634"/>
      <c r="J292" s="636"/>
      <c r="K292" s="636"/>
      <c r="L292" s="636"/>
    </row>
    <row r="293" spans="1:12" ht="15.75" customHeight="1" x14ac:dyDescent="0.25">
      <c r="A293" s="556">
        <f>2018</f>
        <v>2018</v>
      </c>
      <c r="B293" s="557" t="s">
        <v>22</v>
      </c>
      <c r="C293" s="632">
        <v>954</v>
      </c>
      <c r="D293" s="632">
        <f t="shared" si="8"/>
        <v>1362.8571428571429</v>
      </c>
      <c r="E293" s="626">
        <f>E292*(1+IGPDI!D297/100)</f>
        <v>651.46297743255002</v>
      </c>
      <c r="F293" s="627">
        <f t="shared" si="9"/>
        <v>209.19947718721252</v>
      </c>
      <c r="G293" s="639"/>
      <c r="H293" s="638"/>
      <c r="I293" s="634"/>
      <c r="J293" s="636"/>
      <c r="K293" s="636"/>
      <c r="L293" s="636"/>
    </row>
    <row r="294" spans="1:12" ht="15.75" customHeight="1" x14ac:dyDescent="0.25">
      <c r="A294" s="556">
        <f>2018</f>
        <v>2018</v>
      </c>
      <c r="B294" s="557" t="s">
        <v>23</v>
      </c>
      <c r="C294" s="632">
        <v>954</v>
      </c>
      <c r="D294" s="632">
        <f t="shared" si="8"/>
        <v>1362.8571428571429</v>
      </c>
      <c r="E294" s="626">
        <f>E293*(1+IGPDI!D298/100)</f>
        <v>644.02353265615625</v>
      </c>
      <c r="F294" s="627">
        <f t="shared" si="9"/>
        <v>211.6160472019229</v>
      </c>
      <c r="G294" s="639"/>
      <c r="H294" s="638"/>
      <c r="I294" s="634"/>
      <c r="J294" s="636"/>
      <c r="K294" s="636"/>
      <c r="L294" s="636"/>
    </row>
    <row r="295" spans="1:12" ht="15.75" customHeight="1" x14ac:dyDescent="0.25">
      <c r="A295" s="556">
        <f>2018</f>
        <v>2018</v>
      </c>
      <c r="B295" s="557" t="s">
        <v>12</v>
      </c>
      <c r="C295" s="632">
        <v>954</v>
      </c>
      <c r="D295" s="632">
        <f t="shared" si="8"/>
        <v>1362.8571428571429</v>
      </c>
      <c r="E295" s="626">
        <f>E294*(1+IGPDI!D299/100)</f>
        <v>641.12331663372674</v>
      </c>
      <c r="F295" s="627">
        <f t="shared" si="9"/>
        <v>212.57332364901995</v>
      </c>
      <c r="G295" s="639"/>
      <c r="H295" s="638"/>
      <c r="I295" s="634"/>
      <c r="J295" s="636"/>
      <c r="K295" s="636"/>
      <c r="L295" s="636"/>
    </row>
    <row r="296" spans="1:12" ht="15.75" customHeight="1" x14ac:dyDescent="0.25">
      <c r="A296" s="556">
        <f>2019</f>
        <v>2019</v>
      </c>
      <c r="B296" s="557" t="s">
        <v>13</v>
      </c>
      <c r="C296" s="632">
        <v>998</v>
      </c>
      <c r="D296" s="632">
        <f t="shared" si="8"/>
        <v>1425.7142857142858</v>
      </c>
      <c r="E296" s="626">
        <f>E295*(1+IGPDI!D300/100)</f>
        <v>641.56179620352032</v>
      </c>
      <c r="F296" s="627">
        <f t="shared" si="9"/>
        <v>222.22555865249987</v>
      </c>
      <c r="G296" s="639"/>
      <c r="H296" s="638"/>
      <c r="I296" s="634"/>
      <c r="J296" s="636"/>
      <c r="K296" s="636"/>
      <c r="L296" s="636"/>
    </row>
    <row r="297" spans="1:12" ht="15.75" customHeight="1" x14ac:dyDescent="0.25">
      <c r="A297" s="556">
        <f>2019</f>
        <v>2019</v>
      </c>
      <c r="B297" s="557" t="s">
        <v>14</v>
      </c>
      <c r="C297" s="632">
        <v>998</v>
      </c>
      <c r="D297" s="632">
        <f t="shared" si="8"/>
        <v>1425.7142857142858</v>
      </c>
      <c r="E297" s="626">
        <f>E296*(1+IGPDI!D301/100)</f>
        <v>649.59323436135446</v>
      </c>
      <c r="F297" s="627">
        <f t="shared" si="9"/>
        <v>219.47800720491992</v>
      </c>
      <c r="G297" s="639"/>
      <c r="H297" s="638"/>
      <c r="I297" s="634"/>
      <c r="J297" s="636"/>
      <c r="K297" s="636"/>
      <c r="L297" s="636"/>
    </row>
    <row r="298" spans="1:12" ht="15.75" customHeight="1" x14ac:dyDescent="0.25">
      <c r="A298" s="556">
        <f>2019</f>
        <v>2019</v>
      </c>
      <c r="B298" s="557" t="s">
        <v>15</v>
      </c>
      <c r="C298" s="632">
        <v>998</v>
      </c>
      <c r="D298" s="632">
        <f t="shared" si="8"/>
        <v>1425.7142857142858</v>
      </c>
      <c r="E298" s="626">
        <f>E297*(1+IGPDI!D302/100)</f>
        <v>656.56386450337777</v>
      </c>
      <c r="F298" s="627">
        <f t="shared" si="9"/>
        <v>217.14784544115756</v>
      </c>
      <c r="G298" s="639"/>
      <c r="H298" s="638"/>
      <c r="I298" s="634"/>
      <c r="J298" s="636"/>
      <c r="K298" s="636"/>
      <c r="L298" s="636"/>
    </row>
    <row r="299" spans="1:12" ht="15.75" customHeight="1" x14ac:dyDescent="0.25">
      <c r="A299" s="556">
        <f>2019</f>
        <v>2019</v>
      </c>
      <c r="B299" s="557" t="s">
        <v>16</v>
      </c>
      <c r="C299" s="632">
        <v>998</v>
      </c>
      <c r="D299" s="632">
        <f t="shared" si="8"/>
        <v>1425.7142857142858</v>
      </c>
      <c r="E299" s="626">
        <f>E298*(1+IGPDI!D303/100)</f>
        <v>662.49482925035579</v>
      </c>
      <c r="F299" s="627">
        <f t="shared" si="9"/>
        <v>215.20383597975382</v>
      </c>
      <c r="G299" s="639"/>
      <c r="H299" s="638"/>
      <c r="I299" s="634"/>
      <c r="J299" s="636"/>
      <c r="K299" s="636"/>
      <c r="L299" s="636"/>
    </row>
    <row r="300" spans="1:12" ht="15.75" customHeight="1" x14ac:dyDescent="0.25">
      <c r="A300" s="556">
        <f>2019</f>
        <v>2019</v>
      </c>
      <c r="B300" s="557" t="s">
        <v>17</v>
      </c>
      <c r="C300" s="632">
        <v>998</v>
      </c>
      <c r="D300" s="632">
        <f t="shared" si="8"/>
        <v>1425.7142857142858</v>
      </c>
      <c r="E300" s="626">
        <f>E299*(1+IGPDI!D304/100)</f>
        <v>665.14409155673991</v>
      </c>
      <c r="F300" s="627">
        <f t="shared" si="9"/>
        <v>214.34668123976948</v>
      </c>
      <c r="G300" s="639"/>
      <c r="H300" s="638"/>
      <c r="I300" s="634"/>
      <c r="J300" s="636"/>
      <c r="K300" s="636"/>
      <c r="L300" s="636"/>
    </row>
    <row r="301" spans="1:12" ht="15.75" customHeight="1" x14ac:dyDescent="0.25">
      <c r="A301" s="556">
        <f>2019</f>
        <v>2019</v>
      </c>
      <c r="B301" s="557" t="s">
        <v>18</v>
      </c>
      <c r="C301" s="632">
        <v>998</v>
      </c>
      <c r="D301" s="632">
        <f t="shared" si="8"/>
        <v>1425.7142857142858</v>
      </c>
      <c r="E301" s="626">
        <f>E300*(1+IGPDI!D305/100)</f>
        <v>669.34044215654694</v>
      </c>
      <c r="F301" s="627">
        <f t="shared" si="9"/>
        <v>213.00286011715937</v>
      </c>
      <c r="G301" s="639"/>
      <c r="H301" s="638"/>
      <c r="I301" s="634"/>
      <c r="J301" s="636"/>
      <c r="K301" s="636"/>
      <c r="L301" s="636"/>
    </row>
    <row r="302" spans="1:12" ht="15.75" customHeight="1" x14ac:dyDescent="0.25">
      <c r="A302" s="556">
        <f>2019</f>
        <v>2019</v>
      </c>
      <c r="B302" s="557" t="s">
        <v>19</v>
      </c>
      <c r="C302" s="632">
        <v>998</v>
      </c>
      <c r="D302" s="632">
        <f t="shared" si="8"/>
        <v>1425.7142857142858</v>
      </c>
      <c r="E302" s="626">
        <f>E301*(1+IGPDI!D306/100)</f>
        <v>669.28712598244192</v>
      </c>
      <c r="F302" s="627">
        <f t="shared" si="9"/>
        <v>213.01982816739374</v>
      </c>
      <c r="G302" s="639"/>
      <c r="H302" s="638"/>
      <c r="I302" s="634"/>
      <c r="J302" s="636"/>
      <c r="K302" s="636"/>
      <c r="L302" s="636"/>
    </row>
    <row r="303" spans="1:12" ht="15.75" customHeight="1" x14ac:dyDescent="0.25">
      <c r="A303" s="556">
        <f>2019</f>
        <v>2019</v>
      </c>
      <c r="B303" s="557" t="s">
        <v>20</v>
      </c>
      <c r="C303" s="632">
        <v>998</v>
      </c>
      <c r="D303" s="632">
        <f t="shared" si="8"/>
        <v>1425.7142857142858</v>
      </c>
      <c r="E303" s="626">
        <f>E302*(1+IGPDI!D307/100)</f>
        <v>665.896033460495</v>
      </c>
      <c r="F303" s="627">
        <f t="shared" si="9"/>
        <v>214.10463707152684</v>
      </c>
      <c r="G303" s="639"/>
      <c r="H303" s="638"/>
      <c r="I303" s="634"/>
      <c r="J303" s="636"/>
      <c r="K303" s="636"/>
      <c r="L303" s="636"/>
    </row>
    <row r="304" spans="1:12" ht="15.75" customHeight="1" x14ac:dyDescent="0.25">
      <c r="A304" s="556">
        <f>2019</f>
        <v>2019</v>
      </c>
      <c r="B304" s="557" t="s">
        <v>21</v>
      </c>
      <c r="C304" s="632">
        <v>998</v>
      </c>
      <c r="D304" s="632">
        <f t="shared" si="8"/>
        <v>1425.7142857142858</v>
      </c>
      <c r="E304" s="626">
        <f>E303*(1+IGPDI!D308/100)</f>
        <v>669.24667922967274</v>
      </c>
      <c r="F304" s="627">
        <f t="shared" si="9"/>
        <v>213.03270228480397</v>
      </c>
      <c r="G304" s="639"/>
      <c r="H304" s="638"/>
      <c r="I304" s="634"/>
      <c r="J304" s="636"/>
      <c r="K304" s="636"/>
      <c r="L304" s="636"/>
    </row>
    <row r="305" spans="1:12" ht="15.75" customHeight="1" x14ac:dyDescent="0.25">
      <c r="A305" s="556">
        <f>2019</f>
        <v>2019</v>
      </c>
      <c r="B305" s="557" t="s">
        <v>22</v>
      </c>
      <c r="C305" s="632">
        <v>998</v>
      </c>
      <c r="D305" s="632">
        <f t="shared" si="8"/>
        <v>1425.7142857142858</v>
      </c>
      <c r="E305" s="626">
        <f>E304*(1+IGPDI!D309/100)</f>
        <v>672.92457599852878</v>
      </c>
      <c r="F305" s="627">
        <f t="shared" si="9"/>
        <v>211.86836334498844</v>
      </c>
      <c r="G305" s="639"/>
      <c r="H305" s="638"/>
      <c r="I305" s="634"/>
      <c r="J305" s="636"/>
      <c r="K305" s="636"/>
      <c r="L305" s="636"/>
    </row>
    <row r="306" spans="1:12" ht="15.75" customHeight="1" x14ac:dyDescent="0.25">
      <c r="A306" s="556">
        <f>2019</f>
        <v>2019</v>
      </c>
      <c r="B306" s="557" t="s">
        <v>23</v>
      </c>
      <c r="C306" s="632">
        <v>998</v>
      </c>
      <c r="D306" s="632">
        <f t="shared" si="8"/>
        <v>1425.7142857142858</v>
      </c>
      <c r="E306" s="626">
        <f>E305*(1+IGPDI!D310/100)</f>
        <v>678.6450337822306</v>
      </c>
      <c r="F306" s="627">
        <f t="shared" si="9"/>
        <v>210.08247533596204</v>
      </c>
      <c r="G306" s="639"/>
      <c r="H306" s="638"/>
      <c r="I306" s="634"/>
      <c r="J306" s="636"/>
      <c r="K306" s="636"/>
      <c r="L306" s="636"/>
    </row>
    <row r="307" spans="1:12" ht="15.75" customHeight="1" x14ac:dyDescent="0.25">
      <c r="A307" s="556">
        <f>2019</f>
        <v>2019</v>
      </c>
      <c r="B307" s="557" t="s">
        <v>12</v>
      </c>
      <c r="C307" s="632">
        <v>998</v>
      </c>
      <c r="D307" s="632">
        <f t="shared" si="8"/>
        <v>1425.7142857142858</v>
      </c>
      <c r="E307" s="626">
        <f>E306*(1+IGPDI!D311/100)</f>
        <v>690.46375879027391</v>
      </c>
      <c r="F307" s="627">
        <f t="shared" si="9"/>
        <v>206.48647630864892</v>
      </c>
      <c r="G307" s="639"/>
      <c r="H307" s="638"/>
      <c r="I307" s="634"/>
      <c r="J307" s="636"/>
      <c r="K307" s="636"/>
      <c r="L307" s="636"/>
    </row>
    <row r="308" spans="1:12" ht="15.75" customHeight="1" x14ac:dyDescent="0.25">
      <c r="A308" s="556">
        <f>2020</f>
        <v>2020</v>
      </c>
      <c r="B308" s="557" t="s">
        <v>13</v>
      </c>
      <c r="C308" s="632">
        <v>1039</v>
      </c>
      <c r="D308" s="632">
        <f t="shared" si="8"/>
        <v>1484.2857142857142</v>
      </c>
      <c r="E308" s="626">
        <f>E307*(1+IGPDI!D312/100)</f>
        <v>691.106310612676</v>
      </c>
      <c r="F308" s="627">
        <f t="shared" si="9"/>
        <v>214.76952119998339</v>
      </c>
      <c r="G308" s="639"/>
      <c r="H308" s="638"/>
      <c r="I308" s="634"/>
      <c r="J308" s="636"/>
      <c r="K308" s="636"/>
      <c r="L308" s="636"/>
    </row>
    <row r="309" spans="1:12" ht="15.75" customHeight="1" x14ac:dyDescent="0.25">
      <c r="A309" s="556">
        <f>2020</f>
        <v>2020</v>
      </c>
      <c r="B309" s="557" t="s">
        <v>14</v>
      </c>
      <c r="C309" s="632">
        <v>1045</v>
      </c>
      <c r="D309" s="632">
        <f t="shared" si="8"/>
        <v>1492.8571428571429</v>
      </c>
      <c r="E309" s="626">
        <f>E308*(1+IGPDI!D313/100)</f>
        <v>691.18904260697661</v>
      </c>
      <c r="F309" s="627">
        <f t="shared" si="9"/>
        <v>215.98391334829222</v>
      </c>
      <c r="G309" s="639"/>
      <c r="H309" s="638"/>
      <c r="I309" s="634"/>
      <c r="J309" s="636"/>
      <c r="K309" s="636"/>
      <c r="L309" s="636"/>
    </row>
    <row r="310" spans="1:12" ht="15.75" customHeight="1" x14ac:dyDescent="0.25">
      <c r="A310" s="556">
        <f>2020</f>
        <v>2020</v>
      </c>
      <c r="B310" s="557" t="s">
        <v>15</v>
      </c>
      <c r="C310" s="632">
        <v>1045</v>
      </c>
      <c r="D310" s="632">
        <f t="shared" si="8"/>
        <v>1492.8571428571429</v>
      </c>
      <c r="E310" s="626">
        <f>E309*(1+IGPDI!D314/100)</f>
        <v>702.55641862389075</v>
      </c>
      <c r="F310" s="627">
        <f t="shared" si="9"/>
        <v>212.4892895834939</v>
      </c>
      <c r="G310" s="639"/>
      <c r="H310" s="638"/>
      <c r="I310" s="634"/>
      <c r="J310" s="636"/>
      <c r="K310" s="636"/>
      <c r="L310" s="636"/>
    </row>
    <row r="311" spans="1:12" ht="15.75" customHeight="1" x14ac:dyDescent="0.25">
      <c r="A311" s="556">
        <f>2020</f>
        <v>2020</v>
      </c>
      <c r="B311" s="557" t="s">
        <v>16</v>
      </c>
      <c r="C311" s="632">
        <v>1045</v>
      </c>
      <c r="D311" s="632">
        <f t="shared" si="8"/>
        <v>1492.8571428571429</v>
      </c>
      <c r="E311" s="626">
        <f>E310*(1+IGPDI!D315/100)</f>
        <v>702.90573148871579</v>
      </c>
      <c r="F311" s="627">
        <f t="shared" si="9"/>
        <v>212.38369186368041</v>
      </c>
      <c r="G311" s="639"/>
      <c r="H311" s="638"/>
      <c r="I311" s="634"/>
      <c r="J311" s="636"/>
      <c r="K311" s="636"/>
      <c r="L311" s="636"/>
    </row>
    <row r="312" spans="1:12" ht="15.75" customHeight="1" x14ac:dyDescent="0.25">
      <c r="A312" s="556">
        <f>2020</f>
        <v>2020</v>
      </c>
      <c r="B312" s="557" t="s">
        <v>17</v>
      </c>
      <c r="C312" s="632">
        <v>1045</v>
      </c>
      <c r="D312" s="632">
        <f t="shared" si="8"/>
        <v>1492.8571428571429</v>
      </c>
      <c r="E312" s="626">
        <f>E311*(1+IGPDI!D316/100)</f>
        <v>710.43158523693478</v>
      </c>
      <c r="F312" s="627">
        <f t="shared" si="9"/>
        <v>210.13383609053119</v>
      </c>
      <c r="G312" s="639"/>
      <c r="H312" s="638"/>
      <c r="I312" s="634"/>
      <c r="J312" s="636"/>
      <c r="K312" s="636"/>
      <c r="L312" s="636"/>
    </row>
    <row r="313" spans="1:12" ht="15.75" customHeight="1" x14ac:dyDescent="0.25">
      <c r="A313" s="556">
        <f>2020</f>
        <v>2020</v>
      </c>
      <c r="B313" s="557" t="s">
        <v>18</v>
      </c>
      <c r="C313" s="632">
        <v>1045</v>
      </c>
      <c r="D313" s="632">
        <f t="shared" si="8"/>
        <v>1492.8571428571429</v>
      </c>
      <c r="E313" s="626">
        <f>E312*(1+IGPDI!D317/100)</f>
        <v>721.80999218642228</v>
      </c>
      <c r="F313" s="627">
        <f t="shared" si="9"/>
        <v>206.82134620153357</v>
      </c>
      <c r="G313" s="639"/>
      <c r="H313" s="638"/>
      <c r="I313" s="634"/>
      <c r="J313" s="636"/>
      <c r="K313" s="636"/>
      <c r="L313" s="636"/>
    </row>
    <row r="314" spans="1:12" ht="15.75" customHeight="1" x14ac:dyDescent="0.25">
      <c r="A314" s="556">
        <f>2020</f>
        <v>2020</v>
      </c>
      <c r="B314" s="557" t="s">
        <v>19</v>
      </c>
      <c r="C314" s="632">
        <v>1045</v>
      </c>
      <c r="D314" s="632">
        <f t="shared" si="8"/>
        <v>1492.8571428571429</v>
      </c>
      <c r="E314" s="626">
        <f>E313*(1+IGPDI!D318/100)</f>
        <v>738.69007675690534</v>
      </c>
      <c r="F314" s="627">
        <f t="shared" si="9"/>
        <v>202.0951938885224</v>
      </c>
      <c r="G314" s="639"/>
      <c r="H314" s="638"/>
      <c r="I314" s="634"/>
      <c r="J314" s="636"/>
      <c r="K314" s="636"/>
      <c r="L314" s="636"/>
    </row>
    <row r="315" spans="1:12" ht="15.75" customHeight="1" x14ac:dyDescent="0.25">
      <c r="A315" s="556">
        <f>2020</f>
        <v>2020</v>
      </c>
      <c r="B315" s="557" t="s">
        <v>20</v>
      </c>
      <c r="C315" s="632">
        <v>1045</v>
      </c>
      <c r="D315" s="632">
        <f t="shared" si="8"/>
        <v>1492.8571428571429</v>
      </c>
      <c r="E315" s="626">
        <f>E314*(1+IGPDI!D319/100)</f>
        <v>767.30523509675004</v>
      </c>
      <c r="F315" s="627">
        <f t="shared" si="9"/>
        <v>194.5584461793627</v>
      </c>
      <c r="G315" s="639"/>
      <c r="H315" s="638"/>
      <c r="I315" s="634"/>
      <c r="J315" s="636"/>
      <c r="K315" s="636"/>
      <c r="L315" s="636"/>
    </row>
    <row r="316" spans="1:12" ht="15.75" customHeight="1" x14ac:dyDescent="0.25">
      <c r="A316" s="556">
        <f>2020</f>
        <v>2020</v>
      </c>
      <c r="B316" s="557" t="s">
        <v>21</v>
      </c>
      <c r="C316" s="632">
        <v>1045</v>
      </c>
      <c r="D316" s="632">
        <f t="shared" si="8"/>
        <v>1492.8571428571429</v>
      </c>
      <c r="E316" s="626">
        <f>E315*(1+IGPDI!D320/100)</f>
        <v>792.62674081904629</v>
      </c>
      <c r="F316" s="627">
        <f t="shared" si="9"/>
        <v>188.34302023604786</v>
      </c>
      <c r="G316" s="639"/>
      <c r="H316" s="638"/>
      <c r="I316" s="634"/>
      <c r="J316" s="636"/>
      <c r="K316" s="636"/>
      <c r="L316" s="636"/>
    </row>
    <row r="317" spans="1:12" ht="15.75" customHeight="1" x14ac:dyDescent="0.25">
      <c r="A317" s="556">
        <f>2020</f>
        <v>2020</v>
      </c>
      <c r="B317" s="557" t="s">
        <v>22</v>
      </c>
      <c r="C317" s="632">
        <v>1045</v>
      </c>
      <c r="D317" s="632">
        <f t="shared" si="8"/>
        <v>1492.8571428571429</v>
      </c>
      <c r="E317" s="626">
        <f>E316*(1+IGPDI!D321/100)</f>
        <v>821.78333409936988</v>
      </c>
      <c r="F317" s="627">
        <f t="shared" si="9"/>
        <v>181.66067391634726</v>
      </c>
      <c r="G317" s="639"/>
      <c r="H317" s="638"/>
      <c r="I317" s="634"/>
      <c r="J317" s="636"/>
      <c r="K317" s="636"/>
      <c r="L317" s="636"/>
    </row>
    <row r="318" spans="1:12" ht="15.75" customHeight="1" x14ac:dyDescent="0.25">
      <c r="A318" s="556">
        <f>2020</f>
        <v>2020</v>
      </c>
      <c r="B318" s="557" t="s">
        <v>23</v>
      </c>
      <c r="C318" s="632">
        <v>1045</v>
      </c>
      <c r="D318" s="632">
        <f t="shared" si="8"/>
        <v>1492.8571428571429</v>
      </c>
      <c r="E318" s="626">
        <f>E317*(1+IGPDI!D322/100)</f>
        <v>843.44165096290794</v>
      </c>
      <c r="F318" s="627">
        <f t="shared" si="9"/>
        <v>176.9959002087264</v>
      </c>
      <c r="G318" s="639"/>
      <c r="H318" s="638"/>
      <c r="I318" s="634"/>
      <c r="J318" s="636"/>
      <c r="K318" s="636"/>
      <c r="L318" s="636"/>
    </row>
    <row r="319" spans="1:12" ht="15.75" customHeight="1" x14ac:dyDescent="0.25">
      <c r="A319" s="556">
        <f>2020</f>
        <v>2020</v>
      </c>
      <c r="B319" s="557" t="s">
        <v>12</v>
      </c>
      <c r="C319" s="632">
        <v>1045</v>
      </c>
      <c r="D319" s="632">
        <f t="shared" si="8"/>
        <v>1492.8571428571429</v>
      </c>
      <c r="E319" s="626">
        <f>E318*(1+IGPDI!D323/100)</f>
        <v>849.84510732178103</v>
      </c>
      <c r="F319" s="627">
        <f t="shared" si="9"/>
        <v>175.66226245177347</v>
      </c>
      <c r="G319" s="639"/>
      <c r="H319" s="638"/>
      <c r="I319" s="634"/>
      <c r="J319" s="636"/>
      <c r="K319" s="636"/>
      <c r="L319" s="636"/>
    </row>
    <row r="320" spans="1:12" ht="15.75" customHeight="1" x14ac:dyDescent="0.25">
      <c r="A320" s="556">
        <f>2021</f>
        <v>2021</v>
      </c>
      <c r="B320" s="557" t="s">
        <v>13</v>
      </c>
      <c r="C320" s="632">
        <v>1100</v>
      </c>
      <c r="D320" s="632">
        <f t="shared" si="8"/>
        <v>1571.4285714285713</v>
      </c>
      <c r="E320" s="626">
        <f>E319*(1+IGPDI!D324/100)</f>
        <v>874.56450797444438</v>
      </c>
      <c r="F320" s="627">
        <f t="shared" si="9"/>
        <v>179.68126502962204</v>
      </c>
      <c r="G320" s="639"/>
      <c r="H320" s="638"/>
      <c r="I320" s="634"/>
      <c r="J320" s="636"/>
      <c r="K320" s="636"/>
      <c r="L320" s="636"/>
    </row>
    <row r="321" spans="1:12" ht="15.75" customHeight="1" x14ac:dyDescent="0.25">
      <c r="A321" s="556">
        <f>2021</f>
        <v>2021</v>
      </c>
      <c r="B321" s="557" t="s">
        <v>14</v>
      </c>
      <c r="C321" s="632">
        <v>1100</v>
      </c>
      <c r="D321" s="632">
        <f t="shared" si="8"/>
        <v>1571.4285714285713</v>
      </c>
      <c r="E321" s="626">
        <f>E320*(1+IGPDI!D325/100)</f>
        <v>898.22401985567808</v>
      </c>
      <c r="F321" s="627">
        <f t="shared" si="9"/>
        <v>174.94840225727432</v>
      </c>
      <c r="G321" s="639"/>
      <c r="H321" s="638"/>
      <c r="I321" s="634"/>
      <c r="J321" s="636"/>
      <c r="K321" s="636"/>
      <c r="L321" s="636"/>
    </row>
    <row r="322" spans="1:12" ht="15.75" customHeight="1" x14ac:dyDescent="0.25">
      <c r="A322" s="556">
        <f>2021</f>
        <v>2021</v>
      </c>
      <c r="B322" s="557" t="s">
        <v>15</v>
      </c>
      <c r="C322" s="632">
        <v>1100</v>
      </c>
      <c r="D322" s="632">
        <f t="shared" si="8"/>
        <v>1571.4285714285713</v>
      </c>
      <c r="E322" s="626">
        <f>E321*(1+IGPDI!D326/100)</f>
        <v>917.7221124235873</v>
      </c>
      <c r="F322" s="627">
        <f t="shared" si="9"/>
        <v>171.23141636836323</v>
      </c>
      <c r="G322" s="639"/>
      <c r="H322" s="638"/>
      <c r="I322" s="634"/>
      <c r="J322" s="636"/>
      <c r="K322" s="636"/>
      <c r="L322" s="636"/>
    </row>
    <row r="323" spans="1:12" ht="15.75" customHeight="1" x14ac:dyDescent="0.25">
      <c r="A323" s="556">
        <f>2021</f>
        <v>2021</v>
      </c>
      <c r="B323" s="557" t="s">
        <v>16</v>
      </c>
      <c r="C323" s="632">
        <v>1100</v>
      </c>
      <c r="D323" s="632">
        <f t="shared" si="8"/>
        <v>1571.4285714285713</v>
      </c>
      <c r="E323" s="626">
        <f>E322*(1+IGPDI!D327/100)</f>
        <v>938.08429470974806</v>
      </c>
      <c r="F323" s="627">
        <f t="shared" si="9"/>
        <v>167.51464450375281</v>
      </c>
      <c r="G323" s="639"/>
      <c r="H323" s="638"/>
      <c r="I323" s="634"/>
      <c r="J323" s="636"/>
      <c r="K323" s="636"/>
      <c r="L323" s="636"/>
    </row>
    <row r="324" spans="1:12" ht="15.75" customHeight="1" x14ac:dyDescent="0.25">
      <c r="A324" s="556">
        <f>2021</f>
        <v>2021</v>
      </c>
      <c r="B324" s="557" t="s">
        <v>17</v>
      </c>
      <c r="C324" s="632">
        <v>1100</v>
      </c>
      <c r="D324" s="632">
        <f t="shared" si="8"/>
        <v>1571.4285714285713</v>
      </c>
      <c r="E324" s="626">
        <f>E323*(1+IGPDI!D328/100)</f>
        <v>969.95633589189629</v>
      </c>
      <c r="F324" s="627">
        <f t="shared" si="9"/>
        <v>162.01023832517245</v>
      </c>
      <c r="G324" s="639"/>
      <c r="H324" s="638"/>
      <c r="I324" s="634"/>
      <c r="J324" s="636"/>
      <c r="K324" s="636"/>
      <c r="L324" s="636"/>
    </row>
    <row r="325" spans="1:12" ht="15.75" customHeight="1" x14ac:dyDescent="0.25">
      <c r="A325" s="556">
        <f>2021</f>
        <v>2021</v>
      </c>
      <c r="B325" s="557" t="s">
        <v>18</v>
      </c>
      <c r="C325" s="632">
        <v>1100</v>
      </c>
      <c r="D325" s="632">
        <f t="shared" si="8"/>
        <v>1571.4285714285713</v>
      </c>
      <c r="E325" s="626">
        <f>E324*(1+IGPDI!D329/100)</f>
        <v>971.03736728409206</v>
      </c>
      <c r="F325" s="627">
        <f t="shared" si="9"/>
        <v>161.82987641595315</v>
      </c>
      <c r="G325" s="639"/>
      <c r="H325" s="638"/>
      <c r="I325" s="634"/>
      <c r="J325" s="636"/>
      <c r="K325" s="636"/>
      <c r="L325" s="636"/>
    </row>
    <row r="326" spans="1:12" ht="15.75" customHeight="1" x14ac:dyDescent="0.25">
      <c r="A326" s="556">
        <f>2021</f>
        <v>2021</v>
      </c>
      <c r="B326" s="557" t="s">
        <v>19</v>
      </c>
      <c r="C326" s="632">
        <v>1100</v>
      </c>
      <c r="D326" s="632">
        <f t="shared" si="8"/>
        <v>1571.4285714285713</v>
      </c>
      <c r="E326" s="626">
        <f>E325*(1+IGPDI!D330/100)</f>
        <v>985.07606747253703</v>
      </c>
      <c r="F326" s="627">
        <f t="shared" si="9"/>
        <v>159.5235762310692</v>
      </c>
      <c r="G326" s="639"/>
      <c r="H326" s="638"/>
      <c r="I326" s="634"/>
      <c r="J326" s="636"/>
      <c r="K326" s="636"/>
      <c r="L326" s="636"/>
    </row>
    <row r="327" spans="1:12" ht="15.75" customHeight="1" x14ac:dyDescent="0.25">
      <c r="A327" s="556">
        <f>2021</f>
        <v>2021</v>
      </c>
      <c r="B327" s="557" t="s">
        <v>20</v>
      </c>
      <c r="C327" s="632">
        <v>1100</v>
      </c>
      <c r="D327" s="632">
        <f t="shared" si="8"/>
        <v>1571.4285714285713</v>
      </c>
      <c r="E327" s="626">
        <f>E326*(1+IGPDI!D331/100)</f>
        <v>983.72661672105471</v>
      </c>
      <c r="F327" s="627">
        <f t="shared" si="9"/>
        <v>159.74240655055542</v>
      </c>
      <c r="G327" s="639"/>
      <c r="H327" s="638"/>
      <c r="I327" s="634"/>
      <c r="J327" s="636"/>
      <c r="K327" s="636"/>
      <c r="L327" s="636"/>
    </row>
    <row r="328" spans="1:12" ht="15.75" customHeight="1" x14ac:dyDescent="0.25">
      <c r="A328" s="556">
        <f>2021</f>
        <v>2021</v>
      </c>
      <c r="B328" s="557" t="s">
        <v>21</v>
      </c>
      <c r="C328" s="632">
        <v>1100</v>
      </c>
      <c r="D328" s="632">
        <f t="shared" si="8"/>
        <v>1571.4285714285713</v>
      </c>
      <c r="E328" s="626">
        <f>E327*(1+IGPDI!D332/100)</f>
        <v>978.36098726846478</v>
      </c>
      <c r="F328" s="627">
        <f t="shared" si="9"/>
        <v>160.61848253127118</v>
      </c>
      <c r="G328" s="639"/>
      <c r="H328" s="638"/>
      <c r="I328" s="634"/>
      <c r="J328" s="636"/>
      <c r="K328" s="636"/>
      <c r="L328" s="636"/>
    </row>
    <row r="329" spans="1:12" ht="15.75" customHeight="1" x14ac:dyDescent="0.25">
      <c r="A329" s="556">
        <f>2021</f>
        <v>2021</v>
      </c>
      <c r="B329" s="557" t="s">
        <v>22</v>
      </c>
      <c r="C329" s="632">
        <v>1100</v>
      </c>
      <c r="D329" s="632">
        <f t="shared" ref="D329:D368" si="10">100*C329/C$8</f>
        <v>1571.4285714285713</v>
      </c>
      <c r="E329" s="626">
        <f>E328*(1+IGPDI!D333/100)</f>
        <v>993.97986854805299</v>
      </c>
      <c r="F329" s="627">
        <f t="shared" si="9"/>
        <v>158.09460746162006</v>
      </c>
      <c r="G329" s="639"/>
      <c r="H329" s="638"/>
      <c r="I329" s="634"/>
      <c r="J329" s="636"/>
      <c r="K329" s="636"/>
      <c r="L329" s="636"/>
    </row>
    <row r="330" spans="1:12" ht="15.75" customHeight="1" x14ac:dyDescent="0.25">
      <c r="A330" s="556">
        <f>2021</f>
        <v>2021</v>
      </c>
      <c r="B330" s="557" t="s">
        <v>23</v>
      </c>
      <c r="C330" s="632">
        <v>1100</v>
      </c>
      <c r="D330" s="632">
        <f t="shared" si="10"/>
        <v>1571.4285714285713</v>
      </c>
      <c r="E330" s="626">
        <f>E329*(1+IGPDI!D334/100)</f>
        <v>988.20793307900851</v>
      </c>
      <c r="F330" s="627">
        <f t="shared" ref="F330:F368" si="11">+D330*E$8/E330</f>
        <v>159.01800813644485</v>
      </c>
      <c r="G330" s="639"/>
      <c r="H330" s="638"/>
      <c r="I330" s="634"/>
      <c r="J330" s="636"/>
      <c r="K330" s="636"/>
      <c r="L330" s="636"/>
    </row>
    <row r="331" spans="1:12" ht="15.75" customHeight="1" x14ac:dyDescent="0.25">
      <c r="A331" s="556">
        <f>2021</f>
        <v>2021</v>
      </c>
      <c r="B331" s="557" t="s">
        <v>12</v>
      </c>
      <c r="C331" s="632">
        <v>1100</v>
      </c>
      <c r="D331" s="632">
        <f t="shared" si="10"/>
        <v>1571.4285714285713</v>
      </c>
      <c r="E331" s="626">
        <f>E330*(1+IGPDI!D335/100)</f>
        <v>1000.5873971595344</v>
      </c>
      <c r="F331" s="627">
        <f t="shared" si="11"/>
        <v>157.0506060629526</v>
      </c>
      <c r="G331" s="639"/>
      <c r="H331" s="638"/>
      <c r="I331" s="634"/>
      <c r="J331" s="636"/>
      <c r="K331" s="636"/>
      <c r="L331" s="636"/>
    </row>
    <row r="332" spans="1:12" ht="15.75" customHeight="1" x14ac:dyDescent="0.25">
      <c r="A332" s="556">
        <f>2022</f>
        <v>2022</v>
      </c>
      <c r="B332" s="557" t="s">
        <v>13</v>
      </c>
      <c r="C332" s="632">
        <v>1212</v>
      </c>
      <c r="D332" s="632">
        <f t="shared" si="10"/>
        <v>1731.4285714285713</v>
      </c>
      <c r="E332" s="626">
        <f>E331*(1+IGPDI!D336/100)</f>
        <v>1020.7271223054643</v>
      </c>
      <c r="F332" s="627">
        <f t="shared" si="11"/>
        <v>169.62697802306673</v>
      </c>
      <c r="G332" s="639"/>
      <c r="H332" s="638"/>
      <c r="I332" s="634"/>
      <c r="J332" s="636"/>
      <c r="K332" s="636"/>
      <c r="L332" s="636"/>
    </row>
    <row r="333" spans="1:12" ht="15.75" customHeight="1" x14ac:dyDescent="0.25">
      <c r="A333" s="556">
        <f>2022</f>
        <v>2022</v>
      </c>
      <c r="B333" s="557" t="s">
        <v>14</v>
      </c>
      <c r="C333" s="632">
        <v>1212</v>
      </c>
      <c r="D333" s="632">
        <f t="shared" si="10"/>
        <v>1731.4285714285713</v>
      </c>
      <c r="E333" s="626">
        <f>E332*(1+IGPDI!D337/100)</f>
        <v>1036.0591993381436</v>
      </c>
      <c r="F333" s="627">
        <f t="shared" si="11"/>
        <v>167.11676056104173</v>
      </c>
      <c r="G333" s="639"/>
      <c r="H333" s="638"/>
      <c r="I333" s="634"/>
      <c r="J333" s="636"/>
      <c r="K333" s="636"/>
      <c r="L333" s="636"/>
    </row>
    <row r="334" spans="1:12" ht="15.75" customHeight="1" x14ac:dyDescent="0.25">
      <c r="A334" s="556">
        <f>2022</f>
        <v>2022</v>
      </c>
      <c r="B334" s="557" t="s">
        <v>15</v>
      </c>
      <c r="C334" s="632">
        <v>1212</v>
      </c>
      <c r="D334" s="632">
        <f t="shared" si="10"/>
        <v>1731.4285714285713</v>
      </c>
      <c r="E334" s="626">
        <f>E333*(1+IGPDI!D338/100)</f>
        <v>1060.6030243140135</v>
      </c>
      <c r="F334" s="627">
        <f t="shared" si="11"/>
        <v>163.24944694066289</v>
      </c>
      <c r="G334" s="639"/>
      <c r="H334" s="638"/>
      <c r="I334" s="634"/>
      <c r="J334" s="636"/>
      <c r="K334" s="636"/>
      <c r="L334" s="636"/>
    </row>
    <row r="335" spans="1:12" ht="15.75" customHeight="1" x14ac:dyDescent="0.25">
      <c r="A335" s="556">
        <f>2022</f>
        <v>2022</v>
      </c>
      <c r="B335" s="557" t="s">
        <v>16</v>
      </c>
      <c r="C335" s="632">
        <v>1212</v>
      </c>
      <c r="D335" s="632">
        <f t="shared" si="10"/>
        <v>1731.4285714285713</v>
      </c>
      <c r="E335" s="626">
        <f>E334*(1+IGPDI!D339/100)</f>
        <v>1064.9869007675688</v>
      </c>
      <c r="F335" s="627">
        <f t="shared" si="11"/>
        <v>162.57745237811633</v>
      </c>
      <c r="G335" s="639"/>
      <c r="H335" s="638"/>
      <c r="I335" s="634"/>
      <c r="J335" s="636"/>
      <c r="K335" s="636"/>
      <c r="L335" s="636"/>
    </row>
    <row r="336" spans="1:12" ht="15.75" customHeight="1" x14ac:dyDescent="0.25">
      <c r="A336" s="556">
        <f>2022</f>
        <v>2022</v>
      </c>
      <c r="B336" s="557" t="s">
        <v>17</v>
      </c>
      <c r="C336" s="632">
        <v>1212</v>
      </c>
      <c r="D336" s="632">
        <f t="shared" si="10"/>
        <v>1731.4285714285713</v>
      </c>
      <c r="E336" s="626">
        <f>E335*(1+IGPDI!D340/100)</f>
        <v>1072.3371788389941</v>
      </c>
      <c r="F336" s="627">
        <f t="shared" si="11"/>
        <v>161.46307389091621</v>
      </c>
      <c r="G336" s="639"/>
      <c r="H336" s="638"/>
      <c r="I336" s="634"/>
      <c r="J336" s="636"/>
      <c r="K336" s="636"/>
      <c r="L336" s="636"/>
    </row>
    <row r="337" spans="1:12" ht="15.75" customHeight="1" x14ac:dyDescent="0.25">
      <c r="A337" s="556">
        <f>2022</f>
        <v>2022</v>
      </c>
      <c r="B337" s="557" t="s">
        <v>18</v>
      </c>
      <c r="C337" s="632">
        <v>1212</v>
      </c>
      <c r="D337" s="632">
        <f t="shared" si="10"/>
        <v>1731.4285714285713</v>
      </c>
      <c r="E337" s="626">
        <f>E336*(1+IGPDI!D341/100)</f>
        <v>1079.0375511329685</v>
      </c>
      <c r="F337" s="627">
        <f t="shared" si="11"/>
        <v>160.46045567279887</v>
      </c>
      <c r="G337" s="639"/>
      <c r="H337" s="638"/>
      <c r="I337" s="634"/>
      <c r="J337" s="636"/>
      <c r="K337" s="636"/>
      <c r="L337" s="636"/>
    </row>
    <row r="338" spans="1:12" ht="15.75" customHeight="1" x14ac:dyDescent="0.25">
      <c r="A338" s="556">
        <f>2022</f>
        <v>2022</v>
      </c>
      <c r="B338" s="557" t="s">
        <v>19</v>
      </c>
      <c r="C338" s="632">
        <v>1212</v>
      </c>
      <c r="D338" s="632">
        <f t="shared" si="10"/>
        <v>1731.4285714285713</v>
      </c>
      <c r="E338" s="626">
        <f>E337*(1+IGPDI!D342/100)</f>
        <v>1074.9882796341406</v>
      </c>
      <c r="F338" s="627">
        <f t="shared" si="11"/>
        <v>161.06487896015409</v>
      </c>
      <c r="G338" s="639"/>
      <c r="H338" s="638"/>
      <c r="I338" s="634"/>
      <c r="J338" s="636"/>
      <c r="K338" s="636"/>
      <c r="L338" s="636"/>
    </row>
    <row r="339" spans="1:12" ht="15.75" customHeight="1" x14ac:dyDescent="0.25">
      <c r="A339" s="556">
        <f>2022</f>
        <v>2022</v>
      </c>
      <c r="B339" s="557" t="s">
        <v>20</v>
      </c>
      <c r="C339" s="632">
        <v>1212</v>
      </c>
      <c r="D339" s="632">
        <f t="shared" si="10"/>
        <v>1731.4285714285713</v>
      </c>
      <c r="E339" s="626">
        <f>E338*(1+IGPDI!D343/100)</f>
        <v>1069.0407684883023</v>
      </c>
      <c r="F339" s="627">
        <f t="shared" si="11"/>
        <v>161.9609487743794</v>
      </c>
      <c r="G339" s="639"/>
      <c r="H339" s="638"/>
      <c r="I339" s="634"/>
      <c r="J339" s="636"/>
      <c r="K339" s="636"/>
      <c r="L339" s="636"/>
    </row>
    <row r="340" spans="1:12" ht="15.75" customHeight="1" x14ac:dyDescent="0.25">
      <c r="A340" s="556">
        <f>2022</f>
        <v>2022</v>
      </c>
      <c r="B340" s="557" t="s">
        <v>21</v>
      </c>
      <c r="C340" s="632">
        <v>1212</v>
      </c>
      <c r="D340" s="632">
        <f t="shared" si="10"/>
        <v>1731.4285714285713</v>
      </c>
      <c r="E340" s="626">
        <f>E339*(1+IGPDI!D344/100)</f>
        <v>1056.0380567173781</v>
      </c>
      <c r="F340" s="627">
        <f t="shared" si="11"/>
        <v>163.95513025454767</v>
      </c>
      <c r="G340" s="639"/>
      <c r="H340" s="638"/>
      <c r="I340" s="634"/>
      <c r="J340" s="636"/>
      <c r="K340" s="636"/>
      <c r="L340" s="636"/>
    </row>
    <row r="341" spans="1:12" ht="15.75" customHeight="1" x14ac:dyDescent="0.25">
      <c r="A341" s="556">
        <f>2022</f>
        <v>2022</v>
      </c>
      <c r="B341" s="557" t="s">
        <v>22</v>
      </c>
      <c r="C341" s="632">
        <v>1212</v>
      </c>
      <c r="D341" s="632">
        <f t="shared" si="10"/>
        <v>1731.4285714285713</v>
      </c>
      <c r="E341" s="626">
        <f>E340*(1+IGPDI!D345/100)</f>
        <v>1049.5316449878198</v>
      </c>
      <c r="F341" s="627">
        <f t="shared" si="11"/>
        <v>164.9715451360845</v>
      </c>
      <c r="G341" s="639"/>
      <c r="H341" s="638"/>
      <c r="I341" s="634"/>
      <c r="J341" s="636"/>
      <c r="K341" s="636"/>
      <c r="L341" s="636"/>
    </row>
    <row r="342" spans="1:12" ht="15.75" customHeight="1" x14ac:dyDescent="0.25">
      <c r="A342" s="556">
        <f>2022</f>
        <v>2022</v>
      </c>
      <c r="B342" s="557" t="s">
        <v>23</v>
      </c>
      <c r="C342" s="632">
        <v>1212</v>
      </c>
      <c r="D342" s="632">
        <f t="shared" si="10"/>
        <v>1731.4285714285713</v>
      </c>
      <c r="E342" s="626">
        <f>E341*(1+IGPDI!D346/100)</f>
        <v>1047.6940754699635</v>
      </c>
      <c r="F342" s="627">
        <f t="shared" si="11"/>
        <v>165.2608917017981</v>
      </c>
      <c r="G342" s="639"/>
      <c r="H342" s="638"/>
      <c r="I342" s="634"/>
      <c r="J342" s="636"/>
      <c r="K342" s="636"/>
      <c r="L342" s="636"/>
    </row>
    <row r="343" spans="1:12" ht="15.75" customHeight="1" x14ac:dyDescent="0.25">
      <c r="A343" s="556">
        <f>2022</f>
        <v>2022</v>
      </c>
      <c r="B343" s="557" t="s">
        <v>12</v>
      </c>
      <c r="C343" s="632">
        <v>1212</v>
      </c>
      <c r="D343" s="632">
        <f t="shared" si="10"/>
        <v>1731.4285714285713</v>
      </c>
      <c r="E343" s="626">
        <f>E342*(1+IGPDI!D347/100)</f>
        <v>1050.9031576044488</v>
      </c>
      <c r="F343" s="627">
        <f t="shared" si="11"/>
        <v>164.75624408393554</v>
      </c>
      <c r="G343" s="639"/>
      <c r="H343" s="638"/>
      <c r="I343" s="634"/>
      <c r="J343" s="636"/>
      <c r="K343" s="636"/>
      <c r="L343" s="636"/>
    </row>
    <row r="344" spans="1:12" ht="15.75" customHeight="1" x14ac:dyDescent="0.25">
      <c r="A344" s="556">
        <f>2023</f>
        <v>2023</v>
      </c>
      <c r="B344" s="557" t="s">
        <v>13</v>
      </c>
      <c r="C344" s="632">
        <v>1302</v>
      </c>
      <c r="D344" s="632">
        <f t="shared" si="10"/>
        <v>1860</v>
      </c>
      <c r="E344" s="626">
        <f>E343*(1+IGPDI!D348/100)</f>
        <v>1051.4877970308405</v>
      </c>
      <c r="F344" s="627">
        <f t="shared" si="11"/>
        <v>176.89220980521236</v>
      </c>
      <c r="G344" s="639"/>
      <c r="H344" s="638"/>
      <c r="I344" s="634"/>
      <c r="J344" s="636"/>
      <c r="K344" s="636"/>
      <c r="L344" s="636"/>
    </row>
    <row r="345" spans="1:12" ht="15.75" customHeight="1" x14ac:dyDescent="0.25">
      <c r="A345" s="560">
        <f>2023</f>
        <v>2023</v>
      </c>
      <c r="B345" s="561" t="s">
        <v>14</v>
      </c>
      <c r="C345" s="640">
        <v>1302</v>
      </c>
      <c r="D345" s="640">
        <f t="shared" si="10"/>
        <v>1860</v>
      </c>
      <c r="E345" s="641">
        <f>E344*(1+IGPDI!D349/100)</f>
        <v>1051.8646872270992</v>
      </c>
      <c r="F345" s="642">
        <f t="shared" si="11"/>
        <v>176.82882813599227</v>
      </c>
      <c r="G345" s="639"/>
      <c r="H345" s="638"/>
      <c r="I345" s="634"/>
      <c r="J345" s="636"/>
      <c r="K345" s="636"/>
      <c r="L345" s="636"/>
    </row>
    <row r="346" spans="1:12" ht="15.75" customHeight="1" x14ac:dyDescent="0.25">
      <c r="A346" s="560">
        <f>2023</f>
        <v>2023</v>
      </c>
      <c r="B346" s="561" t="s">
        <v>15</v>
      </c>
      <c r="C346" s="640">
        <v>1302</v>
      </c>
      <c r="D346" s="640">
        <f t="shared" si="10"/>
        <v>1860</v>
      </c>
      <c r="E346" s="640">
        <f>E345*(1+IGPDI!D350/100)</f>
        <v>1048.2667647194005</v>
      </c>
      <c r="F346" s="642">
        <f t="shared" si="11"/>
        <v>177.43575038343258</v>
      </c>
      <c r="G346" s="639"/>
      <c r="H346" s="638"/>
      <c r="I346" s="634"/>
      <c r="J346" s="636"/>
      <c r="K346" s="636"/>
      <c r="L346" s="636"/>
    </row>
    <row r="347" spans="1:12" ht="15.75" customHeight="1" x14ac:dyDescent="0.25">
      <c r="A347" s="560">
        <f>2023</f>
        <v>2023</v>
      </c>
      <c r="B347" s="561" t="s">
        <v>16</v>
      </c>
      <c r="C347" s="640">
        <v>1302</v>
      </c>
      <c r="D347" s="640">
        <f t="shared" si="10"/>
        <v>1860</v>
      </c>
      <c r="E347" s="640">
        <f>E346*(1+IGPDI!D351/100)</f>
        <v>1037.6476536287171</v>
      </c>
      <c r="F347" s="642">
        <f t="shared" si="11"/>
        <v>179.25159792878313</v>
      </c>
      <c r="G347" s="639"/>
      <c r="H347" s="638"/>
      <c r="I347" s="634"/>
      <c r="J347" s="636"/>
      <c r="K347" s="636"/>
      <c r="L347" s="636"/>
    </row>
    <row r="348" spans="1:12" ht="15.75" customHeight="1" x14ac:dyDescent="0.25">
      <c r="A348" s="560">
        <f>2023</f>
        <v>2023</v>
      </c>
      <c r="B348" s="561" t="s">
        <v>17</v>
      </c>
      <c r="C348" s="640">
        <v>1320</v>
      </c>
      <c r="D348" s="640">
        <f t="shared" si="10"/>
        <v>1885.7142857142858</v>
      </c>
      <c r="E348" s="640">
        <f>E347*(1+IGPDI!D352/100)</f>
        <v>1013.4724456496759</v>
      </c>
      <c r="F348" s="642">
        <f t="shared" si="11"/>
        <v>186.06468225245811</v>
      </c>
      <c r="G348" s="639"/>
      <c r="H348" s="638"/>
      <c r="I348" s="634"/>
      <c r="J348" s="636"/>
      <c r="K348" s="636"/>
      <c r="L348" s="636"/>
    </row>
    <row r="349" spans="1:12" ht="15.75" customHeight="1" x14ac:dyDescent="0.25">
      <c r="A349" s="560">
        <f>2023</f>
        <v>2023</v>
      </c>
      <c r="B349" s="561" t="s">
        <v>18</v>
      </c>
      <c r="C349" s="640">
        <v>1320</v>
      </c>
      <c r="D349" s="640">
        <f t="shared" si="10"/>
        <v>1885.7142857142858</v>
      </c>
      <c r="E349" s="640">
        <f>E348*(1+IGPDI!D353/100)</f>
        <v>998.73511973158043</v>
      </c>
      <c r="F349" s="642">
        <f t="shared" si="11"/>
        <v>188.81025093230821</v>
      </c>
      <c r="G349" s="639"/>
      <c r="H349" s="638"/>
      <c r="I349" s="634"/>
      <c r="J349" s="636"/>
      <c r="K349" s="636"/>
      <c r="L349" s="636"/>
    </row>
    <row r="350" spans="1:12" ht="15.75" customHeight="1" x14ac:dyDescent="0.25">
      <c r="A350" s="560">
        <f>2023</f>
        <v>2023</v>
      </c>
      <c r="B350" s="561" t="s">
        <v>19</v>
      </c>
      <c r="C350" s="640">
        <v>1320</v>
      </c>
      <c r="D350" s="640">
        <f t="shared" si="10"/>
        <v>1885.7142857142858</v>
      </c>
      <c r="E350" s="640">
        <f>E349*(1+IGPDI!D354/100)</f>
        <v>994.71894103047282</v>
      </c>
      <c r="F350" s="642">
        <f t="shared" si="11"/>
        <v>189.57257250583686</v>
      </c>
      <c r="G350" s="639"/>
      <c r="H350" s="638"/>
      <c r="I350" s="634"/>
      <c r="J350" s="636"/>
      <c r="K350" s="636"/>
      <c r="L350" s="636"/>
    </row>
    <row r="351" spans="1:12" ht="15.75" customHeight="1" x14ac:dyDescent="0.25">
      <c r="A351" s="560">
        <f>2023</f>
        <v>2023</v>
      </c>
      <c r="B351" s="561" t="s">
        <v>20</v>
      </c>
      <c r="C351" s="640">
        <v>1320</v>
      </c>
      <c r="D351" s="640">
        <f t="shared" si="10"/>
        <v>1885.7142857142858</v>
      </c>
      <c r="E351" s="640">
        <f>E350*(1+IGPDI!D355/100)</f>
        <v>995.1675322884588</v>
      </c>
      <c r="F351" s="642">
        <f t="shared" si="11"/>
        <v>189.48711895553416</v>
      </c>
      <c r="G351" s="639"/>
      <c r="H351" s="638"/>
      <c r="I351" s="634"/>
      <c r="J351" s="636"/>
      <c r="K351" s="636"/>
      <c r="L351" s="636"/>
    </row>
    <row r="352" spans="1:12" ht="15.75" customHeight="1" x14ac:dyDescent="0.25">
      <c r="A352" s="560">
        <f>2023</f>
        <v>2023</v>
      </c>
      <c r="B352" s="561" t="s">
        <v>21</v>
      </c>
      <c r="C352" s="640">
        <v>1320</v>
      </c>
      <c r="D352" s="640">
        <f t="shared" si="10"/>
        <v>1885.7142857142858</v>
      </c>
      <c r="E352" s="640">
        <f>E351*(1+IGPDI!D356/100)</f>
        <v>999.60380567173786</v>
      </c>
      <c r="F352" s="642">
        <f t="shared" si="11"/>
        <v>188.6461691136798</v>
      </c>
      <c r="G352" s="639"/>
      <c r="H352" s="638"/>
      <c r="I352" s="634"/>
      <c r="J352" s="636"/>
      <c r="K352" s="636"/>
      <c r="L352" s="636"/>
    </row>
    <row r="353" spans="1:12" ht="15.75" customHeight="1" x14ac:dyDescent="0.25">
      <c r="A353" s="560">
        <f>2023</f>
        <v>2023</v>
      </c>
      <c r="B353" s="561" t="s">
        <v>22</v>
      </c>
      <c r="C353" s="640">
        <v>1320</v>
      </c>
      <c r="D353" s="640">
        <f t="shared" si="10"/>
        <v>1885.7142857142858</v>
      </c>
      <c r="E353" s="640">
        <f>E352*(1+IGPDI!D357/100)</f>
        <v>1004.7102082088521</v>
      </c>
      <c r="F353" s="642">
        <f t="shared" si="11"/>
        <v>187.68738192439037</v>
      </c>
      <c r="G353" s="639"/>
      <c r="H353" s="638"/>
      <c r="I353" s="634"/>
      <c r="J353" s="636"/>
      <c r="K353" s="636"/>
      <c r="L353" s="636"/>
    </row>
    <row r="354" spans="1:12" ht="15.75" customHeight="1" x14ac:dyDescent="0.25">
      <c r="A354" s="560">
        <f>2023</f>
        <v>2023</v>
      </c>
      <c r="B354" s="561" t="s">
        <v>23</v>
      </c>
      <c r="C354" s="640">
        <v>1320</v>
      </c>
      <c r="D354" s="640">
        <f t="shared" si="10"/>
        <v>1885.7142857142858</v>
      </c>
      <c r="E354" s="640">
        <f>E353*(1+IGPDI!D358/100)</f>
        <v>1009.7715677712919</v>
      </c>
      <c r="F354" s="642">
        <f t="shared" si="11"/>
        <v>186.74662130528421</v>
      </c>
      <c r="G354" s="639"/>
      <c r="H354" s="638"/>
      <c r="I354" s="634"/>
      <c r="J354" s="636"/>
      <c r="K354" s="636"/>
      <c r="L354" s="636"/>
    </row>
    <row r="355" spans="1:12" ht="15.75" customHeight="1" x14ac:dyDescent="0.25">
      <c r="A355" s="560">
        <f>2023</f>
        <v>2023</v>
      </c>
      <c r="B355" s="561" t="s">
        <v>12</v>
      </c>
      <c r="C355" s="640">
        <v>1320</v>
      </c>
      <c r="D355" s="640">
        <f t="shared" si="10"/>
        <v>1885.7142857142858</v>
      </c>
      <c r="E355" s="640">
        <f>E354*(1+IGPDI!D359/100)</f>
        <v>1016.2623523463711</v>
      </c>
      <c r="F355" s="642">
        <f t="shared" si="11"/>
        <v>185.55388589968948</v>
      </c>
      <c r="G355" s="639"/>
      <c r="H355" s="638"/>
      <c r="I355" s="634"/>
      <c r="J355" s="636"/>
      <c r="K355" s="636"/>
      <c r="L355" s="636"/>
    </row>
    <row r="356" spans="1:12" ht="15.75" customHeight="1" x14ac:dyDescent="0.25">
      <c r="A356" s="560">
        <f>2024</f>
        <v>2024</v>
      </c>
      <c r="B356" s="561" t="s">
        <v>13</v>
      </c>
      <c r="C356" s="640">
        <v>1412</v>
      </c>
      <c r="D356" s="640">
        <f t="shared" si="10"/>
        <v>2017.1428571428571</v>
      </c>
      <c r="E356" s="640">
        <f>E355*(1+IGPDI!D360/100)</f>
        <v>1013.5321965344484</v>
      </c>
      <c r="F356" s="642">
        <f t="shared" si="11"/>
        <v>199.02109316704843</v>
      </c>
      <c r="G356" s="639"/>
      <c r="H356" s="638"/>
      <c r="I356" s="634"/>
      <c r="J356" s="636"/>
      <c r="K356" s="636"/>
      <c r="L356" s="636"/>
    </row>
    <row r="357" spans="1:12" ht="15.75" customHeight="1" x14ac:dyDescent="0.25">
      <c r="A357" s="560">
        <f>2024</f>
        <v>2024</v>
      </c>
      <c r="B357" s="561" t="s">
        <v>14</v>
      </c>
      <c r="C357" s="640">
        <v>1412</v>
      </c>
      <c r="D357" s="640">
        <f t="shared" si="10"/>
        <v>2017.1428571428571</v>
      </c>
      <c r="E357" s="640">
        <f>E356*(1+IGPDI!D361/100)</f>
        <v>1009.4176586845612</v>
      </c>
      <c r="F357" s="642">
        <f t="shared" si="11"/>
        <v>199.83233300787796</v>
      </c>
      <c r="G357" s="639"/>
      <c r="H357" s="638"/>
      <c r="I357" s="634"/>
      <c r="J357" s="636"/>
      <c r="K357" s="636"/>
      <c r="L357" s="636"/>
    </row>
    <row r="358" spans="1:12" ht="15.75" customHeight="1" x14ac:dyDescent="0.25">
      <c r="A358" s="560">
        <f>2024</f>
        <v>2024</v>
      </c>
      <c r="B358" s="561" t="s">
        <v>15</v>
      </c>
      <c r="C358" s="640">
        <v>1412</v>
      </c>
      <c r="D358" s="640">
        <f t="shared" si="10"/>
        <v>2017.1428571428571</v>
      </c>
      <c r="E358" s="640">
        <f>E357*(1+IGPDI!D362/100)</f>
        <v>1006.3547364066735</v>
      </c>
      <c r="F358" s="642">
        <f t="shared" si="11"/>
        <v>200.44053892421076</v>
      </c>
      <c r="G358" s="639"/>
      <c r="H358" s="638"/>
      <c r="I358" s="634"/>
      <c r="J358" s="636"/>
      <c r="K358" s="636"/>
      <c r="L358" s="636"/>
    </row>
    <row r="359" spans="1:12" ht="15.75" customHeight="1" x14ac:dyDescent="0.25">
      <c r="A359" s="560">
        <f>2024</f>
        <v>2024</v>
      </c>
      <c r="B359" s="561" t="s">
        <v>16</v>
      </c>
      <c r="C359" s="640">
        <v>1412</v>
      </c>
      <c r="D359" s="640">
        <f t="shared" si="10"/>
        <v>2017.1428571428571</v>
      </c>
      <c r="E359" s="640">
        <f>E358*(1+IGPDI!D363/100)</f>
        <v>1013.6140092843682</v>
      </c>
      <c r="F359" s="642">
        <f t="shared" si="11"/>
        <v>199.00502939644653</v>
      </c>
      <c r="G359" s="639"/>
      <c r="H359" s="638"/>
      <c r="I359" s="634"/>
      <c r="J359" s="636"/>
      <c r="K359" s="636"/>
      <c r="L359" s="636"/>
    </row>
    <row r="360" spans="1:12" ht="15.75" customHeight="1" x14ac:dyDescent="0.25">
      <c r="A360" s="560">
        <f>2024</f>
        <v>2024</v>
      </c>
      <c r="B360" s="561" t="s">
        <v>17</v>
      </c>
      <c r="C360" s="640">
        <v>1412</v>
      </c>
      <c r="D360" s="640">
        <f t="shared" si="10"/>
        <v>2017.1428571428571</v>
      </c>
      <c r="E360" s="640">
        <f>E359*(1+IGPDI!D364/100)</f>
        <v>1022.4387553431078</v>
      </c>
      <c r="F360" s="642">
        <f t="shared" si="11"/>
        <v>197.28740196922101</v>
      </c>
      <c r="G360" s="639"/>
      <c r="H360" s="638"/>
      <c r="I360" s="634"/>
      <c r="J360" s="636"/>
      <c r="K360" s="636"/>
      <c r="L360" s="636"/>
    </row>
    <row r="361" spans="1:12" ht="15.75" customHeight="1" x14ac:dyDescent="0.25">
      <c r="A361" s="560">
        <f>2024</f>
        <v>2024</v>
      </c>
      <c r="B361" s="561" t="s">
        <v>18</v>
      </c>
      <c r="C361" s="640">
        <v>1412</v>
      </c>
      <c r="D361" s="640">
        <f t="shared" si="10"/>
        <v>2017.1428571428571</v>
      </c>
      <c r="E361" s="640">
        <f>E360*(1+IGPDI!D365/100)</f>
        <v>1027.519419037551</v>
      </c>
      <c r="F361" s="642">
        <f t="shared" si="11"/>
        <v>196.31189637586209</v>
      </c>
      <c r="G361" s="639"/>
      <c r="H361" s="638"/>
      <c r="I361" s="634"/>
      <c r="J361" s="636"/>
      <c r="K361" s="636"/>
      <c r="L361" s="636"/>
    </row>
    <row r="362" spans="1:12" ht="15.75" customHeight="1" x14ac:dyDescent="0.25">
      <c r="A362" s="560">
        <f>2024</f>
        <v>2024</v>
      </c>
      <c r="B362" s="561" t="s">
        <v>19</v>
      </c>
      <c r="C362" s="640">
        <v>1412</v>
      </c>
      <c r="D362" s="640">
        <f t="shared" si="10"/>
        <v>2017.1428571428571</v>
      </c>
      <c r="E362" s="640">
        <f>E361*(1+IGPDI!D366/100)</f>
        <v>1036.0812612032908</v>
      </c>
      <c r="F362" s="642">
        <f t="shared" si="11"/>
        <v>194.68963803091802</v>
      </c>
      <c r="G362" s="639"/>
      <c r="H362" s="638"/>
      <c r="I362" s="634"/>
      <c r="J362" s="636"/>
      <c r="K362" s="636"/>
      <c r="L362" s="636"/>
    </row>
    <row r="363" spans="1:12" ht="15.75" customHeight="1" x14ac:dyDescent="0.25">
      <c r="A363" s="560">
        <f>2024</f>
        <v>2024</v>
      </c>
      <c r="B363" s="561" t="s">
        <v>20</v>
      </c>
      <c r="C363" s="640">
        <v>1412</v>
      </c>
      <c r="D363" s="640">
        <f t="shared" si="10"/>
        <v>2017.1428571428571</v>
      </c>
      <c r="E363" s="640">
        <f>E362*(1+IGPDI!D367/100)</f>
        <v>1037.2827136094127</v>
      </c>
      <c r="F363" s="642">
        <f t="shared" si="11"/>
        <v>194.46413505955806</v>
      </c>
      <c r="G363" s="639"/>
      <c r="H363" s="638"/>
      <c r="I363" s="634"/>
      <c r="J363" s="636"/>
      <c r="K363" s="636"/>
      <c r="L363" s="636"/>
    </row>
    <row r="364" spans="1:12" ht="15.75" customHeight="1" x14ac:dyDescent="0.25">
      <c r="A364" s="560">
        <f>2024</f>
        <v>2024</v>
      </c>
      <c r="B364" s="561" t="s">
        <v>21</v>
      </c>
      <c r="C364" s="640">
        <v>1412</v>
      </c>
      <c r="D364" s="640">
        <f t="shared" si="10"/>
        <v>2017.1428571428571</v>
      </c>
      <c r="E364" s="640">
        <f>E363*(1+IGPDI!D368/100)</f>
        <v>1047.9211288320996</v>
      </c>
      <c r="F364" s="642">
        <f t="shared" si="11"/>
        <v>192.48995002047033</v>
      </c>
      <c r="G364" s="639"/>
      <c r="H364" s="638"/>
      <c r="I364" s="634"/>
      <c r="J364" s="636"/>
      <c r="K364" s="636"/>
      <c r="L364" s="636"/>
    </row>
    <row r="365" spans="1:12" ht="15.75" customHeight="1" x14ac:dyDescent="0.25">
      <c r="A365" s="560">
        <f>2024</f>
        <v>2024</v>
      </c>
      <c r="B365" s="561" t="s">
        <v>22</v>
      </c>
      <c r="C365" s="640">
        <v>1412</v>
      </c>
      <c r="D365" s="640">
        <f t="shared" si="10"/>
        <v>2017.1428571428571</v>
      </c>
      <c r="E365" s="640">
        <f>E364*(1+IGPDI!D369/100)</f>
        <v>1064.0400790550166</v>
      </c>
      <c r="F365" s="642">
        <f t="shared" si="11"/>
        <v>189.57395467041988</v>
      </c>
      <c r="G365" s="639"/>
      <c r="H365" s="638"/>
      <c r="I365" s="634"/>
      <c r="J365" s="636"/>
      <c r="K365" s="636"/>
      <c r="L365" s="636"/>
    </row>
    <row r="366" spans="1:12" ht="15.75" customHeight="1" x14ac:dyDescent="0.25">
      <c r="A366" s="560">
        <f>2024</f>
        <v>2024</v>
      </c>
      <c r="B366" s="561" t="s">
        <v>23</v>
      </c>
      <c r="C366" s="640">
        <v>1412</v>
      </c>
      <c r="D366" s="640">
        <f t="shared" si="10"/>
        <v>2017.1428571428571</v>
      </c>
      <c r="E366" s="640">
        <f>E365*(1+IGPDI!D370/100)</f>
        <v>1076.6282116100563</v>
      </c>
      <c r="F366" s="642">
        <f t="shared" si="11"/>
        <v>187.35742156768279</v>
      </c>
      <c r="G366" s="639"/>
      <c r="H366" s="638"/>
      <c r="I366" s="634"/>
      <c r="J366" s="636"/>
      <c r="K366" s="636"/>
      <c r="L366" s="636"/>
    </row>
    <row r="367" spans="1:12" ht="15.75" customHeight="1" x14ac:dyDescent="0.25">
      <c r="A367" s="560">
        <f>2024</f>
        <v>2024</v>
      </c>
      <c r="B367" s="561" t="s">
        <v>12</v>
      </c>
      <c r="C367" s="640">
        <v>1412</v>
      </c>
      <c r="D367" s="640">
        <f t="shared" si="10"/>
        <v>2017.1428571428571</v>
      </c>
      <c r="E367" s="640">
        <f>E366*(1+IGPDI!D371/100)</f>
        <v>1086.0017465643236</v>
      </c>
      <c r="F367" s="642">
        <f t="shared" si="11"/>
        <v>185.74029586271777</v>
      </c>
      <c r="G367" s="639"/>
      <c r="H367" s="638"/>
      <c r="I367" s="634"/>
      <c r="J367" s="636"/>
      <c r="K367" s="636"/>
      <c r="L367" s="636"/>
    </row>
    <row r="368" spans="1:12" ht="15.75" customHeight="1" x14ac:dyDescent="0.25">
      <c r="A368" s="560">
        <f>2025</f>
        <v>2025</v>
      </c>
      <c r="B368" s="561" t="s">
        <v>13</v>
      </c>
      <c r="C368" s="640">
        <v>1518</v>
      </c>
      <c r="D368" s="640">
        <f t="shared" si="10"/>
        <v>2168.5714285714284</v>
      </c>
      <c r="E368" s="640">
        <f>E367*(1+IGPDI!D372/100)</f>
        <v>1087.1838948384423</v>
      </c>
      <c r="F368" s="642">
        <f t="shared" si="11"/>
        <v>199.46684630512141</v>
      </c>
      <c r="G368" s="639"/>
      <c r="H368" s="638"/>
      <c r="I368" s="634"/>
      <c r="J368" s="636"/>
      <c r="K368" s="636"/>
      <c r="L368" s="636"/>
    </row>
    <row r="369" spans="1:12" ht="15.75" customHeight="1" x14ac:dyDescent="0.25">
      <c r="A369" s="556">
        <f>2025</f>
        <v>2025</v>
      </c>
      <c r="B369" s="557" t="s">
        <v>14</v>
      </c>
      <c r="C369" s="632">
        <v>1518</v>
      </c>
      <c r="D369" s="632">
        <f t="shared" ref="D369" si="12">100*C369/C$8</f>
        <v>2168.5714285714284</v>
      </c>
      <c r="E369" s="632">
        <f>E368*(1+IGPDI!D373/100)</f>
        <v>1098.0539596451711</v>
      </c>
      <c r="F369" s="627">
        <f t="shared" ref="F369" si="13">+D369*E$8/E369</f>
        <v>197.49224612533504</v>
      </c>
      <c r="G369" s="639"/>
      <c r="H369" s="638"/>
      <c r="I369" s="657"/>
      <c r="J369" s="636"/>
      <c r="K369" s="636"/>
      <c r="L369" s="636"/>
    </row>
    <row r="370" spans="1:12" ht="15.75" customHeight="1" x14ac:dyDescent="0.25">
      <c r="A370" s="560">
        <f>2025</f>
        <v>2025</v>
      </c>
      <c r="B370" s="561" t="s">
        <v>15</v>
      </c>
      <c r="C370" s="640">
        <v>1518</v>
      </c>
      <c r="D370" s="640">
        <f t="shared" ref="D370" si="14">100*C370/C$8</f>
        <v>2168.5714285714284</v>
      </c>
      <c r="E370" s="640">
        <f>E369*(1+IGPDI!D374/100)</f>
        <v>1092.5679091786544</v>
      </c>
      <c r="F370" s="642">
        <f t="shared" ref="F370" si="15">+D370*E$8/E370</f>
        <v>198.48390295498129</v>
      </c>
      <c r="G370" s="639"/>
      <c r="H370" s="638"/>
      <c r="I370" s="657"/>
      <c r="J370" s="636"/>
      <c r="K370" s="636"/>
      <c r="L370" s="636"/>
    </row>
    <row r="371" spans="1:12" ht="15.75" customHeight="1" thickBot="1" x14ac:dyDescent="0.3">
      <c r="A371" s="564">
        <f>2025</f>
        <v>2025</v>
      </c>
      <c r="B371" s="565" t="s">
        <v>16</v>
      </c>
      <c r="C371" s="643">
        <v>1518</v>
      </c>
      <c r="D371" s="643">
        <f t="shared" ref="D371" si="16">100*C371/C$8</f>
        <v>2168.5714285714284</v>
      </c>
      <c r="E371" s="643">
        <f>E370*(1+IGPDI!D375/100)</f>
        <v>1095.8119225996188</v>
      </c>
      <c r="F371" s="644">
        <f t="shared" ref="F371" si="17">+D371*E$8/E371</f>
        <v>197.89631631556614</v>
      </c>
      <c r="G371" s="639"/>
      <c r="H371" s="638"/>
      <c r="I371" s="657"/>
      <c r="J371" s="636"/>
      <c r="K371" s="636"/>
      <c r="L371" s="636"/>
    </row>
    <row r="372" spans="1:12" x14ac:dyDescent="0.25">
      <c r="A372" s="645" t="s">
        <v>549</v>
      </c>
      <c r="C372" s="166"/>
      <c r="D372" s="166"/>
      <c r="E372" s="570"/>
      <c r="H372" s="163"/>
    </row>
    <row r="373" spans="1:12" x14ac:dyDescent="0.25">
      <c r="A373" s="645" t="s">
        <v>550</v>
      </c>
      <c r="E373" s="166"/>
      <c r="H373" s="646"/>
    </row>
    <row r="374" spans="1:12" x14ac:dyDescent="0.25">
      <c r="A374" s="55">
        <v>1619</v>
      </c>
    </row>
  </sheetData>
  <mergeCells count="11">
    <mergeCell ref="F6:F7"/>
    <mergeCell ref="A1:F3"/>
    <mergeCell ref="A4:C4"/>
    <mergeCell ref="D4:F4"/>
    <mergeCell ref="A5:C5"/>
    <mergeCell ref="D5:F5"/>
    <mergeCell ref="A6:A7"/>
    <mergeCell ref="B6:B7"/>
    <mergeCell ref="C6:C7"/>
    <mergeCell ref="D6:D7"/>
    <mergeCell ref="E6:E7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9C3-2117-4AFE-942E-6033DB8457FC}">
  <dimension ref="A1:H402"/>
  <sheetViews>
    <sheetView showGridLines="0" topLeftCell="A373" workbookViewId="0">
      <selection activeCell="H392" sqref="H392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8" width="16.5703125" style="55" bestFit="1" customWidth="1"/>
    <col min="9" max="16384" width="12.42578125" style="55"/>
  </cols>
  <sheetData>
    <row r="1" spans="1:7" ht="21" customHeight="1" x14ac:dyDescent="0.25">
      <c r="A1" s="682" t="s">
        <v>0</v>
      </c>
      <c r="B1" s="682"/>
      <c r="C1" s="682"/>
      <c r="D1" s="682"/>
      <c r="E1" s="682"/>
      <c r="F1" s="682"/>
      <c r="G1" s="682"/>
    </row>
    <row r="2" spans="1:7" ht="15.75" customHeight="1" x14ac:dyDescent="0.25">
      <c r="A2" s="682"/>
      <c r="B2" s="682"/>
      <c r="C2" s="682"/>
      <c r="D2" s="682"/>
      <c r="E2" s="682"/>
      <c r="F2" s="682"/>
      <c r="G2" s="682"/>
    </row>
    <row r="3" spans="1:7" ht="15" customHeight="1" thickBot="1" x14ac:dyDescent="0.3">
      <c r="A3" s="683"/>
      <c r="B3" s="683"/>
      <c r="C3" s="683"/>
      <c r="D3" s="683"/>
      <c r="E3" s="683"/>
      <c r="F3" s="683"/>
      <c r="G3" s="683"/>
    </row>
    <row r="4" spans="1:7" ht="17.25" customHeight="1" thickBot="1" x14ac:dyDescent="0.3">
      <c r="A4" s="684" t="s">
        <v>1</v>
      </c>
      <c r="B4" s="685"/>
      <c r="C4" s="686"/>
      <c r="D4" s="687" t="s">
        <v>2</v>
      </c>
      <c r="E4" s="688"/>
      <c r="F4" s="688"/>
      <c r="G4" s="688"/>
    </row>
    <row r="5" spans="1:7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695" t="s">
        <v>5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6"/>
    </row>
    <row r="7" spans="1:7" ht="16.5" hidden="1" thickBot="1" x14ac:dyDescent="0.3">
      <c r="A7" s="69">
        <v>1993</v>
      </c>
      <c r="B7" s="70" t="s">
        <v>12</v>
      </c>
      <c r="C7" s="71">
        <v>7.9790000000000001</v>
      </c>
      <c r="D7" s="72">
        <v>38.229999999999997</v>
      </c>
      <c r="E7" s="72">
        <v>2567.34</v>
      </c>
      <c r="F7" s="73">
        <v>2567.34</v>
      </c>
      <c r="G7" s="74">
        <f>+$C$392/C7</f>
        <v>151.94068938758403</v>
      </c>
    </row>
    <row r="8" spans="1:7" ht="16.5" hidden="1" thickBot="1" x14ac:dyDescent="0.3">
      <c r="A8" s="75">
        <v>1994</v>
      </c>
      <c r="B8" s="76" t="s">
        <v>13</v>
      </c>
      <c r="C8" s="77">
        <v>11.097</v>
      </c>
      <c r="D8" s="78"/>
      <c r="E8" s="78"/>
      <c r="F8" s="79"/>
      <c r="G8" s="80">
        <f>+$C$392/C8</f>
        <v>109.24887452676697</v>
      </c>
    </row>
    <row r="9" spans="1:7" ht="16.5" hidden="1" thickBot="1" x14ac:dyDescent="0.3">
      <c r="A9" s="75">
        <v>1994</v>
      </c>
      <c r="B9" s="76" t="s">
        <v>14</v>
      </c>
      <c r="C9" s="77">
        <v>15.62</v>
      </c>
      <c r="D9" s="78"/>
      <c r="E9" s="78"/>
      <c r="F9" s="79"/>
      <c r="G9" s="80">
        <f>+$C$392/C9</f>
        <v>77.614261243504032</v>
      </c>
    </row>
    <row r="10" spans="1:7" ht="16.5" hidden="1" thickBot="1" x14ac:dyDescent="0.3">
      <c r="A10" s="75">
        <v>1994</v>
      </c>
      <c r="B10" s="76" t="s">
        <v>15</v>
      </c>
      <c r="C10" s="77">
        <v>22.76</v>
      </c>
      <c r="D10" s="78">
        <f>100*((C10/C9)-1)</f>
        <v>45.710627400768253</v>
      </c>
      <c r="E10" s="78"/>
      <c r="F10" s="79"/>
      <c r="G10" s="80">
        <f>+$C$392/C10</f>
        <v>53.266026389434657</v>
      </c>
    </row>
    <row r="11" spans="1:7" ht="16.5" hidden="1" thickBot="1" x14ac:dyDescent="0.3">
      <c r="A11" s="75">
        <v>1994</v>
      </c>
      <c r="B11" s="76" t="s">
        <v>16</v>
      </c>
      <c r="C11" s="77">
        <v>32.07</v>
      </c>
      <c r="D11" s="78">
        <f t="shared" ref="D11:D17" si="0">100*((C11/C10)-1)</f>
        <v>40.905096660808439</v>
      </c>
      <c r="E11" s="78"/>
      <c r="F11" s="79"/>
      <c r="G11" s="80">
        <f>+$C$392/C11</f>
        <v>37.802767715108601</v>
      </c>
    </row>
    <row r="12" spans="1:7" ht="16.5" hidden="1" thickBot="1" x14ac:dyDescent="0.3">
      <c r="A12" s="75">
        <v>1994</v>
      </c>
      <c r="B12" s="76" t="s">
        <v>17</v>
      </c>
      <c r="C12" s="77">
        <v>45.73</v>
      </c>
      <c r="D12" s="78">
        <f t="shared" si="0"/>
        <v>42.594324914250059</v>
      </c>
      <c r="E12" s="78"/>
      <c r="F12" s="79"/>
      <c r="G12" s="80">
        <f>+$C$392/C12</f>
        <v>26.510709832134989</v>
      </c>
    </row>
    <row r="13" spans="1:7" ht="16.5" hidden="1" thickBot="1" x14ac:dyDescent="0.3">
      <c r="A13" s="75">
        <v>1994</v>
      </c>
      <c r="B13" s="76" t="s">
        <v>18</v>
      </c>
      <c r="C13" s="77">
        <v>66.41</v>
      </c>
      <c r="D13" s="78">
        <f t="shared" si="0"/>
        <v>45.221954952984909</v>
      </c>
      <c r="E13" s="78"/>
      <c r="F13" s="79"/>
      <c r="G13" s="80">
        <f>+$C$392/C13</f>
        <v>18.25530433102745</v>
      </c>
    </row>
    <row r="14" spans="1:7" ht="16.5" hidden="1" thickBot="1" x14ac:dyDescent="0.3">
      <c r="A14" s="75">
        <v>1994</v>
      </c>
      <c r="B14" s="76" t="s">
        <v>19</v>
      </c>
      <c r="C14" s="77">
        <v>92.97</v>
      </c>
      <c r="D14" s="78">
        <f t="shared" si="0"/>
        <v>39.993976810721279</v>
      </c>
      <c r="E14" s="78"/>
      <c r="F14" s="79"/>
      <c r="G14" s="80">
        <f>+$C$392/C14</f>
        <v>13.040064113407905</v>
      </c>
    </row>
    <row r="15" spans="1:7" ht="16.5" hidden="1" thickBot="1" x14ac:dyDescent="0.3">
      <c r="A15" s="75">
        <v>1994</v>
      </c>
      <c r="B15" s="76" t="s">
        <v>20</v>
      </c>
      <c r="C15" s="77">
        <v>100</v>
      </c>
      <c r="D15" s="78">
        <f t="shared" si="0"/>
        <v>7.5615790039797792</v>
      </c>
      <c r="E15" s="78"/>
      <c r="F15" s="79"/>
      <c r="G15" s="80">
        <f>+$C$392/C15</f>
        <v>12.123347606235329</v>
      </c>
    </row>
    <row r="16" spans="1:7" ht="16.5" hidden="1" thickBot="1" x14ac:dyDescent="0.3">
      <c r="A16" s="75">
        <v>1994</v>
      </c>
      <c r="B16" s="76" t="s">
        <v>21</v>
      </c>
      <c r="C16" s="77">
        <v>101.75</v>
      </c>
      <c r="D16" s="78">
        <f t="shared" si="0"/>
        <v>1.7500000000000071</v>
      </c>
      <c r="E16" s="78"/>
      <c r="F16" s="79"/>
      <c r="G16" s="80">
        <f>+$C$392/C16</f>
        <v>11.914837942246024</v>
      </c>
    </row>
    <row r="17" spans="1:7" ht="16.5" hidden="1" thickBot="1" x14ac:dyDescent="0.3">
      <c r="A17" s="75">
        <v>1994</v>
      </c>
      <c r="B17" s="76" t="s">
        <v>22</v>
      </c>
      <c r="C17" s="77">
        <v>103.6</v>
      </c>
      <c r="D17" s="78">
        <f t="shared" si="0"/>
        <v>1.8181818181818077</v>
      </c>
      <c r="E17" s="78"/>
      <c r="F17" s="79"/>
      <c r="G17" s="80">
        <f>+$C$392/C17</f>
        <v>11.702072978991632</v>
      </c>
    </row>
    <row r="18" spans="1:7" ht="16.5" hidden="1" thickBot="1" x14ac:dyDescent="0.3">
      <c r="A18" s="75">
        <v>1994</v>
      </c>
      <c r="B18" s="76" t="s">
        <v>23</v>
      </c>
      <c r="C18" s="77">
        <v>106.55</v>
      </c>
      <c r="D18" s="78">
        <f>100*((C18/C17)-1)</f>
        <v>2.8474903474903446</v>
      </c>
      <c r="E18" s="78"/>
      <c r="F18" s="79"/>
      <c r="G18" s="80">
        <f>+$C$392/C18</f>
        <v>11.378083159301108</v>
      </c>
    </row>
    <row r="19" spans="1:7" ht="16.5" hidden="1" thickBot="1" x14ac:dyDescent="0.3">
      <c r="A19" s="75">
        <v>1994</v>
      </c>
      <c r="B19" s="76" t="s">
        <v>12</v>
      </c>
      <c r="C19" s="77">
        <v>107.45</v>
      </c>
      <c r="D19" s="78">
        <f>100*((C19/C18)-1)</f>
        <v>0.84467386203661565</v>
      </c>
      <c r="E19" s="78">
        <v>1246.6199999999999</v>
      </c>
      <c r="F19" s="79">
        <v>1246.6199999999999</v>
      </c>
      <c r="G19" s="80">
        <f>+$C$392/C19</f>
        <v>11.282780461829065</v>
      </c>
    </row>
    <row r="20" spans="1:7" ht="16.5" hidden="1" thickBot="1" x14ac:dyDescent="0.3">
      <c r="A20" s="75"/>
      <c r="B20" s="76"/>
      <c r="C20" s="77"/>
      <c r="D20" s="78"/>
      <c r="E20" s="78"/>
      <c r="F20" s="79"/>
      <c r="G20" s="80"/>
    </row>
    <row r="21" spans="1:7" ht="16.5" hidden="1" thickBot="1" x14ac:dyDescent="0.3">
      <c r="A21" s="75">
        <v>1995</v>
      </c>
      <c r="B21" s="76" t="s">
        <v>13</v>
      </c>
      <c r="C21" s="77">
        <v>108.44199999999999</v>
      </c>
      <c r="D21" s="78">
        <f>100*((C21/C19)-1)</f>
        <v>0.92322010237317897</v>
      </c>
      <c r="E21" s="78">
        <f>100*((C21/107.45)-1)</f>
        <v>0.92322010237317897</v>
      </c>
      <c r="F21" s="79"/>
      <c r="G21" s="80">
        <f>+$C$392/C21</f>
        <v>11.179568438644926</v>
      </c>
    </row>
    <row r="22" spans="1:7" ht="16.5" hidden="1" thickBot="1" x14ac:dyDescent="0.3">
      <c r="A22" s="75">
        <v>1995</v>
      </c>
      <c r="B22" s="76" t="s">
        <v>14</v>
      </c>
      <c r="C22" s="77">
        <v>109.44499999999999</v>
      </c>
      <c r="D22" s="78">
        <f t="shared" ref="D22:D32" si="1">100*((C22/C21)-1)</f>
        <v>0.92491838955386374</v>
      </c>
      <c r="E22" s="78">
        <f>100*((C22/107.45)-1)</f>
        <v>1.8566775244299505</v>
      </c>
      <c r="F22" s="79">
        <f t="shared" ref="F22:F32" si="2">100*((C22/C9)-1)</f>
        <v>600.67221510883485</v>
      </c>
      <c r="G22" s="80">
        <f>+$C$392/C22</f>
        <v>11.07711417263039</v>
      </c>
    </row>
    <row r="23" spans="1:7" ht="16.5" hidden="1" thickBot="1" x14ac:dyDescent="0.3">
      <c r="A23" s="75">
        <v>1995</v>
      </c>
      <c r="B23" s="76" t="s">
        <v>15</v>
      </c>
      <c r="C23" s="77">
        <v>111.178</v>
      </c>
      <c r="D23" s="78">
        <f t="shared" si="1"/>
        <v>1.5834437388642764</v>
      </c>
      <c r="E23" s="78">
        <f t="shared" ref="E23:E31" si="3">100*((C23/107.45)-1)</f>
        <v>3.4695207073057288</v>
      </c>
      <c r="F23" s="79">
        <f t="shared" si="2"/>
        <v>388.47978910369062</v>
      </c>
      <c r="G23" s="80">
        <f>+$C$392/C23</f>
        <v>10.904448367694444</v>
      </c>
    </row>
    <row r="24" spans="1:7" ht="16.5" hidden="1" thickBot="1" x14ac:dyDescent="0.3">
      <c r="A24" s="75">
        <v>1995</v>
      </c>
      <c r="B24" s="76" t="s">
        <v>16</v>
      </c>
      <c r="C24" s="77">
        <v>113.518</v>
      </c>
      <c r="D24" s="78">
        <f t="shared" si="1"/>
        <v>2.1047329507636325</v>
      </c>
      <c r="E24" s="78">
        <f t="shared" si="3"/>
        <v>5.6472778036295912</v>
      </c>
      <c r="F24" s="79">
        <f t="shared" si="2"/>
        <v>253.96944184596197</v>
      </c>
      <c r="G24" s="80">
        <f>+$C$392/C24</f>
        <v>10.679669837589923</v>
      </c>
    </row>
    <row r="25" spans="1:7" ht="16.5" hidden="1" thickBot="1" x14ac:dyDescent="0.3">
      <c r="A25" s="75">
        <v>1995</v>
      </c>
      <c r="B25" s="76" t="s">
        <v>17</v>
      </c>
      <c r="C25" s="77">
        <v>114.17100000000001</v>
      </c>
      <c r="D25" s="78">
        <f t="shared" si="1"/>
        <v>0.57523916911856876</v>
      </c>
      <c r="E25" s="78">
        <f t="shared" si="3"/>
        <v>6.2550023266635613</v>
      </c>
      <c r="F25" s="79">
        <f t="shared" si="2"/>
        <v>149.66324076098846</v>
      </c>
      <c r="G25" s="80">
        <f>+$C$392/C25</f>
        <v>10.618587562721995</v>
      </c>
    </row>
    <row r="26" spans="1:7" ht="16.5" hidden="1" thickBot="1" x14ac:dyDescent="0.3">
      <c r="A26" s="75">
        <v>1995</v>
      </c>
      <c r="B26" s="76" t="s">
        <v>18</v>
      </c>
      <c r="C26" s="77">
        <v>116.98399999999999</v>
      </c>
      <c r="D26" s="78">
        <f t="shared" si="1"/>
        <v>2.4638480875178281</v>
      </c>
      <c r="E26" s="78">
        <f t="shared" si="3"/>
        <v>8.8729641693811026</v>
      </c>
      <c r="F26" s="79">
        <f t="shared" si="2"/>
        <v>76.154193645535301</v>
      </c>
      <c r="G26" s="80">
        <f>+$C$392/C26</f>
        <v>10.363252757843235</v>
      </c>
    </row>
    <row r="27" spans="1:7" ht="16.5" hidden="1" thickBot="1" x14ac:dyDescent="0.3">
      <c r="A27" s="75">
        <v>1995</v>
      </c>
      <c r="B27" s="76" t="s">
        <v>19</v>
      </c>
      <c r="C27" s="77">
        <v>119.114</v>
      </c>
      <c r="D27" s="78">
        <f t="shared" si="1"/>
        <v>1.8207618135813508</v>
      </c>
      <c r="E27" s="78">
        <f t="shared" si="3"/>
        <v>10.855281526291293</v>
      </c>
      <c r="F27" s="79">
        <f t="shared" si="2"/>
        <v>28.120899214800477</v>
      </c>
      <c r="G27" s="80">
        <f>+$C$392/C27</f>
        <v>10.17793677169378</v>
      </c>
    </row>
    <row r="28" spans="1:7" ht="16.5" hidden="1" thickBot="1" x14ac:dyDescent="0.3">
      <c r="A28" s="75">
        <v>1995</v>
      </c>
      <c r="B28" s="76" t="s">
        <v>20</v>
      </c>
      <c r="C28" s="77">
        <v>121.729</v>
      </c>
      <c r="D28" s="78">
        <f t="shared" si="1"/>
        <v>2.1953758584213334</v>
      </c>
      <c r="E28" s="78">
        <f t="shared" si="3"/>
        <v>13.288971614704504</v>
      </c>
      <c r="F28" s="79">
        <f t="shared" si="2"/>
        <v>21.728999999999999</v>
      </c>
      <c r="G28" s="80">
        <f>+$C$392/C28</f>
        <v>9.9592928605634885</v>
      </c>
    </row>
    <row r="29" spans="1:7" ht="16.5" hidden="1" thickBot="1" x14ac:dyDescent="0.3">
      <c r="A29" s="75">
        <v>1995</v>
      </c>
      <c r="B29" s="76" t="s">
        <v>21</v>
      </c>
      <c r="C29" s="77">
        <v>120.869</v>
      </c>
      <c r="D29" s="78">
        <f t="shared" si="1"/>
        <v>-0.70648736126970313</v>
      </c>
      <c r="E29" s="78">
        <f t="shared" si="3"/>
        <v>12.488599348534191</v>
      </c>
      <c r="F29" s="79">
        <f t="shared" si="2"/>
        <v>18.790171990171988</v>
      </c>
      <c r="G29" s="80">
        <f>+$C$392/C29</f>
        <v>10.030154635378244</v>
      </c>
    </row>
    <row r="30" spans="1:7" ht="16.5" hidden="1" thickBot="1" x14ac:dyDescent="0.3">
      <c r="A30" s="75">
        <v>1995</v>
      </c>
      <c r="B30" s="76" t="s">
        <v>22</v>
      </c>
      <c r="C30" s="77">
        <v>121.503</v>
      </c>
      <c r="D30" s="78">
        <f t="shared" si="1"/>
        <v>0.52453482696142029</v>
      </c>
      <c r="E30" s="78">
        <f t="shared" si="3"/>
        <v>13.07864122847835</v>
      </c>
      <c r="F30" s="79">
        <f t="shared" si="2"/>
        <v>17.280888030888029</v>
      </c>
      <c r="G30" s="80">
        <f>+$C$392/C30</f>
        <v>9.9778175075803315</v>
      </c>
    </row>
    <row r="31" spans="1:7" ht="16.5" hidden="1" thickBot="1" x14ac:dyDescent="0.3">
      <c r="A31" s="75">
        <v>1995</v>
      </c>
      <c r="B31" s="76" t="s">
        <v>23</v>
      </c>
      <c r="C31" s="77">
        <v>122.955</v>
      </c>
      <c r="D31" s="78">
        <f t="shared" si="1"/>
        <v>1.1950322214266285</v>
      </c>
      <c r="E31" s="78">
        <f t="shared" si="3"/>
        <v>14.4299674267101</v>
      </c>
      <c r="F31" s="79">
        <f t="shared" si="2"/>
        <v>15.396527451900521</v>
      </c>
      <c r="G31" s="80">
        <f>+$C$392/C31</f>
        <v>9.8599874801637419</v>
      </c>
    </row>
    <row r="32" spans="1:7" ht="16.5" hidden="1" thickBot="1" x14ac:dyDescent="0.3">
      <c r="A32" s="75">
        <v>1995</v>
      </c>
      <c r="B32" s="76" t="s">
        <v>12</v>
      </c>
      <c r="C32" s="77">
        <v>123.82</v>
      </c>
      <c r="D32" s="78">
        <f t="shared" si="1"/>
        <v>0.70350941401324807</v>
      </c>
      <c r="E32" s="78">
        <f>100*((C27/C19)-1)</f>
        <v>10.855281526291293</v>
      </c>
      <c r="F32" s="79">
        <f t="shared" si="2"/>
        <v>15.234993020009302</v>
      </c>
      <c r="G32" s="80">
        <f>+$C$392/C32</f>
        <v>9.7911061268254969</v>
      </c>
    </row>
    <row r="33" spans="1:7" ht="16.5" hidden="1" thickBot="1" x14ac:dyDescent="0.3">
      <c r="A33" s="75"/>
      <c r="B33" s="76"/>
      <c r="C33" s="77"/>
      <c r="D33" s="78"/>
      <c r="E33" s="78"/>
      <c r="F33" s="79"/>
      <c r="G33" s="80"/>
    </row>
    <row r="34" spans="1:7" ht="16.5" hidden="1" thickBot="1" x14ac:dyDescent="0.3">
      <c r="A34" s="75">
        <v>1996</v>
      </c>
      <c r="B34" s="76" t="s">
        <v>13</v>
      </c>
      <c r="C34" s="77">
        <v>125.977</v>
      </c>
      <c r="D34" s="78">
        <f>100*((C34/C32)-1)</f>
        <v>1.7420449038927588</v>
      </c>
      <c r="E34" s="78">
        <f t="shared" ref="E34:E44" si="4">100*((C34/123.815)-1)</f>
        <v>1.7461535355167035</v>
      </c>
      <c r="F34" s="79">
        <f t="shared" ref="F34:F45" si="5">100*((C34/C21)-1)</f>
        <v>16.16993415835195</v>
      </c>
      <c r="G34" s="80">
        <f>+$C$392/C34</f>
        <v>9.6234611129296059</v>
      </c>
    </row>
    <row r="35" spans="1:7" ht="16.5" hidden="1" thickBot="1" x14ac:dyDescent="0.3">
      <c r="A35" s="75">
        <v>1996</v>
      </c>
      <c r="B35" s="76" t="s">
        <v>14</v>
      </c>
      <c r="C35" s="77">
        <v>127.202</v>
      </c>
      <c r="D35" s="78">
        <f>100*((C35/C34)-1)</f>
        <v>0.97239972375908756</v>
      </c>
      <c r="E35" s="78">
        <f t="shared" si="4"/>
        <v>2.7355328514315769</v>
      </c>
      <c r="F35" s="79">
        <f t="shared" si="5"/>
        <v>16.224587692448278</v>
      </c>
      <c r="G35" s="80">
        <f>+$C$392/C35</f>
        <v>9.5307837976095726</v>
      </c>
    </row>
    <row r="36" spans="1:7" ht="16.5" hidden="1" thickBot="1" x14ac:dyDescent="0.3">
      <c r="A36" s="75">
        <v>1996</v>
      </c>
      <c r="B36" s="76" t="s">
        <v>15</v>
      </c>
      <c r="C36" s="81">
        <v>127.715</v>
      </c>
      <c r="D36" s="78">
        <f>100*((C36/C35)-1)</f>
        <v>0.40329554566751469</v>
      </c>
      <c r="E36" s="78">
        <f t="shared" si="4"/>
        <v>3.1498606792391914</v>
      </c>
      <c r="F36" s="79">
        <f t="shared" si="5"/>
        <v>14.874345643922361</v>
      </c>
      <c r="G36" s="80">
        <f>+$C$392/C36</f>
        <v>9.4925009640491158</v>
      </c>
    </row>
    <row r="37" spans="1:7" ht="16.5" hidden="1" thickBot="1" x14ac:dyDescent="0.3">
      <c r="A37" s="75">
        <v>1996</v>
      </c>
      <c r="B37" s="76" t="s">
        <v>16</v>
      </c>
      <c r="C37" s="81">
        <v>128.13</v>
      </c>
      <c r="D37" s="78">
        <f>100*((C37/C36)-1)</f>
        <v>0.32494225423793655</v>
      </c>
      <c r="E37" s="78">
        <f t="shared" si="4"/>
        <v>3.4850381617736126</v>
      </c>
      <c r="F37" s="79">
        <f t="shared" si="5"/>
        <v>12.871967441286847</v>
      </c>
      <c r="G37" s="80">
        <f>+$C$392/C37</f>
        <v>9.4617557217164823</v>
      </c>
    </row>
    <row r="38" spans="1:7" ht="16.5" hidden="1" thickBot="1" x14ac:dyDescent="0.3">
      <c r="A38" s="75">
        <v>1996</v>
      </c>
      <c r="B38" s="76" t="s">
        <v>17</v>
      </c>
      <c r="C38" s="81">
        <v>130.12100000000001</v>
      </c>
      <c r="D38" s="78">
        <f t="shared" ref="D38:D44" si="6">100*((C38/C37)-1)</f>
        <v>1.5538905798798242</v>
      </c>
      <c r="E38" s="78">
        <f t="shared" si="4"/>
        <v>5.0930824213544446</v>
      </c>
      <c r="F38" s="79">
        <f t="shared" si="5"/>
        <v>13.970272661183669</v>
      </c>
      <c r="G38" s="80">
        <f>+$C$392/C38</f>
        <v>9.3169800464454848</v>
      </c>
    </row>
    <row r="39" spans="1:7" ht="16.5" hidden="1" thickBot="1" x14ac:dyDescent="0.3">
      <c r="A39" s="75">
        <v>1996</v>
      </c>
      <c r="B39" s="76" t="s">
        <v>18</v>
      </c>
      <c r="C39" s="81">
        <v>131.44499999999999</v>
      </c>
      <c r="D39" s="78">
        <f t="shared" si="6"/>
        <v>1.017514467303493</v>
      </c>
      <c r="E39" s="78">
        <f t="shared" si="4"/>
        <v>6.1624197391269231</v>
      </c>
      <c r="F39" s="79">
        <f t="shared" si="5"/>
        <v>12.36151952403748</v>
      </c>
      <c r="G39" s="80">
        <f>+$C$392/C39</f>
        <v>9.2231333304692686</v>
      </c>
    </row>
    <row r="40" spans="1:7" ht="16.5" hidden="1" thickBot="1" x14ac:dyDescent="0.3">
      <c r="A40" s="75">
        <v>1996</v>
      </c>
      <c r="B40" s="76" t="s">
        <v>19</v>
      </c>
      <c r="C40" s="81">
        <v>133.21299999999999</v>
      </c>
      <c r="D40" s="78">
        <f t="shared" si="6"/>
        <v>1.3450492601468245</v>
      </c>
      <c r="E40" s="78">
        <f t="shared" si="4"/>
        <v>7.5903565803820294</v>
      </c>
      <c r="F40" s="79">
        <f t="shared" si="5"/>
        <v>11.836559934180691</v>
      </c>
      <c r="G40" s="80">
        <f>+$C$392/C40</f>
        <v>9.1007241081841332</v>
      </c>
    </row>
    <row r="41" spans="1:7" ht="16.5" hidden="1" thickBot="1" x14ac:dyDescent="0.3">
      <c r="A41" s="75">
        <v>1996</v>
      </c>
      <c r="B41" s="76" t="s">
        <v>20</v>
      </c>
      <c r="C41" s="81">
        <v>133.58699999999999</v>
      </c>
      <c r="D41" s="78">
        <f t="shared" si="6"/>
        <v>0.2807533799253692</v>
      </c>
      <c r="E41" s="78">
        <f t="shared" si="4"/>
        <v>7.8924201429552143</v>
      </c>
      <c r="F41" s="79">
        <f t="shared" si="5"/>
        <v>9.7413106162048457</v>
      </c>
      <c r="G41" s="80">
        <f>+$C$392/C41</f>
        <v>9.0752450509670322</v>
      </c>
    </row>
    <row r="42" spans="1:7" ht="16.5" hidden="1" thickBot="1" x14ac:dyDescent="0.3">
      <c r="A42" s="75">
        <v>1996</v>
      </c>
      <c r="B42" s="76" t="s">
        <v>21</v>
      </c>
      <c r="C42" s="81">
        <v>133.72200000000001</v>
      </c>
      <c r="D42" s="78">
        <f t="shared" si="6"/>
        <v>0.10105773765411996</v>
      </c>
      <c r="E42" s="78">
        <f t="shared" si="4"/>
        <v>8.0014537818519749</v>
      </c>
      <c r="F42" s="79">
        <f t="shared" si="5"/>
        <v>10.633826704945037</v>
      </c>
      <c r="G42" s="80">
        <f>+$C$392/C42</f>
        <v>9.0660830725201009</v>
      </c>
    </row>
    <row r="43" spans="1:7" ht="16.5" hidden="1" thickBot="1" x14ac:dyDescent="0.3">
      <c r="A43" s="75">
        <v>1996</v>
      </c>
      <c r="B43" s="76" t="s">
        <v>22</v>
      </c>
      <c r="C43" s="77">
        <v>133.97800000000001</v>
      </c>
      <c r="D43" s="78">
        <f t="shared" si="6"/>
        <v>0.19144194672529036</v>
      </c>
      <c r="E43" s="78">
        <f t="shared" si="4"/>
        <v>8.2082138674635541</v>
      </c>
      <c r="F43" s="79">
        <f t="shared" si="5"/>
        <v>10.267236199929219</v>
      </c>
      <c r="G43" s="80">
        <f>+$C$392/C43</f>
        <v>9.0487599503167147</v>
      </c>
    </row>
    <row r="44" spans="1:7" ht="16.5" hidden="1" thickBot="1" x14ac:dyDescent="0.3">
      <c r="A44" s="75">
        <v>1996</v>
      </c>
      <c r="B44" s="76" t="s">
        <v>23</v>
      </c>
      <c r="C44" s="77">
        <v>134.24199999999999</v>
      </c>
      <c r="D44" s="78">
        <f t="shared" si="6"/>
        <v>0.19704727641849384</v>
      </c>
      <c r="E44" s="78">
        <f t="shared" si="4"/>
        <v>8.421435205750516</v>
      </c>
      <c r="F44" s="79">
        <f t="shared" si="5"/>
        <v>9.1797812207718099</v>
      </c>
      <c r="G44" s="80">
        <f>+$C$392/C44</f>
        <v>9.0309646803797108</v>
      </c>
    </row>
    <row r="45" spans="1:7" ht="16.5" hidden="1" thickBot="1" x14ac:dyDescent="0.3">
      <c r="A45" s="75">
        <v>1996</v>
      </c>
      <c r="B45" s="76" t="s">
        <v>12</v>
      </c>
      <c r="C45" s="77">
        <v>135.22499999999999</v>
      </c>
      <c r="D45" s="78">
        <v>0.73</v>
      </c>
      <c r="E45" s="78">
        <v>9.19</v>
      </c>
      <c r="F45" s="79">
        <f t="shared" si="5"/>
        <v>9.2109513810369812</v>
      </c>
      <c r="G45" s="80">
        <f>+$C$392/C45</f>
        <v>8.9653152939436715</v>
      </c>
    </row>
    <row r="46" spans="1:7" ht="16.5" hidden="1" thickBot="1" x14ac:dyDescent="0.3">
      <c r="A46" s="75"/>
      <c r="B46" s="76"/>
      <c r="C46" s="77"/>
      <c r="D46" s="78"/>
      <c r="E46" s="78"/>
      <c r="F46" s="79"/>
      <c r="G46" s="80"/>
    </row>
    <row r="47" spans="1:7" ht="16.5" hidden="1" thickBot="1" x14ac:dyDescent="0.3">
      <c r="A47" s="75">
        <v>1997</v>
      </c>
      <c r="B47" s="76" t="s">
        <v>13</v>
      </c>
      <c r="C47" s="77">
        <v>137.613</v>
      </c>
      <c r="D47" s="78">
        <f>100*((C47/C45)-1)</f>
        <v>1.7659456461453171</v>
      </c>
      <c r="E47" s="78">
        <f t="shared" ref="E47:E54" si="7">100*((C47/135.2)-1)</f>
        <v>1.7847633136094831</v>
      </c>
      <c r="F47" s="79">
        <f t="shared" ref="F47:F54" si="8">100*((C47/C34)-1)</f>
        <v>9.2366066821721446</v>
      </c>
      <c r="G47" s="80">
        <f>+$C$392/C47</f>
        <v>8.8097400726932253</v>
      </c>
    </row>
    <row r="48" spans="1:7" ht="16.5" hidden="1" thickBot="1" x14ac:dyDescent="0.3">
      <c r="A48" s="75">
        <v>1997</v>
      </c>
      <c r="B48" s="76" t="s">
        <v>14</v>
      </c>
      <c r="C48" s="77">
        <v>138.20400000000001</v>
      </c>
      <c r="D48" s="78">
        <f t="shared" ref="D48:D54" si="9">100*((C48/C47)-1)</f>
        <v>0.42946523947593462</v>
      </c>
      <c r="E48" s="78">
        <f t="shared" si="7"/>
        <v>2.2218934911242716</v>
      </c>
      <c r="F48" s="79">
        <f t="shared" si="8"/>
        <v>8.6492350749202132</v>
      </c>
      <c r="G48" s="80">
        <f>+$C$392/C48</f>
        <v>8.7720670937420984</v>
      </c>
    </row>
    <row r="49" spans="1:7" ht="16.5" hidden="1" thickBot="1" x14ac:dyDescent="0.3">
      <c r="A49" s="75">
        <v>1997</v>
      </c>
      <c r="B49" s="76" t="s">
        <v>15</v>
      </c>
      <c r="C49" s="77">
        <v>139.79499999999999</v>
      </c>
      <c r="D49" s="78">
        <f t="shared" si="9"/>
        <v>1.1511967815692525</v>
      </c>
      <c r="E49" s="78">
        <f t="shared" si="7"/>
        <v>3.3986686390532483</v>
      </c>
      <c r="F49" s="79">
        <f t="shared" si="8"/>
        <v>9.4585600751673446</v>
      </c>
      <c r="G49" s="80">
        <f>+$C$392/C49</f>
        <v>8.6722326308060591</v>
      </c>
    </row>
    <row r="50" spans="1:7" ht="16.5" hidden="1" thickBot="1" x14ac:dyDescent="0.3">
      <c r="A50" s="75">
        <v>1997</v>
      </c>
      <c r="B50" s="76" t="s">
        <v>16</v>
      </c>
      <c r="C50" s="77">
        <v>140.74199999999999</v>
      </c>
      <c r="D50" s="78">
        <f t="shared" si="9"/>
        <v>0.67742050860188918</v>
      </c>
      <c r="E50" s="78">
        <f t="shared" si="7"/>
        <v>4.0991124260355116</v>
      </c>
      <c r="F50" s="79">
        <f t="shared" si="8"/>
        <v>9.8431280730508099</v>
      </c>
      <c r="G50" s="80">
        <f>+$C$392/C50</f>
        <v>8.6138804381317087</v>
      </c>
    </row>
    <row r="51" spans="1:7" ht="16.5" hidden="1" thickBot="1" x14ac:dyDescent="0.3">
      <c r="A51" s="75">
        <v>1997</v>
      </c>
      <c r="B51" s="76" t="s">
        <v>17</v>
      </c>
      <c r="C51" s="77">
        <v>141.04</v>
      </c>
      <c r="D51" s="78">
        <f t="shared" si="9"/>
        <v>0.2117349476346897</v>
      </c>
      <c r="E51" s="78">
        <f t="shared" si="7"/>
        <v>4.3195266272189281</v>
      </c>
      <c r="F51" s="79">
        <f t="shared" si="8"/>
        <v>8.3914202934191948</v>
      </c>
      <c r="G51" s="80">
        <f>+$C$392/C51</f>
        <v>8.5956803787828484</v>
      </c>
    </row>
    <row r="52" spans="1:7" ht="16.5" hidden="1" thickBot="1" x14ac:dyDescent="0.3">
      <c r="A52" s="75">
        <v>1997</v>
      </c>
      <c r="B52" s="76" t="s">
        <v>18</v>
      </c>
      <c r="C52" s="77">
        <v>142.09</v>
      </c>
      <c r="D52" s="78">
        <f t="shared" si="9"/>
        <v>0.74446965399888043</v>
      </c>
      <c r="E52" s="78">
        <f t="shared" si="7"/>
        <v>5.0961538461538503</v>
      </c>
      <c r="F52" s="79">
        <f t="shared" si="8"/>
        <v>8.0984442162121084</v>
      </c>
      <c r="G52" s="80">
        <f>+$C$392/C52</f>
        <v>8.5321610290909486</v>
      </c>
    </row>
    <row r="53" spans="1:7" ht="16.5" hidden="1" thickBot="1" x14ac:dyDescent="0.3">
      <c r="A53" s="75">
        <v>1997</v>
      </c>
      <c r="B53" s="76" t="s">
        <v>19</v>
      </c>
      <c r="C53" s="77">
        <v>142.221</v>
      </c>
      <c r="D53" s="78">
        <f t="shared" si="9"/>
        <v>9.2195087620527971E-2</v>
      </c>
      <c r="E53" s="78">
        <f t="shared" si="7"/>
        <v>5.1930473372781227</v>
      </c>
      <c r="F53" s="79">
        <f t="shared" si="8"/>
        <v>6.7621027977750048</v>
      </c>
      <c r="G53" s="80">
        <f>+$C$392/C53</f>
        <v>8.5243020413548845</v>
      </c>
    </row>
    <row r="54" spans="1:7" ht="16.5" hidden="1" thickBot="1" x14ac:dyDescent="0.3">
      <c r="A54" s="75">
        <v>1997</v>
      </c>
      <c r="B54" s="76" t="s">
        <v>20</v>
      </c>
      <c r="C54" s="77">
        <v>142.25299999999999</v>
      </c>
      <c r="D54" s="78">
        <f t="shared" si="9"/>
        <v>2.2500193361030263E-2</v>
      </c>
      <c r="E54" s="78">
        <f t="shared" si="7"/>
        <v>5.2167159763313542</v>
      </c>
      <c r="F54" s="79">
        <f t="shared" si="8"/>
        <v>6.4871581815595825</v>
      </c>
      <c r="G54" s="80">
        <f>+$C$392/C54</f>
        <v>8.5223844883660309</v>
      </c>
    </row>
    <row r="55" spans="1:7" ht="16.5" hidden="1" thickBot="1" x14ac:dyDescent="0.3">
      <c r="A55" s="75">
        <v>1997</v>
      </c>
      <c r="B55" s="76" t="s">
        <v>21</v>
      </c>
      <c r="C55" s="77">
        <v>143.042</v>
      </c>
      <c r="D55" s="78">
        <v>0.48</v>
      </c>
      <c r="E55" s="78">
        <f>100*(($C$55/$C$45)-1)</f>
        <v>5.7807358106858997</v>
      </c>
      <c r="F55" s="79">
        <v>6.96</v>
      </c>
      <c r="G55" s="80">
        <f>+$C$392/C55</f>
        <v>8.4753761875780036</v>
      </c>
    </row>
    <row r="56" spans="1:7" ht="16.5" hidden="1" thickBot="1" x14ac:dyDescent="0.3">
      <c r="A56" s="75">
        <v>1997</v>
      </c>
      <c r="B56" s="76" t="s">
        <v>22</v>
      </c>
      <c r="C56" s="77">
        <v>143.56700000000001</v>
      </c>
      <c r="D56" s="78">
        <f>($C$56/$C$55-1)*100</f>
        <v>0.3670250695599897</v>
      </c>
      <c r="E56" s="78">
        <f>100*(($C$56/$C$45)-1)</f>
        <v>6.1689776298761378</v>
      </c>
      <c r="F56" s="79">
        <v>7.15</v>
      </c>
      <c r="G56" s="80">
        <f>+$C$392/C56</f>
        <v>8.4443831843218344</v>
      </c>
    </row>
    <row r="57" spans="1:7" ht="16.5" hidden="1" thickBot="1" x14ac:dyDescent="0.3">
      <c r="A57" s="75">
        <v>1997</v>
      </c>
      <c r="B57" s="76" t="s">
        <v>23</v>
      </c>
      <c r="C57" s="77">
        <v>144.48099999999999</v>
      </c>
      <c r="D57" s="78">
        <f>($C$56/$C$55-1)*100</f>
        <v>0.3670250695599897</v>
      </c>
      <c r="E57" s="78">
        <f>100*(($C$57/$C$45)-1)</f>
        <v>6.8448881493806679</v>
      </c>
      <c r="F57" s="79">
        <v>7.62</v>
      </c>
      <c r="G57" s="80">
        <f>+$C$392/C57</f>
        <v>8.3909632451570317</v>
      </c>
    </row>
    <row r="58" spans="1:7" ht="16.5" hidden="1" thickBot="1" x14ac:dyDescent="0.3">
      <c r="A58" s="75">
        <v>1997</v>
      </c>
      <c r="B58" s="76" t="s">
        <v>12</v>
      </c>
      <c r="C58" s="77">
        <v>145.69499999999999</v>
      </c>
      <c r="D58" s="78">
        <f>($C$57/$C$56-1)*100</f>
        <v>0.63663655296828381</v>
      </c>
      <c r="E58" s="78">
        <f>100*(($C$58/$C$45)-1)</f>
        <v>7.7426511369939055</v>
      </c>
      <c r="F58" s="79">
        <v>7.74</v>
      </c>
      <c r="G58" s="80">
        <f>+$C$392/C58</f>
        <v>8.3210457505304429</v>
      </c>
    </row>
    <row r="59" spans="1:7" ht="16.5" hidden="1" thickBot="1" x14ac:dyDescent="0.3">
      <c r="A59" s="75"/>
      <c r="B59" s="76"/>
      <c r="C59" s="77"/>
      <c r="D59" s="78"/>
      <c r="E59" s="78"/>
      <c r="F59" s="79"/>
      <c r="G59" s="80"/>
    </row>
    <row r="60" spans="1:7" ht="16.5" hidden="1" thickBot="1" x14ac:dyDescent="0.3">
      <c r="A60" s="75">
        <v>1998</v>
      </c>
      <c r="B60" s="76" t="s">
        <v>13</v>
      </c>
      <c r="C60" s="77">
        <v>147.09100000000001</v>
      </c>
      <c r="D60" s="78">
        <f>($C$60/$C$58-1)*100</f>
        <v>0.95816603177871773</v>
      </c>
      <c r="E60" s="78">
        <f>+$C$60/$C$57*100-100</f>
        <v>1.8064659020909488</v>
      </c>
      <c r="F60" s="79" t="s">
        <v>24</v>
      </c>
      <c r="G60" s="80">
        <f>+$C$392/C60</f>
        <v>8.242073006666164</v>
      </c>
    </row>
    <row r="61" spans="1:7" ht="16.5" hidden="1" thickBot="1" x14ac:dyDescent="0.3">
      <c r="A61" s="75">
        <v>1998</v>
      </c>
      <c r="B61" s="76" t="s">
        <v>14</v>
      </c>
      <c r="C61" s="77">
        <v>147.35599999999999</v>
      </c>
      <c r="D61" s="78">
        <f>($C$61/$C$60-1)*100</f>
        <v>0.1801605808648965</v>
      </c>
      <c r="E61" s="78">
        <f>+$C$61/$C$58*100-100</f>
        <v>1.1400528501321219</v>
      </c>
      <c r="F61" s="79">
        <v>6.62</v>
      </c>
      <c r="G61" s="80">
        <f>+$C$392/C61</f>
        <v>8.2272507439366773</v>
      </c>
    </row>
    <row r="62" spans="1:7" ht="16.5" hidden="1" thickBot="1" x14ac:dyDescent="0.3">
      <c r="A62" s="75">
        <v>1998</v>
      </c>
      <c r="B62" s="76" t="s">
        <v>15</v>
      </c>
      <c r="C62" s="77">
        <v>147.63499999999999</v>
      </c>
      <c r="D62" s="78">
        <f>($C$62/$C$61-1)*100</f>
        <v>0.18933738700832592</v>
      </c>
      <c r="E62" s="78">
        <f>+$C$62/$C$58*100-100</f>
        <v>1.3315487834174178</v>
      </c>
      <c r="F62" s="79">
        <v>5.61</v>
      </c>
      <c r="G62" s="80">
        <f>+$C$392/C62</f>
        <v>8.211702920198686</v>
      </c>
    </row>
    <row r="63" spans="1:7" ht="16.5" hidden="1" thickBot="1" x14ac:dyDescent="0.3">
      <c r="A63" s="75">
        <v>1998</v>
      </c>
      <c r="B63" s="76" t="s">
        <v>16</v>
      </c>
      <c r="C63" s="77">
        <v>147.821</v>
      </c>
      <c r="D63" s="78">
        <f>($C$63/$C$62-1)*100</f>
        <v>0.12598638534222495</v>
      </c>
      <c r="E63" s="78">
        <f>+$C$63/$C$58*100-100</f>
        <v>1.4592127389409342</v>
      </c>
      <c r="F63" s="79">
        <v>5.03</v>
      </c>
      <c r="G63" s="80">
        <f>+$C$392/C63</f>
        <v>8.2013703101963387</v>
      </c>
    </row>
    <row r="64" spans="1:7" ht="16.5" hidden="1" thickBot="1" x14ac:dyDescent="0.3">
      <c r="A64" s="75">
        <v>1998</v>
      </c>
      <c r="B64" s="76" t="s">
        <v>17</v>
      </c>
      <c r="C64" s="77">
        <v>148.02099999999999</v>
      </c>
      <c r="D64" s="78">
        <f>($C$64/$C$63-1)*100</f>
        <v>0.13529877351661224</v>
      </c>
      <c r="E64" s="78">
        <f>+$C$64/$C$58*100-100</f>
        <v>1.5964858093963272</v>
      </c>
      <c r="F64" s="79">
        <v>4.95</v>
      </c>
      <c r="G64" s="80">
        <f>+$C$392/C64</f>
        <v>8.1902889496999283</v>
      </c>
    </row>
    <row r="65" spans="1:7" ht="16.5" hidden="1" thickBot="1" x14ac:dyDescent="0.3">
      <c r="A65" s="75">
        <v>1998</v>
      </c>
      <c r="B65" s="76" t="s">
        <v>18</v>
      </c>
      <c r="C65" s="77">
        <v>148.58799999999999</v>
      </c>
      <c r="D65" s="78">
        <f>($C$65/$C$64-1)*100</f>
        <v>0.383053755885987</v>
      </c>
      <c r="E65" s="78">
        <f>+$C$65/$C$58*100-100</f>
        <v>1.9856549641374102</v>
      </c>
      <c r="F65" s="79">
        <v>4.58</v>
      </c>
      <c r="G65" s="80">
        <f>+$C$392/C65</f>
        <v>8.159035457934241</v>
      </c>
    </row>
    <row r="66" spans="1:7" ht="16.5" hidden="1" thickBot="1" x14ac:dyDescent="0.3">
      <c r="A66" s="75">
        <v>1998</v>
      </c>
      <c r="B66" s="76" t="s">
        <v>19</v>
      </c>
      <c r="C66" s="77">
        <v>148.339</v>
      </c>
      <c r="D66" s="78">
        <f>($C$66/$C$65-1)*100</f>
        <v>-0.16757746251379046</v>
      </c>
      <c r="E66" s="78">
        <f>+$C$66/$C$58*100-100</f>
        <v>1.8147499914204417</v>
      </c>
      <c r="F66" s="79">
        <v>4.3099999999999996</v>
      </c>
      <c r="G66" s="80">
        <f>+$C$392/C66</f>
        <v>8.1727311133520715</v>
      </c>
    </row>
    <row r="67" spans="1:7" ht="16.5" hidden="1" thickBot="1" x14ac:dyDescent="0.3">
      <c r="A67" s="75">
        <v>1998</v>
      </c>
      <c r="B67" s="76" t="s">
        <v>20</v>
      </c>
      <c r="C67" s="77">
        <v>148.10900000000001</v>
      </c>
      <c r="D67" s="78">
        <f>($C$67/$C$66-1)*100</f>
        <v>-0.15505025650704995</v>
      </c>
      <c r="E67" s="78">
        <f>+$C$67/$C$58*100-100</f>
        <v>1.6568859603967212</v>
      </c>
      <c r="F67" s="79">
        <v>4.04</v>
      </c>
      <c r="G67" s="80">
        <f>+$C$392/C67</f>
        <v>8.1854226321393888</v>
      </c>
    </row>
    <row r="68" spans="1:7" ht="16.5" hidden="1" thickBot="1" x14ac:dyDescent="0.3">
      <c r="A68" s="75">
        <v>1998</v>
      </c>
      <c r="B68" s="76" t="s">
        <v>21</v>
      </c>
      <c r="C68" s="77">
        <v>147.98400000000001</v>
      </c>
      <c r="D68" s="78">
        <f>($C$68/$C$67-1)*100</f>
        <v>-8.43973019870492E-2</v>
      </c>
      <c r="E68" s="78">
        <f>+$C$68/$C$58*100-100</f>
        <v>1.5710902913621112</v>
      </c>
      <c r="F68" s="79">
        <f>(($C$68/$C$55)-1)*100</f>
        <v>3.4549293214580334</v>
      </c>
      <c r="G68" s="80">
        <f>+$C$392/C68</f>
        <v>8.1923367433204461</v>
      </c>
    </row>
    <row r="69" spans="1:7" ht="16.5" hidden="1" thickBot="1" x14ac:dyDescent="0.3">
      <c r="A69" s="75">
        <v>1998</v>
      </c>
      <c r="B69" s="76" t="s">
        <v>22</v>
      </c>
      <c r="C69" s="77">
        <v>148.1</v>
      </c>
      <c r="D69" s="78">
        <f>($C$69/$C$68-1)*100</f>
        <v>7.8386852632705839E-2</v>
      </c>
      <c r="E69" s="78">
        <f>+$C$69/$C$58*100-100</f>
        <v>1.6507086722262301</v>
      </c>
      <c r="F69" s="79">
        <f>(($C$69/$C$56)-1)*100</f>
        <v>3.1574108256075428</v>
      </c>
      <c r="G69" s="80">
        <f>+$C$392/C69</f>
        <v>8.1859200582277722</v>
      </c>
    </row>
    <row r="70" spans="1:7" ht="16.5" hidden="1" thickBot="1" x14ac:dyDescent="0.3">
      <c r="A70" s="75">
        <v>1998</v>
      </c>
      <c r="B70" s="76" t="s">
        <v>23</v>
      </c>
      <c r="C70" s="77">
        <v>147.62799999999999</v>
      </c>
      <c r="D70" s="78">
        <f>($C$70/$C$69-1)*100</f>
        <v>-0.31870357866307097</v>
      </c>
      <c r="E70" s="78">
        <f>+$C$70/$C$58*100-100</f>
        <v>1.3267442259514723</v>
      </c>
      <c r="F70" s="79">
        <f>(($C$70/$C$57)-1)*100</f>
        <v>2.1781410704521553</v>
      </c>
      <c r="G70" s="80">
        <f>+$C$392/C70</f>
        <v>8.2120922902398803</v>
      </c>
    </row>
    <row r="71" spans="1:7" ht="16.5" hidden="1" thickBot="1" x14ac:dyDescent="0.3">
      <c r="A71" s="75">
        <v>1998</v>
      </c>
      <c r="B71" s="76" t="s">
        <v>12</v>
      </c>
      <c r="C71" s="77">
        <v>148.291</v>
      </c>
      <c r="D71" s="78">
        <f>($C$71/$C$70-1)*100</f>
        <v>0.44910179640720305</v>
      </c>
      <c r="E71" s="78">
        <f>+(($C$71/$C$58)-1)*100</f>
        <v>1.7818044545111489</v>
      </c>
      <c r="F71" s="79">
        <f>(($C$71/$C$58)-1)*100</f>
        <v>1.7818044545111489</v>
      </c>
      <c r="G71" s="80">
        <f>+$C$392/C71</f>
        <v>8.1753765273923094</v>
      </c>
    </row>
    <row r="72" spans="1:7" ht="16.5" hidden="1" thickBot="1" x14ac:dyDescent="0.3">
      <c r="A72" s="75"/>
      <c r="B72" s="76"/>
      <c r="C72" s="77"/>
      <c r="D72" s="78"/>
      <c r="E72" s="78"/>
      <c r="F72" s="79"/>
      <c r="G72" s="80"/>
    </row>
    <row r="73" spans="1:7" ht="16.5" hidden="1" thickBot="1" x14ac:dyDescent="0.3">
      <c r="A73" s="75">
        <v>1999</v>
      </c>
      <c r="B73" s="76" t="s">
        <v>13</v>
      </c>
      <c r="C73" s="77">
        <f>C71*(1+D73/100)</f>
        <v>149.5366444</v>
      </c>
      <c r="D73" s="78">
        <v>0.84</v>
      </c>
      <c r="E73" s="78">
        <f>+(($C$73/$C$71)-1)*100</f>
        <v>0.83999999999999631</v>
      </c>
      <c r="F73" s="79">
        <f>+(($C$73/$C$60)-1)*100</f>
        <v>1.6626743988415349</v>
      </c>
      <c r="G73" s="80">
        <f>+$C$392/C73</f>
        <v>8.1072754139154188</v>
      </c>
    </row>
    <row r="74" spans="1:7" ht="16.5" hidden="1" thickBot="1" x14ac:dyDescent="0.3">
      <c r="A74" s="75">
        <v>1999</v>
      </c>
      <c r="B74" s="76" t="s">
        <v>14</v>
      </c>
      <c r="C74" s="77">
        <f>C73*(1+D74/100)</f>
        <v>154.93491726284</v>
      </c>
      <c r="D74" s="78">
        <v>3.61</v>
      </c>
      <c r="E74" s="78">
        <f>+(($C$74/$C$71)-1)*100</f>
        <v>4.4803240000000022</v>
      </c>
      <c r="F74" s="79">
        <f>+(($C$74/$C$61)-1)*100</f>
        <v>5.1432702182741208</v>
      </c>
      <c r="G74" s="80">
        <f>+$C$392/C74</f>
        <v>7.8248001292495122</v>
      </c>
    </row>
    <row r="75" spans="1:7" ht="16.5" hidden="1" thickBot="1" x14ac:dyDescent="0.3">
      <c r="A75" s="75">
        <v>1999</v>
      </c>
      <c r="B75" s="76" t="s">
        <v>15</v>
      </c>
      <c r="C75" s="77">
        <f t="shared" ref="C75:C84" si="10">C74*(1+D75/100)</f>
        <v>159.31957542137837</v>
      </c>
      <c r="D75" s="78">
        <v>2.83</v>
      </c>
      <c r="E75" s="78">
        <f>+(($C$75/$C$71)-1)*100</f>
        <v>7.4371171692000138</v>
      </c>
      <c r="F75" s="79">
        <f>+(($C$75/$C$62)-1)*100</f>
        <v>7.9145022666565312</v>
      </c>
      <c r="G75" s="80">
        <f>+$C$392/C75</f>
        <v>7.6094526201006634</v>
      </c>
    </row>
    <row r="76" spans="1:7" ht="16.5" hidden="1" thickBot="1" x14ac:dyDescent="0.3">
      <c r="A76" s="75">
        <v>1999</v>
      </c>
      <c r="B76" s="76" t="s">
        <v>16</v>
      </c>
      <c r="C76" s="77">
        <f t="shared" si="10"/>
        <v>160.45074440687017</v>
      </c>
      <c r="D76" s="78">
        <v>0.71</v>
      </c>
      <c r="E76" s="78">
        <f>+(($C$76/$C$71)-1)*100</f>
        <v>8.1999207011013375</v>
      </c>
      <c r="F76" s="79">
        <f>+(($C$76/$C$63)-1)*100</f>
        <v>8.5439446403895012</v>
      </c>
      <c r="G76" s="80">
        <f>+$C$392/C76</f>
        <v>7.5558063946983047</v>
      </c>
    </row>
    <row r="77" spans="1:7" ht="16.5" hidden="1" thickBot="1" x14ac:dyDescent="0.3">
      <c r="A77" s="75">
        <v>1999</v>
      </c>
      <c r="B77" s="76" t="s">
        <v>17</v>
      </c>
      <c r="C77" s="77">
        <f t="shared" si="10"/>
        <v>159.98543724809025</v>
      </c>
      <c r="D77" s="78">
        <v>-0.28999999999999998</v>
      </c>
      <c r="E77" s="78">
        <f>+(($C$77/$C$71)-1)*100</f>
        <v>7.8861409310681418</v>
      </c>
      <c r="F77" s="79">
        <f>+(($C$77/$C$64)-1)*100</f>
        <v>8.0829323191238256</v>
      </c>
      <c r="G77" s="80">
        <f>+$C$392/C77</f>
        <v>7.577781962389234</v>
      </c>
    </row>
    <row r="78" spans="1:7" ht="16.5" hidden="1" thickBot="1" x14ac:dyDescent="0.3">
      <c r="A78" s="75">
        <v>1999</v>
      </c>
      <c r="B78" s="76" t="s">
        <v>18</v>
      </c>
      <c r="C78" s="77">
        <f t="shared" si="10"/>
        <v>160.56138482218338</v>
      </c>
      <c r="D78" s="78">
        <v>0.36</v>
      </c>
      <c r="E78" s="78">
        <f>+(($C$78/$C$71)-1)*100</f>
        <v>8.2745310384199975</v>
      </c>
      <c r="F78" s="79">
        <f>+(($C$78/$C$65)-1)*100</f>
        <v>8.058110225713655</v>
      </c>
      <c r="G78" s="80">
        <f>+$C$392/C78</f>
        <v>7.5505998030980797</v>
      </c>
    </row>
    <row r="79" spans="1:7" ht="16.5" hidden="1" thickBot="1" x14ac:dyDescent="0.3">
      <c r="A79" s="75">
        <v>1999</v>
      </c>
      <c r="B79" s="76" t="s">
        <v>19</v>
      </c>
      <c r="C79" s="77">
        <f t="shared" si="10"/>
        <v>163.05008628692724</v>
      </c>
      <c r="D79" s="78">
        <v>1.55</v>
      </c>
      <c r="E79" s="78">
        <f>+(($C$79/$C$71)-1)*100</f>
        <v>9.9527862695155012</v>
      </c>
      <c r="F79" s="79">
        <f>+(($C$79/$C$66)-1)*100</f>
        <v>9.9172074012412459</v>
      </c>
      <c r="G79" s="80">
        <f>+$C$392/C79</f>
        <v>7.4353518494318855</v>
      </c>
    </row>
    <row r="80" spans="1:7" ht="16.5" hidden="1" thickBot="1" x14ac:dyDescent="0.3">
      <c r="A80" s="75">
        <v>1999</v>
      </c>
      <c r="B80" s="82" t="s">
        <v>20</v>
      </c>
      <c r="C80" s="77">
        <f t="shared" si="10"/>
        <v>165.59366763300332</v>
      </c>
      <c r="D80" s="78">
        <v>1.56</v>
      </c>
      <c r="E80" s="78">
        <f>+(($C$80/$C$71)-1)*100</f>
        <v>11.668049735319963</v>
      </c>
      <c r="F80" s="79">
        <f>+(($C$80/$C$67)-1)*100</f>
        <v>11.805270194926255</v>
      </c>
      <c r="G80" s="80">
        <f>+$C$392/C80</f>
        <v>7.32114203370607</v>
      </c>
    </row>
    <row r="81" spans="1:7" ht="16.5" hidden="1" thickBot="1" x14ac:dyDescent="0.3">
      <c r="A81" s="75">
        <v>1999</v>
      </c>
      <c r="B81" s="82" t="s">
        <v>21</v>
      </c>
      <c r="C81" s="77">
        <f t="shared" si="10"/>
        <v>167.99477581368185</v>
      </c>
      <c r="D81" s="78">
        <v>1.45</v>
      </c>
      <c r="E81" s="78">
        <f>+(($C$81/$C$71)-1)*100</f>
        <v>13.287236456482088</v>
      </c>
      <c r="F81" s="79">
        <f>+(($C$81/$C$68)-1)*100</f>
        <v>13.522256334253591</v>
      </c>
      <c r="G81" s="80">
        <f>+$C$392/C81</f>
        <v>7.2165027439192411</v>
      </c>
    </row>
    <row r="82" spans="1:7" ht="16.5" hidden="1" thickBot="1" x14ac:dyDescent="0.3">
      <c r="A82" s="75">
        <v>1999</v>
      </c>
      <c r="B82" s="82" t="s">
        <v>22</v>
      </c>
      <c r="C82" s="77">
        <f t="shared" si="10"/>
        <v>170.85068700251443</v>
      </c>
      <c r="D82" s="78">
        <v>1.7</v>
      </c>
      <c r="E82" s="78">
        <f>+(($C$82/$C$71)-1)*100</f>
        <v>15.213119476242287</v>
      </c>
      <c r="F82" s="79">
        <f>+(($C$82/$C$69)-1)*100</f>
        <v>15.361706281238652</v>
      </c>
      <c r="G82" s="80">
        <f>+$C$392/C82</f>
        <v>7.0958729045420279</v>
      </c>
    </row>
    <row r="83" spans="1:7" ht="16.5" hidden="1" thickBot="1" x14ac:dyDescent="0.3">
      <c r="A83" s="75">
        <v>1999</v>
      </c>
      <c r="B83" s="82" t="s">
        <v>23</v>
      </c>
      <c r="C83" s="77">
        <f t="shared" si="10"/>
        <v>174.93401842187453</v>
      </c>
      <c r="D83" s="78">
        <v>2.39</v>
      </c>
      <c r="E83" s="78">
        <f>+(($C$83/$C$71)-1)*100</f>
        <v>17.966713031724456</v>
      </c>
      <c r="F83" s="79">
        <f>+(($C$83/$C$70)-1)*100</f>
        <v>18.496503659112463</v>
      </c>
      <c r="G83" s="80">
        <f>+$C$392/C83</f>
        <v>6.9302401646078993</v>
      </c>
    </row>
    <row r="84" spans="1:7" ht="16.5" hidden="1" thickBot="1" x14ac:dyDescent="0.3">
      <c r="A84" s="75">
        <v>1999</v>
      </c>
      <c r="B84" s="82" t="s">
        <v>12</v>
      </c>
      <c r="C84" s="77">
        <f t="shared" si="10"/>
        <v>178.10032415531046</v>
      </c>
      <c r="D84" s="78">
        <v>1.81</v>
      </c>
      <c r="E84" s="78">
        <f>+(($C$84/$C$71)-1)*100</f>
        <v>20.101910537598688</v>
      </c>
      <c r="F84" s="79">
        <f>+(($C$84/$C$71)-1)*100</f>
        <v>20.101910537598688</v>
      </c>
      <c r="G84" s="80">
        <f>+$C$392/C84</f>
        <v>6.8070328696669273</v>
      </c>
    </row>
    <row r="85" spans="1:7" ht="16.5" hidden="1" thickBot="1" x14ac:dyDescent="0.3">
      <c r="A85" s="75"/>
      <c r="B85" s="82"/>
      <c r="C85" s="77"/>
      <c r="D85" s="78"/>
      <c r="E85" s="78"/>
      <c r="F85" s="79"/>
      <c r="G85" s="80"/>
    </row>
    <row r="86" spans="1:7" ht="16.5" hidden="1" thickBot="1" x14ac:dyDescent="0.3">
      <c r="A86" s="75">
        <v>2000</v>
      </c>
      <c r="B86" s="82" t="s">
        <v>13</v>
      </c>
      <c r="C86" s="77">
        <f>C84*(1+D86/100)</f>
        <v>180.30099999999999</v>
      </c>
      <c r="D86" s="78">
        <v>1.2356383151613137</v>
      </c>
      <c r="E86" s="78">
        <f>+(($C$86/$C$84)-1)*100</f>
        <v>1.2356383151613137</v>
      </c>
      <c r="F86" s="79">
        <f>+(($C$86/$C$73)-1)*100</f>
        <v>20.573121540501816</v>
      </c>
      <c r="G86" s="80">
        <f>+$C$392/C86</f>
        <v>6.7239491773397431</v>
      </c>
    </row>
    <row r="87" spans="1:7" ht="16.5" hidden="1" thickBot="1" x14ac:dyDescent="0.3">
      <c r="A87" s="75">
        <v>2000</v>
      </c>
      <c r="B87" s="82" t="s">
        <v>14</v>
      </c>
      <c r="C87" s="77">
        <f t="shared" ref="C87:C92" si="11">C86*(1+D87/100)</f>
        <v>180.935</v>
      </c>
      <c r="D87" s="78">
        <v>0.3516342116793636</v>
      </c>
      <c r="E87" s="78">
        <f>+(($C$87/$C$84)-1)*100</f>
        <v>1.5916174538894046</v>
      </c>
      <c r="F87" s="79">
        <f>+(($C$87/$C$74)-1)*100</f>
        <v>16.781293201358906</v>
      </c>
      <c r="G87" s="80">
        <f>+$C$392/C87</f>
        <v>6.7003883196923368</v>
      </c>
    </row>
    <row r="88" spans="1:7" ht="16.5" hidden="1" thickBot="1" x14ac:dyDescent="0.3">
      <c r="A88" s="75">
        <v>2000</v>
      </c>
      <c r="B88" s="82" t="s">
        <v>15</v>
      </c>
      <c r="C88" s="77">
        <f t="shared" si="11"/>
        <v>181.214</v>
      </c>
      <c r="D88" s="78">
        <v>0.15419902174813593</v>
      </c>
      <c r="E88" s="78">
        <f>+(($C$88/$C$84)-1)*100</f>
        <v>1.748270734181423</v>
      </c>
      <c r="F88" s="79">
        <f>+(($C$88/$C$75)-1)*100</f>
        <v>13.742457272255383</v>
      </c>
      <c r="G88" s="80">
        <f>+$C$392/C88</f>
        <v>6.6900722936612675</v>
      </c>
    </row>
    <row r="89" spans="1:7" ht="16.5" hidden="1" thickBot="1" x14ac:dyDescent="0.3">
      <c r="A89" s="75">
        <v>2000</v>
      </c>
      <c r="B89" s="82" t="s">
        <v>16</v>
      </c>
      <c r="C89" s="77">
        <f t="shared" si="11"/>
        <v>181.63500000000002</v>
      </c>
      <c r="D89" s="78">
        <v>0.23232200602603115</v>
      </c>
      <c r="E89" s="78">
        <f>+(($C$89/$C$84)-1)*100</f>
        <v>1.9846543578478704</v>
      </c>
      <c r="F89" s="79">
        <f>+(($C$89/$C$76)-1)*100</f>
        <v>13.202964979340281</v>
      </c>
      <c r="G89" s="80">
        <f>+$C$392/C89</f>
        <v>6.6745658084814758</v>
      </c>
    </row>
    <row r="90" spans="1:7" ht="16.5" hidden="1" thickBot="1" x14ac:dyDescent="0.3">
      <c r="A90" s="75">
        <v>2000</v>
      </c>
      <c r="B90" s="82" t="s">
        <v>17</v>
      </c>
      <c r="C90" s="77">
        <f t="shared" si="11"/>
        <v>182.18900000000002</v>
      </c>
      <c r="D90" s="78">
        <v>0.30500729484956857</v>
      </c>
      <c r="E90" s="78">
        <f>+(($C$90/$C$84)-1)*100</f>
        <v>2.2957149932664178</v>
      </c>
      <c r="F90" s="79">
        <f>+(($C$90/$C$77)-1)*100</f>
        <v>13.878489901226821</v>
      </c>
      <c r="G90" s="80">
        <f>+$C$392/C90</f>
        <v>6.6542698001719796</v>
      </c>
    </row>
    <row r="91" spans="1:7" ht="16.5" hidden="1" thickBot="1" x14ac:dyDescent="0.3">
      <c r="A91" s="75">
        <v>2000</v>
      </c>
      <c r="B91" s="82" t="s">
        <v>18</v>
      </c>
      <c r="C91" s="77">
        <f t="shared" si="11"/>
        <v>183.74500000000003</v>
      </c>
      <c r="D91" s="78">
        <v>0.85405814840633365</v>
      </c>
      <c r="E91" s="78">
        <f>+(($C$91/$C$84)-1)*100</f>
        <v>3.1693798826369246</v>
      </c>
      <c r="F91" s="79">
        <f>+(($C$91/$C$78)-1)*100</f>
        <v>14.43909767189151</v>
      </c>
      <c r="G91" s="80">
        <f>+$C$392/C91</f>
        <v>6.5979197291002896</v>
      </c>
    </row>
    <row r="92" spans="1:7" ht="16.5" hidden="1" thickBot="1" x14ac:dyDescent="0.3">
      <c r="A92" s="75">
        <v>2000</v>
      </c>
      <c r="B92" s="82" t="s">
        <v>19</v>
      </c>
      <c r="C92" s="77">
        <f t="shared" si="11"/>
        <v>186.63400000000001</v>
      </c>
      <c r="D92" s="78">
        <v>1.5722876812974462</v>
      </c>
      <c r="E92" s="78">
        <f>+(($C$92/$C$84)-1)*100</f>
        <v>4.7914993334025935</v>
      </c>
      <c r="F92" s="79">
        <f>+(($C$92/$C$79)-1)*100</f>
        <v>14.464214187271885</v>
      </c>
      <c r="G92" s="80">
        <f>+$C$392/C92</f>
        <v>6.4957872661119245</v>
      </c>
    </row>
    <row r="93" spans="1:7" ht="16.5" hidden="1" thickBot="1" x14ac:dyDescent="0.3">
      <c r="A93" s="75">
        <v>2000</v>
      </c>
      <c r="B93" s="82" t="s">
        <v>20</v>
      </c>
      <c r="C93" s="77">
        <f>C92*(1+D93/100)</f>
        <v>191.08700000000002</v>
      </c>
      <c r="D93" s="78">
        <v>2.385953256105533</v>
      </c>
      <c r="E93" s="78">
        <f>+(($C$93/$C$84)-1)*100</f>
        <v>7.2917755238697257</v>
      </c>
      <c r="F93" s="79">
        <f>+(($C$93/$C$80)-1)*100</f>
        <v>15.395113068874267</v>
      </c>
      <c r="G93" s="80">
        <f>+$C$392/C93</f>
        <v>6.3444125483341764</v>
      </c>
    </row>
    <row r="94" spans="1:7" ht="16.5" hidden="1" thickBot="1" x14ac:dyDescent="0.3">
      <c r="A94" s="75">
        <v>2000</v>
      </c>
      <c r="B94" s="82" t="s">
        <v>21</v>
      </c>
      <c r="C94" s="77">
        <f>C93*(1+D94/100)</f>
        <v>193.29700000000005</v>
      </c>
      <c r="D94" s="78">
        <v>1.1565412613103065</v>
      </c>
      <c r="E94" s="78">
        <f>+(($C$94/$C$84)-1)*100</f>
        <v>8.5326491777957045</v>
      </c>
      <c r="F94" s="79">
        <f>+(($C$94/$C$81)-1)*100</f>
        <v>15.061316081864451</v>
      </c>
      <c r="G94" s="80">
        <f>+$C$392/C94</f>
        <v>6.2718757177997206</v>
      </c>
    </row>
    <row r="95" spans="1:7" ht="16.5" hidden="1" thickBot="1" x14ac:dyDescent="0.3">
      <c r="A95" s="75">
        <v>2000</v>
      </c>
      <c r="B95" s="82" t="s">
        <v>22</v>
      </c>
      <c r="C95" s="77">
        <f>C94*(1+D95/100)</f>
        <v>194.04000000000002</v>
      </c>
      <c r="D95" s="78">
        <v>0.38438258224389177</v>
      </c>
      <c r="E95" s="78">
        <f>+(($C$95/$C$84)-1)*100</f>
        <v>8.9498297772830249</v>
      </c>
      <c r="F95" s="79">
        <f>+(($C$95/$C$82)-1)*100</f>
        <v>13.572853234792269</v>
      </c>
      <c r="G95" s="80">
        <f>+$C$392/C95</f>
        <v>6.2478600320734525</v>
      </c>
    </row>
    <row r="96" spans="1:7" ht="16.5" hidden="1" thickBot="1" x14ac:dyDescent="0.3">
      <c r="A96" s="75">
        <v>2000</v>
      </c>
      <c r="B96" s="82" t="s">
        <v>23</v>
      </c>
      <c r="C96" s="77">
        <f>C95*(1+D96/100)</f>
        <v>194.59900000000002</v>
      </c>
      <c r="D96" s="78">
        <v>0.28808493094207854</v>
      </c>
      <c r="E96" s="78">
        <f>+(($C$96/$C$84)-1)*100</f>
        <v>9.2636978191584127</v>
      </c>
      <c r="F96" s="79">
        <f>+(($C$96/$C$83)-1)*100</f>
        <v>11.241370749685187</v>
      </c>
      <c r="G96" s="80">
        <f>+$C$392/C96</f>
        <v>6.2299125926830703</v>
      </c>
    </row>
    <row r="97" spans="1:7" ht="16.5" hidden="1" thickBot="1" x14ac:dyDescent="0.3">
      <c r="A97" s="75">
        <v>2000</v>
      </c>
      <c r="B97" s="82" t="s">
        <v>12</v>
      </c>
      <c r="C97" s="77">
        <f>C96*(1+D97/100)</f>
        <v>195.82700000000003</v>
      </c>
      <c r="D97" s="78">
        <v>0.63104126948236861</v>
      </c>
      <c r="E97" s="78">
        <f>+(($C$97/$C$84)-1)*100</f>
        <v>9.9531968449598107</v>
      </c>
      <c r="F97" s="79">
        <f>+(($C$97/$C$84)-1)*100</f>
        <v>9.9531968449598107</v>
      </c>
      <c r="G97" s="80">
        <f>+$C$392/C97</f>
        <v>6.1908458007503189</v>
      </c>
    </row>
    <row r="98" spans="1:7" ht="16.5" hidden="1" thickBot="1" x14ac:dyDescent="0.3">
      <c r="A98" s="75"/>
      <c r="B98" s="82"/>
      <c r="C98" s="77"/>
      <c r="D98" s="78"/>
      <c r="E98" s="78"/>
      <c r="F98" s="79"/>
      <c r="G98" s="80"/>
    </row>
    <row r="99" spans="1:7" ht="16.5" hidden="1" thickBot="1" x14ac:dyDescent="0.3">
      <c r="A99" s="75">
        <v>2001</v>
      </c>
      <c r="B99" s="82" t="s">
        <v>13</v>
      </c>
      <c r="C99" s="77">
        <f>C97*(1+D99/100)</f>
        <v>197.04500000000004</v>
      </c>
      <c r="D99" s="78">
        <v>0.62197756182753583</v>
      </c>
      <c r="E99" s="78">
        <f t="shared" ref="E99:E110" si="12">+((C99/$C$97)-1)*100</f>
        <v>0.62197756182753583</v>
      </c>
      <c r="F99" s="79">
        <f>+(($C$99/$C$86)-1)*100</f>
        <v>9.2866928081375413</v>
      </c>
      <c r="G99" s="80">
        <f>+$C$392/C99</f>
        <v>6.1525781452131882</v>
      </c>
    </row>
    <row r="100" spans="1:7" ht="16.5" hidden="1" thickBot="1" x14ac:dyDescent="0.3">
      <c r="A100" s="75">
        <v>2001</v>
      </c>
      <c r="B100" s="82" t="s">
        <v>14</v>
      </c>
      <c r="C100" s="77">
        <f t="shared" ref="C100:C106" si="13">C99*(1+D100/100)</f>
        <v>197.4910000000001</v>
      </c>
      <c r="D100" s="78">
        <v>0.22634423608822729</v>
      </c>
      <c r="E100" s="78">
        <f t="shared" si="12"/>
        <v>0.84972960827673916</v>
      </c>
      <c r="F100" s="79">
        <f>+((C100/$C$87)-1)*100</f>
        <v>9.1502473263879835</v>
      </c>
      <c r="G100" s="80">
        <f>+$C$392/C100</f>
        <v>6.1386835887383846</v>
      </c>
    </row>
    <row r="101" spans="1:7" ht="16.5" hidden="1" thickBot="1" x14ac:dyDescent="0.3">
      <c r="A101" s="75">
        <v>2001</v>
      </c>
      <c r="B101" s="82" t="s">
        <v>15</v>
      </c>
      <c r="C101" s="77">
        <f t="shared" si="13"/>
        <v>198.60600000000011</v>
      </c>
      <c r="D101" s="78">
        <v>0.56458268984409532</v>
      </c>
      <c r="E101" s="78">
        <f t="shared" si="12"/>
        <v>1.4191097243996476</v>
      </c>
      <c r="F101" s="79">
        <f t="shared" ref="F101:F110" si="14">+((C101/C88)-1)*100</f>
        <v>9.5974924674694595</v>
      </c>
      <c r="G101" s="80">
        <f>+$C$392/C101</f>
        <v>6.1042202180373817</v>
      </c>
    </row>
    <row r="102" spans="1:7" ht="16.5" hidden="1" thickBot="1" x14ac:dyDescent="0.3">
      <c r="A102" s="75">
        <v>2001</v>
      </c>
      <c r="B102" s="82" t="s">
        <v>16</v>
      </c>
      <c r="C102" s="77">
        <f t="shared" si="13"/>
        <v>200.59100000000012</v>
      </c>
      <c r="D102" s="78">
        <v>0.99946627997140602</v>
      </c>
      <c r="E102" s="78">
        <f t="shared" si="12"/>
        <v>2.4327595275422054</v>
      </c>
      <c r="F102" s="79">
        <f t="shared" si="14"/>
        <v>10.436314586946406</v>
      </c>
      <c r="G102" s="80">
        <f>+$C$392/C102</f>
        <v>6.0438143317672886</v>
      </c>
    </row>
    <row r="103" spans="1:7" ht="16.5" hidden="1" thickBot="1" x14ac:dyDescent="0.3">
      <c r="A103" s="75">
        <v>2001</v>
      </c>
      <c r="B103" s="82" t="s">
        <v>17</v>
      </c>
      <c r="C103" s="77">
        <f t="shared" si="13"/>
        <v>202.32400000000013</v>
      </c>
      <c r="D103" s="78">
        <v>0.86394703650711779</v>
      </c>
      <c r="E103" s="78">
        <f t="shared" si="12"/>
        <v>3.3177243178928784</v>
      </c>
      <c r="F103" s="79">
        <f t="shared" si="14"/>
        <v>11.051710037378815</v>
      </c>
      <c r="G103" s="80">
        <f>+$C$392/C103</f>
        <v>5.9920462259718681</v>
      </c>
    </row>
    <row r="104" spans="1:7" ht="16.5" hidden="1" thickBot="1" x14ac:dyDescent="0.3">
      <c r="A104" s="75">
        <v>2001</v>
      </c>
      <c r="B104" s="82" t="s">
        <v>18</v>
      </c>
      <c r="C104" s="77">
        <f t="shared" si="13"/>
        <v>204.31000000000014</v>
      </c>
      <c r="D104" s="78">
        <v>0.98159387912457596</v>
      </c>
      <c r="E104" s="78">
        <f t="shared" si="12"/>
        <v>4.3318847758481382</v>
      </c>
      <c r="F104" s="79">
        <f t="shared" si="14"/>
        <v>11.192141282756051</v>
      </c>
      <c r="G104" s="80">
        <f>+$C$392/C104</f>
        <v>5.9338004044027803</v>
      </c>
    </row>
    <row r="105" spans="1:7" ht="16.5" hidden="1" thickBot="1" x14ac:dyDescent="0.3">
      <c r="A105" s="75">
        <v>2001</v>
      </c>
      <c r="B105" s="82" t="s">
        <v>19</v>
      </c>
      <c r="C105" s="77">
        <f t="shared" si="13"/>
        <v>207.34100000000018</v>
      </c>
      <c r="D105" s="78">
        <v>1.4835299300083316</v>
      </c>
      <c r="E105" s="78">
        <f t="shared" si="12"/>
        <v>5.8796795130396484</v>
      </c>
      <c r="F105" s="79">
        <f t="shared" si="14"/>
        <v>11.094977335319477</v>
      </c>
      <c r="G105" s="80">
        <f>+$C$392/C105</f>
        <v>5.8470575555415083</v>
      </c>
    </row>
    <row r="106" spans="1:7" ht="16.5" hidden="1" thickBot="1" x14ac:dyDescent="0.3">
      <c r="A106" s="75">
        <v>2001</v>
      </c>
      <c r="B106" s="82" t="s">
        <v>20</v>
      </c>
      <c r="C106" s="77">
        <f t="shared" si="13"/>
        <v>210.21100000000018</v>
      </c>
      <c r="D106" s="78">
        <v>1.3841931889978287</v>
      </c>
      <c r="E106" s="78">
        <f t="shared" si="12"/>
        <v>7.345258825391876</v>
      </c>
      <c r="F106" s="79">
        <f t="shared" si="14"/>
        <v>10.008006824116844</v>
      </c>
      <c r="G106" s="80">
        <f>+$C$392/C106</f>
        <v>5.767227978666825</v>
      </c>
    </row>
    <row r="107" spans="1:7" ht="16.5" hidden="1" thickBot="1" x14ac:dyDescent="0.3">
      <c r="A107" s="75">
        <v>2001</v>
      </c>
      <c r="B107" s="82" t="s">
        <v>21</v>
      </c>
      <c r="C107" s="77">
        <f>C106*(1+D107/100)</f>
        <v>210.85300000000018</v>
      </c>
      <c r="D107" s="78">
        <v>0.30540742396925058</v>
      </c>
      <c r="E107" s="78">
        <f t="shared" si="12"/>
        <v>7.6730992151236244</v>
      </c>
      <c r="F107" s="79">
        <f t="shared" si="14"/>
        <v>9.0823965193459486</v>
      </c>
      <c r="G107" s="80">
        <f>+$C$392/C107</f>
        <v>5.7496680655410728</v>
      </c>
    </row>
    <row r="108" spans="1:7" ht="16.5" hidden="1" thickBot="1" x14ac:dyDescent="0.3">
      <c r="A108" s="75">
        <v>2001</v>
      </c>
      <c r="B108" s="82" t="s">
        <v>22</v>
      </c>
      <c r="C108" s="77">
        <f>C107*(1+D108/100)</f>
        <v>213.33900000000017</v>
      </c>
      <c r="D108" s="78">
        <v>1.1790204550089278</v>
      </c>
      <c r="E108" s="78">
        <f t="shared" si="12"/>
        <v>8.9425870794120002</v>
      </c>
      <c r="F108" s="79">
        <f t="shared" si="14"/>
        <v>9.9458874458875144</v>
      </c>
      <c r="G108" s="80">
        <f>+$C$392/C108</f>
        <v>5.6826682445475605</v>
      </c>
    </row>
    <row r="109" spans="1:7" ht="16.5" hidden="1" thickBot="1" x14ac:dyDescent="0.3">
      <c r="A109" s="75">
        <v>2001</v>
      </c>
      <c r="B109" s="82" t="s">
        <v>23</v>
      </c>
      <c r="C109" s="77">
        <f>C108*(1+D109/100)</f>
        <v>215.68500000000014</v>
      </c>
      <c r="D109" s="78">
        <v>1.099658290326655</v>
      </c>
      <c r="E109" s="78">
        <f t="shared" si="12"/>
        <v>10.140583269927085</v>
      </c>
      <c r="F109" s="79">
        <f t="shared" si="14"/>
        <v>10.835615804808917</v>
      </c>
      <c r="G109" s="80">
        <f>+$C$392/C109</f>
        <v>5.6208580134155461</v>
      </c>
    </row>
    <row r="110" spans="1:7" ht="16.5" hidden="1" thickBot="1" x14ac:dyDescent="0.3">
      <c r="A110" s="75">
        <v>2001</v>
      </c>
      <c r="B110" s="82" t="s">
        <v>12</v>
      </c>
      <c r="C110" s="77">
        <f>C109*(1+D110/100)</f>
        <v>216.16300000000015</v>
      </c>
      <c r="D110" s="78">
        <v>0.22161949138790327</v>
      </c>
      <c r="E110" s="78">
        <f t="shared" si="12"/>
        <v>10.384676270381576</v>
      </c>
      <c r="F110" s="79">
        <f t="shared" si="14"/>
        <v>10.384676270381576</v>
      </c>
      <c r="G110" s="80">
        <f>+$C$392/C110</f>
        <v>5.6084286423834424</v>
      </c>
    </row>
    <row r="111" spans="1:7" ht="16.5" hidden="1" thickBot="1" x14ac:dyDescent="0.3">
      <c r="A111" s="75"/>
      <c r="B111" s="82"/>
      <c r="C111" s="77"/>
      <c r="D111" s="78"/>
      <c r="E111" s="78"/>
      <c r="F111" s="79"/>
      <c r="G111" s="80"/>
    </row>
    <row r="112" spans="1:7" ht="16.5" hidden="1" thickBot="1" x14ac:dyDescent="0.3">
      <c r="A112" s="75">
        <v>2002</v>
      </c>
      <c r="B112" s="82" t="s">
        <v>13</v>
      </c>
      <c r="C112" s="77">
        <f>+C110*(1+D112/100)</f>
        <v>216.94400000000013</v>
      </c>
      <c r="D112" s="78">
        <v>0.36130142531329845</v>
      </c>
      <c r="E112" s="78">
        <f t="shared" ref="E112:E118" si="15">+((C112/$C$110)-1)*100</f>
        <v>0.36130142531329845</v>
      </c>
      <c r="F112" s="79">
        <f t="shared" ref="F112:F123" si="16">+((C112/C99)-1)*100</f>
        <v>10.098708416859136</v>
      </c>
      <c r="G112" s="80">
        <f>+$C$392/C112</f>
        <v>5.5882382579077188</v>
      </c>
    </row>
    <row r="113" spans="1:7" ht="16.5" hidden="1" thickBot="1" x14ac:dyDescent="0.3">
      <c r="A113" s="75">
        <v>2002</v>
      </c>
      <c r="B113" s="82" t="s">
        <v>14</v>
      </c>
      <c r="C113" s="77">
        <f t="shared" ref="C113:C122" si="17">+C112*(1+D113/100)</f>
        <v>217.07400000000015</v>
      </c>
      <c r="D113" s="78">
        <v>5.9923298178343742E-2</v>
      </c>
      <c r="E113" s="78">
        <f t="shared" si="15"/>
        <v>0.42144122722205246</v>
      </c>
      <c r="F113" s="79">
        <f t="shared" si="16"/>
        <v>9.9158949015398345</v>
      </c>
      <c r="G113" s="80">
        <f>+$C$392/C113</f>
        <v>5.5848916066573242</v>
      </c>
    </row>
    <row r="114" spans="1:7" ht="16.5" hidden="1" thickBot="1" x14ac:dyDescent="0.3">
      <c r="A114" s="75">
        <v>2002</v>
      </c>
      <c r="B114" s="82" t="s">
        <v>15</v>
      </c>
      <c r="C114" s="77">
        <f t="shared" si="17"/>
        <v>217.27600000000015</v>
      </c>
      <c r="D114" s="78">
        <v>9.3055824281118582E-2</v>
      </c>
      <c r="E114" s="78">
        <f t="shared" si="15"/>
        <v>0.51488922711102614</v>
      </c>
      <c r="F114" s="79">
        <f t="shared" si="16"/>
        <v>9.400521635801562</v>
      </c>
      <c r="G114" s="80">
        <f>+$C$392/C114</f>
        <v>5.5796993714148462</v>
      </c>
    </row>
    <row r="115" spans="1:7" ht="16.5" hidden="1" thickBot="1" x14ac:dyDescent="0.3">
      <c r="A115" s="75">
        <v>2002</v>
      </c>
      <c r="B115" s="82" t="s">
        <v>16</v>
      </c>
      <c r="C115" s="77">
        <f t="shared" si="17"/>
        <v>218.48600000000013</v>
      </c>
      <c r="D115" s="78">
        <v>0.55689537730811978</v>
      </c>
      <c r="E115" s="78">
        <f t="shared" si="15"/>
        <v>1.0746519987231862</v>
      </c>
      <c r="F115" s="79">
        <f t="shared" si="16"/>
        <v>8.9211380371003735</v>
      </c>
      <c r="G115" s="80">
        <f>+$C$392/C115</f>
        <v>5.5487983697972965</v>
      </c>
    </row>
    <row r="116" spans="1:7" ht="16.5" hidden="1" thickBot="1" x14ac:dyDescent="0.3">
      <c r="A116" s="75">
        <v>2002</v>
      </c>
      <c r="B116" s="82" t="s">
        <v>17</v>
      </c>
      <c r="C116" s="77">
        <f t="shared" si="17"/>
        <v>220.29200000000012</v>
      </c>
      <c r="D116" s="78">
        <v>0.82659758519996185</v>
      </c>
      <c r="E116" s="78">
        <f t="shared" si="15"/>
        <v>1.9101326313938793</v>
      </c>
      <c r="F116" s="79">
        <f t="shared" si="16"/>
        <v>8.8808050453727638</v>
      </c>
      <c r="G116" s="80">
        <f>+$C$392/C116</f>
        <v>5.503308157461607</v>
      </c>
    </row>
    <row r="117" spans="1:7" ht="16.5" hidden="1" thickBot="1" x14ac:dyDescent="0.3">
      <c r="A117" s="75">
        <v>2002</v>
      </c>
      <c r="B117" s="82" t="s">
        <v>18</v>
      </c>
      <c r="C117" s="77">
        <f t="shared" si="17"/>
        <v>223.6880000000001</v>
      </c>
      <c r="D117" s="78">
        <v>1.5415902529370085</v>
      </c>
      <c r="E117" s="78">
        <f t="shared" si="15"/>
        <v>3.4811693027946289</v>
      </c>
      <c r="F117" s="79">
        <f t="shared" si="16"/>
        <v>9.484606725074606</v>
      </c>
      <c r="G117" s="80">
        <f>+$C$392/C117</f>
        <v>5.4197577010100337</v>
      </c>
    </row>
    <row r="118" spans="1:7" ht="16.5" hidden="1" thickBot="1" x14ac:dyDescent="0.3">
      <c r="A118" s="75">
        <v>2002</v>
      </c>
      <c r="B118" s="82" t="s">
        <v>19</v>
      </c>
      <c r="C118" s="77">
        <f t="shared" si="17"/>
        <v>228.05700000000013</v>
      </c>
      <c r="D118" s="78">
        <v>1.9531669110546934</v>
      </c>
      <c r="E118" s="78">
        <f t="shared" si="15"/>
        <v>5.5023292607893071</v>
      </c>
      <c r="F118" s="79">
        <f t="shared" si="16"/>
        <v>9.9912704192609993</v>
      </c>
      <c r="G118" s="80">
        <f>+$C$392/C118</f>
        <v>5.3159287398480739</v>
      </c>
    </row>
    <row r="119" spans="1:7" ht="16.5" hidden="1" thickBot="1" x14ac:dyDescent="0.3">
      <c r="A119" s="75">
        <v>2002</v>
      </c>
      <c r="B119" s="82" t="s">
        <v>20</v>
      </c>
      <c r="C119" s="77">
        <f t="shared" si="17"/>
        <v>233.34800000000013</v>
      </c>
      <c r="D119" s="78">
        <v>2.3200340265810748</v>
      </c>
      <c r="E119" s="78">
        <f>+((C119/$C$110)-1)*100</f>
        <v>7.9500191984752</v>
      </c>
      <c r="F119" s="79">
        <f t="shared" si="16"/>
        <v>11.006560075352834</v>
      </c>
      <c r="G119" s="80">
        <f>+$C$392/C119</f>
        <v>5.1953938350597912</v>
      </c>
    </row>
    <row r="120" spans="1:7" ht="16.5" hidden="1" thickBot="1" x14ac:dyDescent="0.3">
      <c r="A120" s="75">
        <v>2002</v>
      </c>
      <c r="B120" s="82" t="s">
        <v>21</v>
      </c>
      <c r="C120" s="77">
        <f t="shared" si="17"/>
        <v>238.94300000000013</v>
      </c>
      <c r="D120" s="78">
        <v>2.397706429881552</v>
      </c>
      <c r="E120" s="78">
        <f>+((C120/$C$110)-1)*100</f>
        <v>10.538343749855406</v>
      </c>
      <c r="F120" s="79">
        <f t="shared" si="16"/>
        <v>13.322077466291638</v>
      </c>
      <c r="G120" s="80">
        <f>+$C$392/C120</f>
        <v>5.0737404344280108</v>
      </c>
    </row>
    <row r="121" spans="1:7" ht="16.5" hidden="1" thickBot="1" x14ac:dyDescent="0.3">
      <c r="A121" s="75">
        <v>2002</v>
      </c>
      <c r="B121" s="82" t="s">
        <v>22</v>
      </c>
      <c r="C121" s="77">
        <f t="shared" si="17"/>
        <v>248.19900000000013</v>
      </c>
      <c r="D121" s="78">
        <v>3.8737272069070849</v>
      </c>
      <c r="E121" s="78">
        <f>+((C121/$C$110)-1)*100</f>
        <v>14.820297645758028</v>
      </c>
      <c r="F121" s="79">
        <f t="shared" si="16"/>
        <v>16.340190963677493</v>
      </c>
      <c r="G121" s="80">
        <f>+$C$392/C121</f>
        <v>4.8845271762719928</v>
      </c>
    </row>
    <row r="122" spans="1:7" ht="16.5" hidden="1" thickBot="1" x14ac:dyDescent="0.3">
      <c r="A122" s="75">
        <v>2002</v>
      </c>
      <c r="B122" s="82" t="s">
        <v>23</v>
      </c>
      <c r="C122" s="77">
        <f t="shared" si="17"/>
        <v>261.0800000000001</v>
      </c>
      <c r="D122" s="78">
        <v>5.1897872271846168</v>
      </c>
      <c r="E122" s="78">
        <f>+((C122/$C$110)-1)*100</f>
        <v>20.77922678719295</v>
      </c>
      <c r="F122" s="79">
        <f t="shared" si="16"/>
        <v>21.046897095300988</v>
      </c>
      <c r="G122" s="80">
        <f>+$C$392/C122</f>
        <v>4.6435374621707233</v>
      </c>
    </row>
    <row r="123" spans="1:7" ht="16.5" hidden="1" thickBot="1" x14ac:dyDescent="0.3">
      <c r="A123" s="75">
        <v>2002</v>
      </c>
      <c r="B123" s="82" t="s">
        <v>12</v>
      </c>
      <c r="C123" s="77">
        <f>+C122*(1+D123/100)</f>
        <v>270.86700000000013</v>
      </c>
      <c r="D123" s="78">
        <v>3.7486594147387864</v>
      </c>
      <c r="E123" s="78">
        <f>+((C123/$C$110)-1)*100</f>
        <v>25.306828643199776</v>
      </c>
      <c r="F123" s="79">
        <f t="shared" si="16"/>
        <v>25.306828643199776</v>
      </c>
      <c r="G123" s="80">
        <f>+$C$392/C123</f>
        <v>4.4757565913290742</v>
      </c>
    </row>
    <row r="124" spans="1:7" ht="16.5" hidden="1" thickBot="1" x14ac:dyDescent="0.3">
      <c r="A124" s="75"/>
      <c r="B124" s="82"/>
      <c r="C124" s="77"/>
      <c r="D124" s="78"/>
      <c r="E124" s="78"/>
      <c r="F124" s="79"/>
      <c r="G124" s="80"/>
    </row>
    <row r="125" spans="1:7" ht="16.5" hidden="1" thickBot="1" x14ac:dyDescent="0.3">
      <c r="A125" s="75">
        <v>2003</v>
      </c>
      <c r="B125" s="82" t="s">
        <v>13</v>
      </c>
      <c r="C125" s="77">
        <f>+C123*(1+D125/100)</f>
        <v>277.17300000000012</v>
      </c>
      <c r="D125" s="83">
        <v>2.3280798325377328</v>
      </c>
      <c r="E125" s="83">
        <f t="shared" ref="E125:E136" si="18">+((C125/$C$123)-1)*100</f>
        <v>2.3280798325377328</v>
      </c>
      <c r="F125" s="84">
        <f t="shared" ref="F125:F136" si="19">+((C125/C112)-1)*100</f>
        <v>27.762464046021073</v>
      </c>
      <c r="G125" s="80">
        <f>+$C$392/C125</f>
        <v>4.3739280544047672</v>
      </c>
    </row>
    <row r="126" spans="1:7" ht="16.5" hidden="1" thickBot="1" x14ac:dyDescent="0.3">
      <c r="A126" s="75">
        <v>2003</v>
      </c>
      <c r="B126" s="82" t="s">
        <v>14</v>
      </c>
      <c r="C126" s="77">
        <f t="shared" ref="C126:C189" si="20">+C125*(1+D126/100)</f>
        <v>283.50600000000009</v>
      </c>
      <c r="D126" s="83">
        <v>2.2848545854033286</v>
      </c>
      <c r="E126" s="83">
        <f t="shared" si="18"/>
        <v>4.6661276567466548</v>
      </c>
      <c r="F126" s="84">
        <f t="shared" si="19"/>
        <v>30.603388706155442</v>
      </c>
      <c r="G126" s="80">
        <f>+$C$392/C126</f>
        <v>4.276222586553839</v>
      </c>
    </row>
    <row r="127" spans="1:7" ht="16.5" hidden="1" thickBot="1" x14ac:dyDescent="0.3">
      <c r="A127" s="75">
        <v>2003</v>
      </c>
      <c r="B127" s="82" t="s">
        <v>15</v>
      </c>
      <c r="C127" s="77">
        <f t="shared" si="20"/>
        <v>287.85500000000013</v>
      </c>
      <c r="D127" s="83">
        <v>1.5340063349629451</v>
      </c>
      <c r="E127" s="83">
        <f t="shared" si="18"/>
        <v>6.2717126855615479</v>
      </c>
      <c r="F127" s="84">
        <f t="shared" si="19"/>
        <v>32.483569285148818</v>
      </c>
      <c r="G127" s="80">
        <f>+$C$392/C127</f>
        <v>4.2116161283407703</v>
      </c>
    </row>
    <row r="128" spans="1:7" ht="16.5" hidden="1" thickBot="1" x14ac:dyDescent="0.3">
      <c r="A128" s="75">
        <v>2003</v>
      </c>
      <c r="B128" s="82" t="s">
        <v>16</v>
      </c>
      <c r="C128" s="77">
        <f t="shared" si="20"/>
        <v>290.51200000000011</v>
      </c>
      <c r="D128" s="83">
        <v>0.92303416650743042</v>
      </c>
      <c r="E128" s="83">
        <f t="shared" si="18"/>
        <v>7.2526369029819016</v>
      </c>
      <c r="F128" s="84">
        <f t="shared" si="19"/>
        <v>32.965956628800001</v>
      </c>
      <c r="G128" s="80">
        <f>+$C$392/C128</f>
        <v>4.1730970170716954</v>
      </c>
    </row>
    <row r="129" spans="1:7" ht="16.5" hidden="1" thickBot="1" x14ac:dyDescent="0.3">
      <c r="A129" s="75">
        <v>2003</v>
      </c>
      <c r="B129" s="82" t="s">
        <v>17</v>
      </c>
      <c r="C129" s="77">
        <f t="shared" si="20"/>
        <v>289.74700000000013</v>
      </c>
      <c r="D129" s="83">
        <v>-0.26332819298341414</v>
      </c>
      <c r="E129" s="83">
        <f t="shared" si="18"/>
        <v>6.9702104722981995</v>
      </c>
      <c r="F129" s="84">
        <f t="shared" si="19"/>
        <v>31.528607484611328</v>
      </c>
      <c r="G129" s="80">
        <f>+$C$392/C129</f>
        <v>4.1841149714182801</v>
      </c>
    </row>
    <row r="130" spans="1:7" ht="16.5" hidden="1" thickBot="1" x14ac:dyDescent="0.3">
      <c r="A130" s="75">
        <v>2003</v>
      </c>
      <c r="B130" s="82" t="s">
        <v>18</v>
      </c>
      <c r="C130" s="77">
        <f t="shared" si="20"/>
        <v>286.84300000000013</v>
      </c>
      <c r="D130" s="83">
        <v>-1.0022536902884238</v>
      </c>
      <c r="E130" s="83">
        <f t="shared" si="18"/>
        <v>5.898097590330309</v>
      </c>
      <c r="F130" s="84">
        <f t="shared" si="19"/>
        <v>28.233521690926654</v>
      </c>
      <c r="G130" s="80">
        <f>+$C$392/C130</f>
        <v>4.2264749728023077</v>
      </c>
    </row>
    <row r="131" spans="1:7" ht="16.5" hidden="1" thickBot="1" x14ac:dyDescent="0.3">
      <c r="A131" s="75">
        <v>2003</v>
      </c>
      <c r="B131" s="82" t="s">
        <v>19</v>
      </c>
      <c r="C131" s="77">
        <f t="shared" si="20"/>
        <v>285.64900000000011</v>
      </c>
      <c r="D131" s="83">
        <v>-0.41625558232204485</v>
      </c>
      <c r="E131" s="83">
        <f t="shared" si="18"/>
        <v>5.4572908475377213</v>
      </c>
      <c r="F131" s="84">
        <f t="shared" si="19"/>
        <v>25.253335788859776</v>
      </c>
      <c r="G131" s="80">
        <f>+$C$392/C131</f>
        <v>4.2441414485033464</v>
      </c>
    </row>
    <row r="132" spans="1:7" ht="16.5" hidden="1" thickBot="1" x14ac:dyDescent="0.3">
      <c r="A132" s="75">
        <v>2003</v>
      </c>
      <c r="B132" s="82" t="s">
        <v>20</v>
      </c>
      <c r="C132" s="77">
        <f t="shared" si="20"/>
        <v>286.73500000000007</v>
      </c>
      <c r="D132" s="83">
        <v>0.38018687270040541</v>
      </c>
      <c r="E132" s="83">
        <f t="shared" si="18"/>
        <v>5.8582256236455299</v>
      </c>
      <c r="F132" s="84">
        <f t="shared" si="19"/>
        <v>22.878704767128877</v>
      </c>
      <c r="G132" s="80">
        <f>+$C$392/C132</f>
        <v>4.2280668932063845</v>
      </c>
    </row>
    <row r="133" spans="1:7" ht="16.5" hidden="1" thickBot="1" x14ac:dyDescent="0.3">
      <c r="A133" s="75">
        <v>2003</v>
      </c>
      <c r="B133" s="82" t="s">
        <v>21</v>
      </c>
      <c r="C133" s="77">
        <f t="shared" si="20"/>
        <v>290.12700000000007</v>
      </c>
      <c r="D133" s="83">
        <v>1.1829738260065836</v>
      </c>
      <c r="E133" s="83">
        <f t="shared" si="18"/>
        <v>7.1105007254482544</v>
      </c>
      <c r="F133" s="84">
        <f t="shared" si="19"/>
        <v>21.421008357641735</v>
      </c>
      <c r="G133" s="80">
        <f>+$C$392/C133</f>
        <v>4.1786347379717599</v>
      </c>
    </row>
    <row r="134" spans="1:7" ht="16.5" hidden="1" thickBot="1" x14ac:dyDescent="0.3">
      <c r="A134" s="75">
        <v>2003</v>
      </c>
      <c r="B134" s="82" t="s">
        <v>22</v>
      </c>
      <c r="C134" s="77">
        <f t="shared" si="20"/>
        <v>291.22900000000004</v>
      </c>
      <c r="D134" s="83">
        <v>0.3798336590527418</v>
      </c>
      <c r="E134" s="83">
        <f t="shared" si="18"/>
        <v>7.5173424595834426</v>
      </c>
      <c r="F134" s="84">
        <f t="shared" si="19"/>
        <v>17.336894991518868</v>
      </c>
      <c r="G134" s="80">
        <f>+$C$392/C134</f>
        <v>4.1628229352967345</v>
      </c>
    </row>
    <row r="135" spans="1:7" ht="16.5" hidden="1" thickBot="1" x14ac:dyDescent="0.3">
      <c r="A135" s="75">
        <v>2003</v>
      </c>
      <c r="B135" s="82" t="s">
        <v>23</v>
      </c>
      <c r="C135" s="77">
        <f t="shared" si="20"/>
        <v>292.65700000000004</v>
      </c>
      <c r="D135" s="83">
        <v>0.49033578386767918</v>
      </c>
      <c r="E135" s="83">
        <f t="shared" si="18"/>
        <v>8.0445384635263508</v>
      </c>
      <c r="F135" s="84">
        <f t="shared" si="19"/>
        <v>12.094760226750401</v>
      </c>
      <c r="G135" s="80">
        <f>+$C$392/C135</f>
        <v>4.142510722871938</v>
      </c>
    </row>
    <row r="136" spans="1:7" ht="16.5" hidden="1" thickBot="1" x14ac:dyDescent="0.3">
      <c r="A136" s="75">
        <v>2003</v>
      </c>
      <c r="B136" s="82" t="s">
        <v>12</v>
      </c>
      <c r="C136" s="77">
        <f t="shared" si="20"/>
        <v>294.45500000000004</v>
      </c>
      <c r="D136" s="83">
        <v>0.61437108970570087</v>
      </c>
      <c r="E136" s="83">
        <f t="shared" si="18"/>
        <v>8.708332871852198</v>
      </c>
      <c r="F136" s="84">
        <f t="shared" si="19"/>
        <v>8.708332871852198</v>
      </c>
      <c r="G136" s="80">
        <f>+$C$392/C136</f>
        <v>4.117215739666614</v>
      </c>
    </row>
    <row r="137" spans="1:7" ht="16.5" hidden="1" thickBot="1" x14ac:dyDescent="0.3">
      <c r="A137" s="75">
        <v>2004</v>
      </c>
      <c r="B137" s="82" t="s">
        <v>13</v>
      </c>
      <c r="C137" s="77">
        <f t="shared" si="20"/>
        <v>297.03900000000004</v>
      </c>
      <c r="D137" s="83">
        <v>0.8775534461972212</v>
      </c>
      <c r="E137" s="83">
        <f t="shared" ref="E137:E148" si="21">+((C137/$C$136)-1)*100</f>
        <v>0.8775534461972212</v>
      </c>
      <c r="F137" s="84">
        <f t="shared" ref="F137:F200" si="22">+((C137/C125)-1)*100</f>
        <v>7.1673647866133949</v>
      </c>
      <c r="G137" s="80">
        <f>+$C$392/C137</f>
        <v>4.0813992796351073</v>
      </c>
    </row>
    <row r="138" spans="1:7" ht="16.5" hidden="1" thickBot="1" x14ac:dyDescent="0.3">
      <c r="A138" s="75">
        <v>2004</v>
      </c>
      <c r="B138" s="82" t="s">
        <v>14</v>
      </c>
      <c r="C138" s="77">
        <f t="shared" si="20"/>
        <v>299.09700000000004</v>
      </c>
      <c r="D138" s="83">
        <v>0.69283831416075969</v>
      </c>
      <c r="E138" s="83">
        <f t="shared" si="21"/>
        <v>1.5764717868604672</v>
      </c>
      <c r="F138" s="84">
        <f t="shared" si="22"/>
        <v>5.4993545110156195</v>
      </c>
      <c r="G138" s="80">
        <f>+$C$392/C138</f>
        <v>4.0533163509615031</v>
      </c>
    </row>
    <row r="139" spans="1:7" ht="16.5" hidden="1" thickBot="1" x14ac:dyDescent="0.3">
      <c r="A139" s="75">
        <v>2004</v>
      </c>
      <c r="B139" s="82" t="s">
        <v>15</v>
      </c>
      <c r="C139" s="77">
        <f t="shared" si="20"/>
        <v>302.48400000000004</v>
      </c>
      <c r="D139" s="83">
        <v>1.1324085497347092</v>
      </c>
      <c r="E139" s="83">
        <f t="shared" si="21"/>
        <v>2.7267324378937419</v>
      </c>
      <c r="F139" s="84">
        <f t="shared" si="22"/>
        <v>5.0820725712598103</v>
      </c>
      <c r="G139" s="80">
        <f>+$C$392/C139</f>
        <v>4.0079302066341782</v>
      </c>
    </row>
    <row r="140" spans="1:7" ht="16.5" hidden="1" thickBot="1" x14ac:dyDescent="0.3">
      <c r="A140" s="75">
        <v>2004</v>
      </c>
      <c r="B140" s="82" t="s">
        <v>16</v>
      </c>
      <c r="C140" s="77">
        <f t="shared" si="20"/>
        <v>306.15100000000007</v>
      </c>
      <c r="D140" s="83">
        <v>1.2122955263749624</v>
      </c>
      <c r="E140" s="83">
        <f t="shared" si="21"/>
        <v>3.972084019629496</v>
      </c>
      <c r="F140" s="84">
        <f t="shared" si="22"/>
        <v>5.3832543922454068</v>
      </c>
      <c r="G140" s="80">
        <f>+$C$392/C140</f>
        <v>3.9599242224377273</v>
      </c>
    </row>
    <row r="141" spans="1:7" ht="16.5" hidden="1" thickBot="1" x14ac:dyDescent="0.3">
      <c r="A141" s="75">
        <v>2004</v>
      </c>
      <c r="B141" s="82" t="s">
        <v>17</v>
      </c>
      <c r="C141" s="77">
        <f t="shared" si="20"/>
        <v>310.1520000000001</v>
      </c>
      <c r="D141" s="83">
        <v>1.3068714457898256</v>
      </c>
      <c r="E141" s="83">
        <f t="shared" si="21"/>
        <v>5.3308654972746394</v>
      </c>
      <c r="F141" s="84">
        <f t="shared" si="22"/>
        <v>7.0423507404735686</v>
      </c>
      <c r="G141" s="80">
        <f>+$C$392/C141</f>
        <v>3.9088406994748786</v>
      </c>
    </row>
    <row r="142" spans="1:7" ht="16.5" hidden="1" thickBot="1" x14ac:dyDescent="0.3">
      <c r="A142" s="75">
        <v>2004</v>
      </c>
      <c r="B142" s="82" t="s">
        <v>18</v>
      </c>
      <c r="C142" s="77">
        <f t="shared" si="20"/>
        <v>314.4190000000001</v>
      </c>
      <c r="D142" s="83">
        <v>1.3757770383553858</v>
      </c>
      <c r="E142" s="83">
        <f t="shared" si="21"/>
        <v>6.7799833590871383</v>
      </c>
      <c r="F142" s="84">
        <f t="shared" si="22"/>
        <v>9.613621388703919</v>
      </c>
      <c r="G142" s="80">
        <f>+$C$392/C142</f>
        <v>3.8557935767988973</v>
      </c>
    </row>
    <row r="143" spans="1:7" ht="16.5" hidden="1" thickBot="1" x14ac:dyDescent="0.3">
      <c r="A143" s="75">
        <v>2004</v>
      </c>
      <c r="B143" s="82" t="s">
        <v>19</v>
      </c>
      <c r="C143" s="77">
        <f t="shared" si="20"/>
        <v>318.5320000000001</v>
      </c>
      <c r="D143" s="83">
        <v>1.3081270533905398</v>
      </c>
      <c r="E143" s="83">
        <f t="shared" si="21"/>
        <v>8.1768012090132736</v>
      </c>
      <c r="F143" s="84">
        <f t="shared" si="22"/>
        <v>11.511680418975722</v>
      </c>
      <c r="G143" s="80">
        <f>+$C$392/C143</f>
        <v>3.8060061803006686</v>
      </c>
    </row>
    <row r="144" spans="1:7" ht="16.5" hidden="1" thickBot="1" x14ac:dyDescent="0.3">
      <c r="A144" s="75">
        <v>2004</v>
      </c>
      <c r="B144" s="82" t="s">
        <v>20</v>
      </c>
      <c r="C144" s="77">
        <f t="shared" si="20"/>
        <v>322.41200000000009</v>
      </c>
      <c r="D144" s="83">
        <v>1.2180879786018339</v>
      </c>
      <c r="E144" s="83">
        <f t="shared" si="21"/>
        <v>9.4944898201762662</v>
      </c>
      <c r="F144" s="84">
        <f t="shared" si="22"/>
        <v>12.442499171709077</v>
      </c>
      <c r="G144" s="80">
        <f>+$C$392/C144</f>
        <v>3.7602035923710426</v>
      </c>
    </row>
    <row r="145" spans="1:7" ht="16.5" hidden="1" thickBot="1" x14ac:dyDescent="0.3">
      <c r="A145" s="75">
        <v>2004</v>
      </c>
      <c r="B145" s="82" t="s">
        <v>21</v>
      </c>
      <c r="C145" s="77">
        <f t="shared" si="20"/>
        <v>324.65100000000018</v>
      </c>
      <c r="D145" s="83">
        <v>0.69445306005981866</v>
      </c>
      <c r="E145" s="83">
        <f t="shared" si="21"/>
        <v>10.254877655329375</v>
      </c>
      <c r="F145" s="84">
        <f t="shared" si="22"/>
        <v>11.899616374897937</v>
      </c>
      <c r="G145" s="80">
        <f>+$C$392/C145</f>
        <v>3.7342708342913844</v>
      </c>
    </row>
    <row r="146" spans="1:7" ht="16.5" hidden="1" thickBot="1" x14ac:dyDescent="0.3">
      <c r="A146" s="75">
        <v>2004</v>
      </c>
      <c r="B146" s="82" t="s">
        <v>22</v>
      </c>
      <c r="C146" s="77">
        <f t="shared" si="20"/>
        <v>325.92500000000018</v>
      </c>
      <c r="D146" s="83">
        <v>0.39242140021129579</v>
      </c>
      <c r="E146" s="83">
        <f t="shared" si="21"/>
        <v>10.687541390025679</v>
      </c>
      <c r="F146" s="84">
        <f t="shared" si="22"/>
        <v>11.913648709434899</v>
      </c>
      <c r="G146" s="80">
        <f>+$C$392/C146</f>
        <v>3.7196740373507162</v>
      </c>
    </row>
    <row r="147" spans="1:7" ht="16.5" hidden="1" thickBot="1" x14ac:dyDescent="0.3">
      <c r="A147" s="75">
        <v>2004</v>
      </c>
      <c r="B147" s="82" t="s">
        <v>23</v>
      </c>
      <c r="C147" s="77">
        <f t="shared" si="20"/>
        <v>328.58800000000019</v>
      </c>
      <c r="D147" s="83">
        <v>0.8170591393725557</v>
      </c>
      <c r="E147" s="83">
        <f t="shared" si="21"/>
        <v>11.591924063099679</v>
      </c>
      <c r="F147" s="84">
        <f t="shared" si="22"/>
        <v>12.277512582989702</v>
      </c>
      <c r="G147" s="80">
        <f>+$C$392/C147</f>
        <v>3.6895284082910278</v>
      </c>
    </row>
    <row r="148" spans="1:7" ht="16.5" hidden="1" thickBot="1" x14ac:dyDescent="0.3">
      <c r="A148" s="85">
        <v>2004</v>
      </c>
      <c r="B148" s="82" t="s">
        <v>12</v>
      </c>
      <c r="C148" s="77">
        <f t="shared" si="20"/>
        <v>331.00500000000017</v>
      </c>
      <c r="D148" s="83">
        <v>0.73557159725856636</v>
      </c>
      <c r="E148" s="83">
        <f t="shared" si="21"/>
        <v>12.412762561342184</v>
      </c>
      <c r="F148" s="84">
        <f t="shared" si="22"/>
        <v>12.412762561342184</v>
      </c>
      <c r="G148" s="80">
        <f>+$C$392/C148</f>
        <v>3.6625874552454869</v>
      </c>
    </row>
    <row r="149" spans="1:7" ht="16.5" hidden="1" thickBot="1" x14ac:dyDescent="0.3">
      <c r="A149" s="85">
        <v>2005</v>
      </c>
      <c r="B149" s="82" t="s">
        <v>13</v>
      </c>
      <c r="C149" s="77">
        <f t="shared" si="20"/>
        <v>332.29800000000023</v>
      </c>
      <c r="D149" s="83">
        <v>0.39062854035438743</v>
      </c>
      <c r="E149" s="83">
        <f t="shared" ref="E149:E158" si="23">+((C149/$C$148)-1)*100</f>
        <v>0.39062854035438743</v>
      </c>
      <c r="F149" s="84">
        <f t="shared" si="22"/>
        <v>11.870158464040138</v>
      </c>
      <c r="G149" s="80">
        <f>+$C$392/C149</f>
        <v>3.648336013528616</v>
      </c>
    </row>
    <row r="150" spans="1:7" ht="16.5" hidden="1" thickBot="1" x14ac:dyDescent="0.3">
      <c r="A150" s="85">
        <v>2005</v>
      </c>
      <c r="B150" s="82" t="s">
        <v>14</v>
      </c>
      <c r="C150" s="77">
        <f t="shared" si="20"/>
        <v>333.28800000000024</v>
      </c>
      <c r="D150" s="83">
        <v>0.29792535615622562</v>
      </c>
      <c r="E150" s="83">
        <f t="shared" si="23"/>
        <v>0.68971767798071681</v>
      </c>
      <c r="F150" s="84">
        <f t="shared" si="22"/>
        <v>11.431408539704568</v>
      </c>
      <c r="G150" s="80">
        <f>+$C$392/C150</f>
        <v>3.6374989817321119</v>
      </c>
    </row>
    <row r="151" spans="1:7" ht="16.5" hidden="1" thickBot="1" x14ac:dyDescent="0.3">
      <c r="A151" s="85">
        <v>2005</v>
      </c>
      <c r="B151" s="82" t="s">
        <v>15</v>
      </c>
      <c r="C151" s="77">
        <f t="shared" si="20"/>
        <v>336.12300000000027</v>
      </c>
      <c r="D151" s="83">
        <v>0.85061568373299146</v>
      </c>
      <c r="E151" s="83">
        <f t="shared" si="23"/>
        <v>1.5462002084561055</v>
      </c>
      <c r="F151" s="84">
        <f t="shared" si="22"/>
        <v>11.120918792399003</v>
      </c>
      <c r="G151" s="80">
        <f>+$C$392/C151</f>
        <v>3.6068188152061356</v>
      </c>
    </row>
    <row r="152" spans="1:7" ht="16.5" hidden="1" thickBot="1" x14ac:dyDescent="0.3">
      <c r="A152" s="85">
        <v>2005</v>
      </c>
      <c r="B152" s="82" t="s">
        <v>16</v>
      </c>
      <c r="C152" s="77">
        <f t="shared" si="20"/>
        <v>339.03000000000031</v>
      </c>
      <c r="D152" s="83">
        <v>0.86486197017163757</v>
      </c>
      <c r="E152" s="83">
        <f t="shared" si="23"/>
        <v>2.4244346762133828</v>
      </c>
      <c r="F152" s="84">
        <f t="shared" si="22"/>
        <v>10.739471698606318</v>
      </c>
      <c r="G152" s="80">
        <f>+$C$392/C152</f>
        <v>3.5758922827582569</v>
      </c>
    </row>
    <row r="153" spans="1:7" ht="16.5" hidden="1" thickBot="1" x14ac:dyDescent="0.3">
      <c r="A153" s="75">
        <v>2005</v>
      </c>
      <c r="B153" s="82" t="s">
        <v>17</v>
      </c>
      <c r="C153" s="77">
        <f t="shared" si="20"/>
        <v>338.29900000000032</v>
      </c>
      <c r="D153" s="83">
        <v>-0.21561513730348203</v>
      </c>
      <c r="E153" s="83">
        <f t="shared" si="23"/>
        <v>2.2035920907539586</v>
      </c>
      <c r="F153" s="84">
        <f t="shared" si="22"/>
        <v>9.0752276303232691</v>
      </c>
      <c r="G153" s="80">
        <f>+$C$392/C153</f>
        <v>3.5836191080184445</v>
      </c>
    </row>
    <row r="154" spans="1:7" ht="16.5" hidden="1" thickBot="1" x14ac:dyDescent="0.3">
      <c r="A154" s="75">
        <v>2005</v>
      </c>
      <c r="B154" s="82" t="s">
        <v>18</v>
      </c>
      <c r="C154" s="77">
        <f t="shared" si="20"/>
        <v>336.80100000000033</v>
      </c>
      <c r="D154" s="83">
        <v>-0.44280355543468986</v>
      </c>
      <c r="E154" s="83">
        <f t="shared" si="23"/>
        <v>1.7510309511941324</v>
      </c>
      <c r="F154" s="84">
        <f t="shared" si="22"/>
        <v>7.1185265521486407</v>
      </c>
      <c r="G154" s="80">
        <f>+$C$392/C154</f>
        <v>3.5995580791729589</v>
      </c>
    </row>
    <row r="155" spans="1:7" ht="16.5" hidden="1" thickBot="1" x14ac:dyDescent="0.3">
      <c r="A155" s="75">
        <v>2005</v>
      </c>
      <c r="B155" s="82" t="s">
        <v>19</v>
      </c>
      <c r="C155" s="77">
        <f t="shared" si="20"/>
        <v>335.66300000000035</v>
      </c>
      <c r="D155" s="83">
        <v>-0.33788498252677046</v>
      </c>
      <c r="E155" s="83">
        <f t="shared" si="23"/>
        <v>1.4072294980438826</v>
      </c>
      <c r="F155" s="84">
        <f t="shared" si="22"/>
        <v>5.3781095776877175</v>
      </c>
      <c r="G155" s="80">
        <f>+$C$392/C155</f>
        <v>3.6117616794926208</v>
      </c>
    </row>
    <row r="156" spans="1:7" ht="16.5" hidden="1" thickBot="1" x14ac:dyDescent="0.3">
      <c r="A156" s="75">
        <v>2005</v>
      </c>
      <c r="B156" s="82" t="s">
        <v>20</v>
      </c>
      <c r="C156" s="77">
        <f t="shared" si="20"/>
        <v>333.47400000000033</v>
      </c>
      <c r="D156" s="83">
        <v>-0.65214217831576216</v>
      </c>
      <c r="E156" s="83">
        <f t="shared" si="23"/>
        <v>0.74591018262568642</v>
      </c>
      <c r="F156" s="84">
        <f t="shared" si="22"/>
        <v>3.4310137339802038</v>
      </c>
      <c r="G156" s="80">
        <f>+$C$392/C156</f>
        <v>3.6354701134827057</v>
      </c>
    </row>
    <row r="157" spans="1:7" ht="16.5" hidden="1" thickBot="1" x14ac:dyDescent="0.3">
      <c r="A157" s="75">
        <v>2005</v>
      </c>
      <c r="B157" s="82" t="s">
        <v>21</v>
      </c>
      <c r="C157" s="77">
        <f t="shared" si="20"/>
        <v>331.69000000000034</v>
      </c>
      <c r="D157" s="83">
        <v>-0.53497424087034506</v>
      </c>
      <c r="E157" s="83">
        <f t="shared" si="23"/>
        <v>0.20694551441826636</v>
      </c>
      <c r="F157" s="84">
        <f t="shared" si="22"/>
        <v>2.168174439629067</v>
      </c>
      <c r="G157" s="80">
        <f>+$C$392/C157</f>
        <v>3.6550235479620481</v>
      </c>
    </row>
    <row r="158" spans="1:7" ht="16.5" hidden="1" thickBot="1" x14ac:dyDescent="0.3">
      <c r="A158" s="75">
        <v>2005</v>
      </c>
      <c r="B158" s="82" t="s">
        <v>22</v>
      </c>
      <c r="C158" s="77">
        <f t="shared" si="20"/>
        <v>333.69400000000041</v>
      </c>
      <c r="D158" s="83">
        <v>0.60417860050048233</v>
      </c>
      <c r="E158" s="83">
        <f t="shared" si="23"/>
        <v>0.81237443543156207</v>
      </c>
      <c r="F158" s="84">
        <f t="shared" si="22"/>
        <v>2.3836772263558181</v>
      </c>
      <c r="G158" s="80">
        <f>+$C$392/C158</f>
        <v>3.6330732965637123</v>
      </c>
    </row>
    <row r="159" spans="1:7" ht="16.5" hidden="1" thickBot="1" x14ac:dyDescent="0.3">
      <c r="A159" s="75">
        <v>2005</v>
      </c>
      <c r="B159" s="82" t="s">
        <v>25</v>
      </c>
      <c r="C159" s="77">
        <f t="shared" si="20"/>
        <v>335.03300000000041</v>
      </c>
      <c r="D159" s="83">
        <v>0.4012658303715444</v>
      </c>
      <c r="E159" s="83">
        <f>+((C159/$C$148)-1)*100</f>
        <v>1.2169000468271518</v>
      </c>
      <c r="F159" s="84">
        <f t="shared" si="22"/>
        <v>1.9614228151972224</v>
      </c>
      <c r="G159" s="80">
        <f>+$C$392/C159</f>
        <v>3.6185532787024903</v>
      </c>
    </row>
    <row r="160" spans="1:7" ht="16.5" hidden="1" thickBot="1" x14ac:dyDescent="0.3">
      <c r="A160" s="75">
        <v>2005</v>
      </c>
      <c r="B160" s="82" t="s">
        <v>26</v>
      </c>
      <c r="C160" s="77">
        <f t="shared" si="20"/>
        <v>335.00600000000037</v>
      </c>
      <c r="D160" s="83">
        <v>-8.058907630004164E-3</v>
      </c>
      <c r="E160" s="83">
        <f>+((C160/$C$148)-1)*100</f>
        <v>1.2087430703464408</v>
      </c>
      <c r="F160" s="84">
        <f t="shared" si="22"/>
        <v>1.2087430703464408</v>
      </c>
      <c r="G160" s="80">
        <f>+$C$392/C160</f>
        <v>3.6188449180717108</v>
      </c>
    </row>
    <row r="161" spans="1:7" ht="16.5" hidden="1" thickBot="1" x14ac:dyDescent="0.3">
      <c r="A161" s="75">
        <v>2006</v>
      </c>
      <c r="B161" s="82" t="s">
        <v>27</v>
      </c>
      <c r="C161" s="77">
        <f t="shared" si="20"/>
        <v>338.08300000000042</v>
      </c>
      <c r="D161" s="83">
        <v>0.9184910121012857</v>
      </c>
      <c r="E161" s="83">
        <f t="shared" ref="E161:E168" si="24">100*((C161/$C$160-1))</f>
        <v>0.9184910121012857</v>
      </c>
      <c r="F161" s="84">
        <f t="shared" si="22"/>
        <v>1.740907257943225</v>
      </c>
      <c r="G161" s="80">
        <f>+$C$392/C161</f>
        <v>3.5859086692425572</v>
      </c>
    </row>
    <row r="162" spans="1:7" ht="16.5" hidden="1" thickBot="1" x14ac:dyDescent="0.3">
      <c r="A162" s="86">
        <v>2006</v>
      </c>
      <c r="B162" s="82" t="s">
        <v>28</v>
      </c>
      <c r="C162" s="77">
        <f t="shared" si="20"/>
        <v>338.12800000000033</v>
      </c>
      <c r="D162" s="83">
        <v>1.3310340951755428E-2</v>
      </c>
      <c r="E162" s="83">
        <f t="shared" si="24"/>
        <v>0.93192360733835855</v>
      </c>
      <c r="F162" s="84">
        <f t="shared" si="22"/>
        <v>1.4521974988598751</v>
      </c>
      <c r="G162" s="80">
        <f>+$C$392/C162</f>
        <v>3.5854314360938218</v>
      </c>
    </row>
    <row r="163" spans="1:7" ht="16.5" hidden="1" thickBot="1" x14ac:dyDescent="0.3">
      <c r="A163" s="86">
        <v>2006</v>
      </c>
      <c r="B163" s="82" t="s">
        <v>29</v>
      </c>
      <c r="C163" s="77">
        <f t="shared" si="20"/>
        <v>337.33900000000034</v>
      </c>
      <c r="D163" s="83">
        <v>-0.23334358586096782</v>
      </c>
      <c r="E163" s="83">
        <f t="shared" si="24"/>
        <v>0.69640543751454675</v>
      </c>
      <c r="F163" s="84">
        <f t="shared" si="22"/>
        <v>0.36177232739207366</v>
      </c>
      <c r="G163" s="80">
        <f>+$C$392/C163</f>
        <v>3.5938173784339544</v>
      </c>
    </row>
    <row r="164" spans="1:7" ht="16.5" hidden="1" thickBot="1" x14ac:dyDescent="0.3">
      <c r="A164" s="75">
        <v>2006</v>
      </c>
      <c r="B164" s="82" t="s">
        <v>30</v>
      </c>
      <c r="C164" s="77">
        <f t="shared" si="20"/>
        <v>335.92100000000033</v>
      </c>
      <c r="D164" s="83">
        <v>-0.42034867003222232</v>
      </c>
      <c r="E164" s="83">
        <f t="shared" si="24"/>
        <v>0.27312943648769572</v>
      </c>
      <c r="F164" s="84">
        <f t="shared" si="22"/>
        <v>-0.91702799162315385</v>
      </c>
      <c r="G164" s="80">
        <f>+$C$392/C164</f>
        <v>3.6089877102757248</v>
      </c>
    </row>
    <row r="165" spans="1:7" ht="16.5" hidden="1" thickBot="1" x14ac:dyDescent="0.3">
      <c r="A165" s="75">
        <v>2006</v>
      </c>
      <c r="B165" s="82" t="s">
        <v>31</v>
      </c>
      <c r="C165" s="77">
        <f t="shared" si="20"/>
        <v>337.18500000000034</v>
      </c>
      <c r="D165" s="83">
        <v>0.3762789465380223</v>
      </c>
      <c r="E165" s="83">
        <f t="shared" si="24"/>
        <v>0.65043611159201209</v>
      </c>
      <c r="F165" s="84">
        <f t="shared" si="22"/>
        <v>-0.3292944998359415</v>
      </c>
      <c r="G165" s="80">
        <f>+$C$392/C165</f>
        <v>3.5954587559456432</v>
      </c>
    </row>
    <row r="166" spans="1:7" ht="16.5" hidden="1" thickBot="1" x14ac:dyDescent="0.3">
      <c r="A166" s="75">
        <v>2006</v>
      </c>
      <c r="B166" s="82" t="s">
        <v>32</v>
      </c>
      <c r="C166" s="77">
        <f t="shared" si="20"/>
        <v>339.71200000000027</v>
      </c>
      <c r="D166" s="83">
        <v>0.74944021827778595</v>
      </c>
      <c r="E166" s="83">
        <f t="shared" si="24"/>
        <v>1.4047509596842644</v>
      </c>
      <c r="F166" s="84">
        <f t="shared" si="22"/>
        <v>0.86430859765853629</v>
      </c>
      <c r="G166" s="80">
        <f>+$C$392/C166</f>
        <v>3.568713382581516</v>
      </c>
    </row>
    <row r="167" spans="1:7" ht="16.5" hidden="1" thickBot="1" x14ac:dyDescent="0.3">
      <c r="A167" s="75">
        <v>2006</v>
      </c>
      <c r="B167" s="82" t="s">
        <v>33</v>
      </c>
      <c r="C167" s="77">
        <f t="shared" si="20"/>
        <v>340.3120000000003</v>
      </c>
      <c r="D167" s="78">
        <v>0.17662019593067679</v>
      </c>
      <c r="E167" s="78">
        <f t="shared" si="24"/>
        <v>1.5838522295122726</v>
      </c>
      <c r="F167" s="79">
        <f t="shared" si="22"/>
        <v>1.3850200945590974</v>
      </c>
      <c r="G167" s="80">
        <f>+$C$392/C167</f>
        <v>3.5624214268774885</v>
      </c>
    </row>
    <row r="168" spans="1:7" ht="16.5" hidden="1" thickBot="1" x14ac:dyDescent="0.3">
      <c r="A168" s="75">
        <v>2006</v>
      </c>
      <c r="B168" s="82" t="s">
        <v>34</v>
      </c>
      <c r="C168" s="77">
        <f t="shared" si="20"/>
        <v>341.5740000000003</v>
      </c>
      <c r="D168" s="78">
        <v>0.37083617386397538</v>
      </c>
      <c r="E168" s="78">
        <f t="shared" si="24"/>
        <v>1.9605619003838504</v>
      </c>
      <c r="F168" s="79">
        <f t="shared" si="22"/>
        <v>2.4289749725615595</v>
      </c>
      <c r="G168" s="80">
        <f>+$C$392/C168</f>
        <v>3.5492594887887599</v>
      </c>
    </row>
    <row r="169" spans="1:7" ht="16.5" hidden="1" thickBot="1" x14ac:dyDescent="0.3">
      <c r="A169" s="75">
        <v>2006</v>
      </c>
      <c r="B169" s="82" t="s">
        <v>21</v>
      </c>
      <c r="C169" s="77">
        <f t="shared" si="20"/>
        <v>342.56100000000026</v>
      </c>
      <c r="D169" s="78">
        <v>0.2889564193995886</v>
      </c>
      <c r="E169" s="78">
        <f>100*((C169/$C$160-1))</f>
        <v>2.2551834892509115</v>
      </c>
      <c r="F169" s="79">
        <f t="shared" si="22"/>
        <v>3.2774578672856824</v>
      </c>
      <c r="G169" s="80">
        <f>+$C$392/C169</f>
        <v>3.5390332251001486</v>
      </c>
    </row>
    <row r="170" spans="1:7" ht="16.5" hidden="1" thickBot="1" x14ac:dyDescent="0.3">
      <c r="A170" s="75">
        <v>2006</v>
      </c>
      <c r="B170" s="82" t="s">
        <v>35</v>
      </c>
      <c r="C170" s="77">
        <f t="shared" si="20"/>
        <v>344.15500000000026</v>
      </c>
      <c r="D170" s="78">
        <v>0.46531858559497596</v>
      </c>
      <c r="E170" s="78">
        <f>100*((C170/$C$160-1))</f>
        <v>2.7309958627606212</v>
      </c>
      <c r="F170" s="79">
        <f t="shared" si="22"/>
        <v>3.134908029512018</v>
      </c>
      <c r="G170" s="80">
        <f>+$C$392/C170</f>
        <v>3.5226417184801382</v>
      </c>
    </row>
    <row r="171" spans="1:7" ht="16.5" hidden="1" thickBot="1" x14ac:dyDescent="0.3">
      <c r="A171" s="75">
        <v>2006</v>
      </c>
      <c r="B171" s="82" t="s">
        <v>25</v>
      </c>
      <c r="C171" s="77">
        <f t="shared" si="20"/>
        <v>346.74600000000021</v>
      </c>
      <c r="D171" s="83">
        <v>0.75285845040751198</v>
      </c>
      <c r="E171" s="83">
        <f>100*((C171/$C$160-1))</f>
        <v>3.5044148463012181</v>
      </c>
      <c r="F171" s="84">
        <f t="shared" si="22"/>
        <v>3.4960735211157612</v>
      </c>
      <c r="G171" s="80">
        <f>+$C$392/C171</f>
        <v>3.4963193825553351</v>
      </c>
    </row>
    <row r="172" spans="1:7" ht="16.5" hidden="1" thickBot="1" x14ac:dyDescent="0.3">
      <c r="A172" s="75">
        <v>2006</v>
      </c>
      <c r="B172" s="82" t="s">
        <v>26</v>
      </c>
      <c r="C172" s="77">
        <f t="shared" si="20"/>
        <v>347.84200000000027</v>
      </c>
      <c r="D172" s="83">
        <v>0.31608151211550695</v>
      </c>
      <c r="E172" s="83">
        <f>100*((C172/$C$160-1))</f>
        <v>3.8315731658537189</v>
      </c>
      <c r="F172" s="84">
        <f t="shared" si="22"/>
        <v>3.8315731658537189</v>
      </c>
      <c r="G172" s="80">
        <f>+$C$392/C172</f>
        <v>3.485302984181128</v>
      </c>
    </row>
    <row r="173" spans="1:7" ht="16.5" hidden="1" thickBot="1" x14ac:dyDescent="0.3">
      <c r="A173" s="75">
        <v>2007</v>
      </c>
      <c r="B173" s="82" t="s">
        <v>27</v>
      </c>
      <c r="C173" s="77">
        <f t="shared" si="20"/>
        <v>349.5930000000003</v>
      </c>
      <c r="D173" s="83">
        <v>0.5033894699317587</v>
      </c>
      <c r="E173" s="83">
        <f t="shared" ref="E173:E181" si="25">100*((C173/$C$172-1))</f>
        <v>0.5033894699317587</v>
      </c>
      <c r="F173" s="84">
        <f t="shared" si="22"/>
        <v>3.4044894301103135</v>
      </c>
      <c r="G173" s="80">
        <f>+$C$392/C173</f>
        <v>3.4678462115189146</v>
      </c>
    </row>
    <row r="174" spans="1:7" ht="16.5" hidden="1" thickBot="1" x14ac:dyDescent="0.3">
      <c r="A174" s="75">
        <v>2007</v>
      </c>
      <c r="B174" s="82" t="s">
        <v>14</v>
      </c>
      <c r="C174" s="77">
        <f t="shared" si="20"/>
        <v>350.52400000000023</v>
      </c>
      <c r="D174" s="83">
        <v>0.26630968011371881</v>
      </c>
      <c r="E174" s="83">
        <f t="shared" si="25"/>
        <v>0.77103972493257622</v>
      </c>
      <c r="F174" s="84">
        <f t="shared" si="22"/>
        <v>3.6660672881275502</v>
      </c>
      <c r="G174" s="80">
        <f>+$C$392/C174</f>
        <v>3.4586355303018683</v>
      </c>
    </row>
    <row r="175" spans="1:7" ht="16.5" hidden="1" thickBot="1" x14ac:dyDescent="0.3">
      <c r="A175" s="75">
        <v>2007</v>
      </c>
      <c r="B175" s="82" t="s">
        <v>29</v>
      </c>
      <c r="C175" s="77">
        <f t="shared" si="20"/>
        <v>351.71700000000027</v>
      </c>
      <c r="D175" s="83">
        <v>0.34034759388801294</v>
      </c>
      <c r="E175" s="83">
        <f t="shared" si="25"/>
        <v>1.1140115339723256</v>
      </c>
      <c r="F175" s="84">
        <f t="shared" si="22"/>
        <v>4.2621813665185249</v>
      </c>
      <c r="G175" s="80">
        <f>+$C$392/C175</f>
        <v>3.4469040752182352</v>
      </c>
    </row>
    <row r="176" spans="1:7" ht="16.5" hidden="1" thickBot="1" x14ac:dyDescent="0.3">
      <c r="A176" s="75">
        <v>2007</v>
      </c>
      <c r="B176" s="82" t="s">
        <v>30</v>
      </c>
      <c r="C176" s="77">
        <f t="shared" si="20"/>
        <v>351.86900000000031</v>
      </c>
      <c r="D176" s="83">
        <v>4.3216563316539336E-2</v>
      </c>
      <c r="E176" s="83">
        <f t="shared" si="25"/>
        <v>1.1577095347887978</v>
      </c>
      <c r="F176" s="84">
        <f t="shared" si="22"/>
        <v>4.7475448096427231</v>
      </c>
      <c r="G176" s="80">
        <f>+$C$392/C176</f>
        <v>3.4454150852264105</v>
      </c>
    </row>
    <row r="177" spans="1:7" ht="16.5" hidden="1" thickBot="1" x14ac:dyDescent="0.3">
      <c r="A177" s="75">
        <v>2007</v>
      </c>
      <c r="B177" s="82" t="s">
        <v>31</v>
      </c>
      <c r="C177" s="77">
        <f t="shared" si="20"/>
        <v>352.02000000000021</v>
      </c>
      <c r="D177" s="83">
        <v>4.2913697995539124E-2</v>
      </c>
      <c r="E177" s="83">
        <f t="shared" si="25"/>
        <v>1.2011200487577423</v>
      </c>
      <c r="F177" s="84">
        <f t="shared" si="22"/>
        <v>4.3996619066684062</v>
      </c>
      <c r="G177" s="80">
        <f>+$C$392/C177</f>
        <v>3.4439371644325103</v>
      </c>
    </row>
    <row r="178" spans="1:7" ht="16.5" hidden="1" thickBot="1" x14ac:dyDescent="0.3">
      <c r="A178" s="75">
        <v>2007</v>
      </c>
      <c r="B178" s="82" t="s">
        <v>32</v>
      </c>
      <c r="C178" s="77">
        <f t="shared" si="20"/>
        <v>352.93600000000021</v>
      </c>
      <c r="D178" s="83">
        <v>0.26021248792682528</v>
      </c>
      <c r="E178" s="83">
        <f t="shared" si="25"/>
        <v>1.4644580010464425</v>
      </c>
      <c r="F178" s="84">
        <f t="shared" si="22"/>
        <v>3.8927091183119655</v>
      </c>
      <c r="G178" s="80">
        <f>+$C$392/C178</f>
        <v>3.434998868416745</v>
      </c>
    </row>
    <row r="179" spans="1:7" ht="16.5" hidden="1" thickBot="1" x14ac:dyDescent="0.3">
      <c r="A179" s="75">
        <v>2007</v>
      </c>
      <c r="B179" s="82" t="s">
        <v>33</v>
      </c>
      <c r="C179" s="77">
        <f t="shared" si="20"/>
        <v>353.9200000000003</v>
      </c>
      <c r="D179" s="83">
        <v>0.27880408912666077</v>
      </c>
      <c r="E179" s="83">
        <f t="shared" si="25"/>
        <v>1.7473450589635675</v>
      </c>
      <c r="F179" s="84">
        <f t="shared" si="22"/>
        <v>3.9986835609675753</v>
      </c>
      <c r="G179" s="80">
        <f>+$C$392/C179</f>
        <v>3.4254485777111547</v>
      </c>
    </row>
    <row r="180" spans="1:7" ht="16.5" hidden="1" thickBot="1" x14ac:dyDescent="0.3">
      <c r="A180" s="75">
        <v>2007</v>
      </c>
      <c r="B180" s="82" t="s">
        <v>34</v>
      </c>
      <c r="C180" s="77">
        <f t="shared" si="20"/>
        <v>357.40400000000028</v>
      </c>
      <c r="D180" s="83">
        <v>0.9844032549728654</v>
      </c>
      <c r="E180" s="83">
        <f t="shared" si="25"/>
        <v>2.7489492355724732</v>
      </c>
      <c r="F180" s="84">
        <f t="shared" si="22"/>
        <v>4.6344276789216821</v>
      </c>
      <c r="G180" s="80">
        <f>+$C$392/C180</f>
        <v>3.3920570576253537</v>
      </c>
    </row>
    <row r="181" spans="1:7" ht="16.5" hidden="1" thickBot="1" x14ac:dyDescent="0.3">
      <c r="A181" s="75">
        <v>2007</v>
      </c>
      <c r="B181" s="82" t="s">
        <v>36</v>
      </c>
      <c r="C181" s="77">
        <f t="shared" si="20"/>
        <v>361.9970000000003</v>
      </c>
      <c r="D181" s="83">
        <v>1.285100334635314</v>
      </c>
      <c r="E181" s="83">
        <f t="shared" si="25"/>
        <v>4.0693763260330806</v>
      </c>
      <c r="F181" s="84">
        <f t="shared" si="22"/>
        <v>5.6737340210940568</v>
      </c>
      <c r="G181" s="80">
        <f>+$C$392/C181</f>
        <v>3.349018805745716</v>
      </c>
    </row>
    <row r="182" spans="1:7" ht="16.5" hidden="1" thickBot="1" x14ac:dyDescent="0.3">
      <c r="A182" s="75">
        <v>2007</v>
      </c>
      <c r="B182" s="82" t="s">
        <v>35</v>
      </c>
      <c r="C182" s="77">
        <f t="shared" si="20"/>
        <v>365.79400000000027</v>
      </c>
      <c r="D182" s="83">
        <v>1.0489037201965701</v>
      </c>
      <c r="E182" s="83">
        <f>100*((C182/$C$172-1))</f>
        <v>5.1609638859022144</v>
      </c>
      <c r="F182" s="84">
        <f t="shared" si="22"/>
        <v>6.2875739129171437</v>
      </c>
      <c r="G182" s="80">
        <f>+$C$392/C182</f>
        <v>3.314255456960836</v>
      </c>
    </row>
    <row r="183" spans="1:7" ht="16.5" hidden="1" thickBot="1" x14ac:dyDescent="0.3">
      <c r="A183" s="75">
        <v>2007</v>
      </c>
      <c r="B183" s="82" t="s">
        <v>25</v>
      </c>
      <c r="C183" s="77">
        <f t="shared" si="20"/>
        <v>368.33400000000029</v>
      </c>
      <c r="D183" s="83">
        <v>0.69437989688185819</v>
      </c>
      <c r="E183" s="83">
        <f>100*((C183/$C$172-1))</f>
        <v>5.8911804784931077</v>
      </c>
      <c r="F183" s="84">
        <f t="shared" si="22"/>
        <v>6.2258829229465018</v>
      </c>
      <c r="G183" s="80">
        <f>+$C$392/C183</f>
        <v>3.2914006326419281</v>
      </c>
    </row>
    <row r="184" spans="1:7" ht="16.5" hidden="1" thickBot="1" x14ac:dyDescent="0.3">
      <c r="A184" s="75">
        <v>2007</v>
      </c>
      <c r="B184" s="82" t="s">
        <v>26</v>
      </c>
      <c r="C184" s="77">
        <f t="shared" si="20"/>
        <v>374.81500000000028</v>
      </c>
      <c r="D184" s="83">
        <v>1.7595443266166022</v>
      </c>
      <c r="E184" s="83">
        <f>100*((C184/$C$172-1))</f>
        <v>7.7543827369897844</v>
      </c>
      <c r="F184" s="84">
        <f t="shared" si="22"/>
        <v>7.7543827369897844</v>
      </c>
      <c r="G184" s="80">
        <f>+$C$392/C184</f>
        <v>3.2344883759282101</v>
      </c>
    </row>
    <row r="185" spans="1:7" ht="16.5" hidden="1" thickBot="1" x14ac:dyDescent="0.3">
      <c r="A185" s="75">
        <v>2008</v>
      </c>
      <c r="B185" s="82" t="s">
        <v>27</v>
      </c>
      <c r="C185" s="77">
        <f t="shared" si="20"/>
        <v>378.90000000000026</v>
      </c>
      <c r="D185" s="83">
        <v>1.0898710030281533</v>
      </c>
      <c r="E185" s="83">
        <f t="shared" ref="E185:E196" si="26">100*((C185/$C$184-1))</f>
        <v>1.0898710030281533</v>
      </c>
      <c r="F185" s="84">
        <f t="shared" si="22"/>
        <v>8.3831770086929538</v>
      </c>
      <c r="G185" s="80">
        <f>+$C$392/C185</f>
        <v>3.1996166815083984</v>
      </c>
    </row>
    <row r="186" spans="1:7" ht="16.5" hidden="1" thickBot="1" x14ac:dyDescent="0.3">
      <c r="A186" s="75">
        <v>2008</v>
      </c>
      <c r="B186" s="82" t="s">
        <v>28</v>
      </c>
      <c r="C186" s="77">
        <f t="shared" si="20"/>
        <v>380.90600000000023</v>
      </c>
      <c r="D186" s="83">
        <v>0.52942728952229956</v>
      </c>
      <c r="E186" s="83">
        <f t="shared" si="26"/>
        <v>1.6250683670610666</v>
      </c>
      <c r="F186" s="84">
        <f t="shared" si="22"/>
        <v>8.6675948009266044</v>
      </c>
      <c r="G186" s="80">
        <f>+$C$392/C186</f>
        <v>3.1827662484275181</v>
      </c>
    </row>
    <row r="187" spans="1:7" ht="16.5" hidden="1" thickBot="1" x14ac:dyDescent="0.3">
      <c r="A187" s="75">
        <v>2008</v>
      </c>
      <c r="B187" s="82" t="s">
        <v>29</v>
      </c>
      <c r="C187" s="77">
        <f t="shared" si="20"/>
        <v>383.73100000000022</v>
      </c>
      <c r="D187" s="83">
        <v>0.74165279622793179</v>
      </c>
      <c r="E187" s="83">
        <f t="shared" si="26"/>
        <v>2.3787735282739364</v>
      </c>
      <c r="F187" s="84">
        <f t="shared" si="22"/>
        <v>9.1022043290486252</v>
      </c>
      <c r="G187" s="80">
        <f>+$C$392/C187</f>
        <v>3.1593349524107572</v>
      </c>
    </row>
    <row r="188" spans="1:7" ht="16.5" hidden="1" thickBot="1" x14ac:dyDescent="0.3">
      <c r="A188" s="75">
        <v>2008</v>
      </c>
      <c r="B188" s="82" t="s">
        <v>30</v>
      </c>
      <c r="C188" s="77">
        <f t="shared" si="20"/>
        <v>386.38000000000022</v>
      </c>
      <c r="D188" s="83">
        <v>0.69032733868257257</v>
      </c>
      <c r="E188" s="83">
        <f t="shared" si="26"/>
        <v>3.0855221909475095</v>
      </c>
      <c r="F188" s="84">
        <f t="shared" si="22"/>
        <v>9.8079114670516212</v>
      </c>
      <c r="G188" s="80">
        <f>+$C$392/C188</f>
        <v>3.1376747259783948</v>
      </c>
    </row>
    <row r="189" spans="1:7" ht="16.5" hidden="1" thickBot="1" x14ac:dyDescent="0.3">
      <c r="A189" s="75">
        <v>2008</v>
      </c>
      <c r="B189" s="82" t="s">
        <v>31</v>
      </c>
      <c r="C189" s="77">
        <f t="shared" si="20"/>
        <v>392.59200000000021</v>
      </c>
      <c r="D189" s="83">
        <v>1.6077436720327132</v>
      </c>
      <c r="E189" s="83">
        <f t="shared" si="26"/>
        <v>4.7428731507543453</v>
      </c>
      <c r="F189" s="84">
        <f t="shared" si="22"/>
        <v>11.525481506732561</v>
      </c>
      <c r="G189" s="80">
        <f>+$C$392/C189</f>
        <v>3.0880271646481137</v>
      </c>
    </row>
    <row r="190" spans="1:7" ht="16.5" hidden="1" thickBot="1" x14ac:dyDescent="0.3">
      <c r="A190" s="75">
        <v>2008</v>
      </c>
      <c r="B190" s="82" t="s">
        <v>32</v>
      </c>
      <c r="C190" s="77">
        <f t="shared" ref="C190:C253" si="27">+C189*(1+D190/100)</f>
        <v>400.38200000000023</v>
      </c>
      <c r="D190" s="83">
        <v>1.9842482781106119</v>
      </c>
      <c r="E190" s="83">
        <f t="shared" si="26"/>
        <v>6.8212318076917855</v>
      </c>
      <c r="F190" s="84">
        <f t="shared" si="22"/>
        <v>13.443230500714009</v>
      </c>
      <c r="G190" s="80">
        <f>+$C$392/C190</f>
        <v>3.0279452138795757</v>
      </c>
    </row>
    <row r="191" spans="1:7" ht="16.5" hidden="1" thickBot="1" x14ac:dyDescent="0.3">
      <c r="A191" s="75">
        <v>2008</v>
      </c>
      <c r="B191" s="82" t="s">
        <v>33</v>
      </c>
      <c r="C191" s="77">
        <f t="shared" si="27"/>
        <v>407.44600000000025</v>
      </c>
      <c r="D191" s="83">
        <v>1.7643150790994655</v>
      </c>
      <c r="E191" s="83">
        <f t="shared" si="26"/>
        <v>8.7058949081546757</v>
      </c>
      <c r="F191" s="84">
        <f t="shared" si="22"/>
        <v>15.123756781193464</v>
      </c>
      <c r="G191" s="80">
        <f>+$C$392/C191</f>
        <v>2.9754489199146197</v>
      </c>
    </row>
    <row r="192" spans="1:7" ht="16.5" hidden="1" thickBot="1" x14ac:dyDescent="0.3">
      <c r="A192" s="75">
        <v>2008</v>
      </c>
      <c r="B192" s="82" t="s">
        <v>34</v>
      </c>
      <c r="C192" s="77">
        <f t="shared" si="27"/>
        <v>406.12700000000024</v>
      </c>
      <c r="D192" s="83">
        <v>-0.32372387997428032</v>
      </c>
      <c r="E192" s="83">
        <f t="shared" si="26"/>
        <v>8.3539879673972361</v>
      </c>
      <c r="F192" s="84">
        <f t="shared" si="22"/>
        <v>13.632471936519996</v>
      </c>
      <c r="G192" s="80">
        <f>+$C$392/C192</f>
        <v>2.9851124417325914</v>
      </c>
    </row>
    <row r="193" spans="1:7" ht="16.5" hidden="1" thickBot="1" x14ac:dyDescent="0.3">
      <c r="A193" s="75">
        <v>2008</v>
      </c>
      <c r="B193" s="82" t="s">
        <v>36</v>
      </c>
      <c r="C193" s="77">
        <f t="shared" si="27"/>
        <v>406.55700000000024</v>
      </c>
      <c r="D193" s="83">
        <v>0.10587821051051272</v>
      </c>
      <c r="E193" s="83">
        <f t="shared" si="26"/>
        <v>8.4687112308738719</v>
      </c>
      <c r="F193" s="84">
        <f t="shared" si="22"/>
        <v>12.30949427757686</v>
      </c>
      <c r="G193" s="80">
        <f>+$C$392/C193</f>
        <v>2.9819552009276244</v>
      </c>
    </row>
    <row r="194" spans="1:7" ht="16.5" hidden="1" thickBot="1" x14ac:dyDescent="0.3">
      <c r="A194" s="75">
        <v>2008</v>
      </c>
      <c r="B194" s="82" t="s">
        <v>35</v>
      </c>
      <c r="C194" s="77">
        <f t="shared" si="27"/>
        <v>410.52400000000029</v>
      </c>
      <c r="D194" s="83">
        <v>0.97575493719208595</v>
      </c>
      <c r="E194" s="83">
        <f t="shared" si="26"/>
        <v>9.5271000360177549</v>
      </c>
      <c r="F194" s="84">
        <f t="shared" si="22"/>
        <v>12.228194010836702</v>
      </c>
      <c r="G194" s="80">
        <f>+$C$392/C194</f>
        <v>2.9531397935894907</v>
      </c>
    </row>
    <row r="195" spans="1:7" ht="16.5" hidden="1" thickBot="1" x14ac:dyDescent="0.3">
      <c r="A195" s="75">
        <v>2008</v>
      </c>
      <c r="B195" s="82" t="s">
        <v>25</v>
      </c>
      <c r="C195" s="77">
        <f t="shared" si="27"/>
        <v>412.10400000000027</v>
      </c>
      <c r="D195" s="83">
        <v>0.384873965955701</v>
      </c>
      <c r="E195" s="83">
        <f t="shared" si="26"/>
        <v>9.9486413297226619</v>
      </c>
      <c r="F195" s="84">
        <f t="shared" si="22"/>
        <v>11.883236410431831</v>
      </c>
      <c r="G195" s="80">
        <f>+$C$392/C195</f>
        <v>2.9418175038910861</v>
      </c>
    </row>
    <row r="196" spans="1:7" ht="16.5" hidden="1" thickBot="1" x14ac:dyDescent="0.3">
      <c r="A196" s="75">
        <v>2008</v>
      </c>
      <c r="B196" s="82" t="s">
        <v>26</v>
      </c>
      <c r="C196" s="77">
        <f t="shared" si="27"/>
        <v>411.57500000000027</v>
      </c>
      <c r="D196" s="83">
        <v>-0.12836565527147847</v>
      </c>
      <c r="E196" s="83">
        <f t="shared" si="26"/>
        <v>9.8075050358176661</v>
      </c>
      <c r="F196" s="84">
        <f t="shared" si="22"/>
        <v>9.8075050358176661</v>
      </c>
      <c r="G196" s="80">
        <f>+$C$392/C196</f>
        <v>2.9455986408881301</v>
      </c>
    </row>
    <row r="197" spans="1:7" ht="16.5" hidden="1" thickBot="1" x14ac:dyDescent="0.3">
      <c r="A197" s="75">
        <v>2009</v>
      </c>
      <c r="B197" s="82" t="s">
        <v>27</v>
      </c>
      <c r="C197" s="77">
        <f t="shared" si="27"/>
        <v>409.78200000000027</v>
      </c>
      <c r="D197" s="83">
        <v>-0.43564356435643603</v>
      </c>
      <c r="E197" s="83">
        <f t="shared" ref="E197:E208" si="28">100*((C197/$C$196-1))</f>
        <v>-0.43564356435643603</v>
      </c>
      <c r="F197" s="84">
        <f t="shared" si="22"/>
        <v>8.1504354711005469</v>
      </c>
      <c r="G197" s="80">
        <f>+$C$392/C197</f>
        <v>2.9584870995395898</v>
      </c>
    </row>
    <row r="198" spans="1:7" ht="16.5" hidden="1" thickBot="1" x14ac:dyDescent="0.3">
      <c r="A198" s="75">
        <v>2009</v>
      </c>
      <c r="B198" s="82" t="s">
        <v>28</v>
      </c>
      <c r="C198" s="77">
        <f t="shared" si="27"/>
        <v>410.84900000000027</v>
      </c>
      <c r="D198" s="83">
        <v>0.26038234963956519</v>
      </c>
      <c r="E198" s="83">
        <f t="shared" si="28"/>
        <v>-0.17639555366579796</v>
      </c>
      <c r="F198" s="84">
        <f t="shared" si="22"/>
        <v>7.8609945760896416</v>
      </c>
      <c r="G198" s="80">
        <f>+$C$392/C198</f>
        <v>2.9508037274607752</v>
      </c>
    </row>
    <row r="199" spans="1:7" ht="16.5" hidden="1" thickBot="1" x14ac:dyDescent="0.3">
      <c r="A199" s="75">
        <v>2009</v>
      </c>
      <c r="B199" s="82" t="s">
        <v>29</v>
      </c>
      <c r="C199" s="77">
        <f t="shared" si="27"/>
        <v>407.80800000000028</v>
      </c>
      <c r="D199" s="83">
        <v>-0.74017461403094176</v>
      </c>
      <c r="E199" s="83">
        <f t="shared" si="28"/>
        <v>-0.91526453258822249</v>
      </c>
      <c r="F199" s="84">
        <f t="shared" si="22"/>
        <v>6.2744474644998771</v>
      </c>
      <c r="G199" s="80">
        <f>+$C$392/C199</f>
        <v>2.9728076953456823</v>
      </c>
    </row>
    <row r="200" spans="1:7" ht="16.5" hidden="1" thickBot="1" x14ac:dyDescent="0.3">
      <c r="A200" s="75">
        <v>2009</v>
      </c>
      <c r="B200" s="82" t="s">
        <v>30</v>
      </c>
      <c r="C200" s="77">
        <f t="shared" si="27"/>
        <v>407.18100000000027</v>
      </c>
      <c r="D200" s="83">
        <v>-0.15374882297551906</v>
      </c>
      <c r="E200" s="83">
        <f t="shared" si="28"/>
        <v>-1.0676061471177833</v>
      </c>
      <c r="F200" s="84">
        <f t="shared" si="22"/>
        <v>5.3835602256845583</v>
      </c>
      <c r="G200" s="80">
        <f>+$C$392/C200</f>
        <v>2.9773853903387737</v>
      </c>
    </row>
    <row r="201" spans="1:7" ht="16.5" hidden="1" thickBot="1" x14ac:dyDescent="0.3">
      <c r="A201" s="75">
        <v>2009</v>
      </c>
      <c r="B201" s="82" t="s">
        <v>31</v>
      </c>
      <c r="C201" s="77">
        <f t="shared" si="27"/>
        <v>406.88500000000028</v>
      </c>
      <c r="D201" s="83">
        <v>-7.2694944017526186E-2</v>
      </c>
      <c r="E201" s="83">
        <f t="shared" si="28"/>
        <v>-1.1395249954443298</v>
      </c>
      <c r="F201" s="84">
        <f t="shared" ref="F201:F264" si="29">+((C201/C189)-1)*100</f>
        <v>3.6406753066797304</v>
      </c>
      <c r="G201" s="80">
        <f>+$C$392/C201</f>
        <v>2.9795513735417432</v>
      </c>
    </row>
    <row r="202" spans="1:7" ht="16.5" hidden="1" thickBot="1" x14ac:dyDescent="0.3">
      <c r="A202" s="75">
        <v>2009</v>
      </c>
      <c r="B202" s="82" t="s">
        <v>32</v>
      </c>
      <c r="C202" s="77">
        <f t="shared" si="27"/>
        <v>406.48600000000027</v>
      </c>
      <c r="D202" s="83">
        <v>-9.8062106000462723E-2</v>
      </c>
      <c r="E202" s="83">
        <f t="shared" si="28"/>
        <v>-1.2364696592358615</v>
      </c>
      <c r="F202" s="84">
        <f t="shared" si="29"/>
        <v>1.5245440604223059</v>
      </c>
      <c r="G202" s="80">
        <f>+$C$392/C202</f>
        <v>2.9824760523696563</v>
      </c>
    </row>
    <row r="203" spans="1:7" ht="16.5" hidden="1" thickBot="1" x14ac:dyDescent="0.3">
      <c r="A203" s="75">
        <v>2009</v>
      </c>
      <c r="B203" s="82" t="s">
        <v>33</v>
      </c>
      <c r="C203" s="77">
        <f t="shared" si="27"/>
        <v>404.7180000000003</v>
      </c>
      <c r="D203" s="83">
        <v>-0.43494732905929867</v>
      </c>
      <c r="E203" s="83">
        <f t="shared" si="28"/>
        <v>-1.6660389965376776</v>
      </c>
      <c r="F203" s="84">
        <f t="shared" si="29"/>
        <v>-0.66953657662609523</v>
      </c>
      <c r="G203" s="80">
        <f>+$C$392/C203</f>
        <v>2.9955049210154527</v>
      </c>
    </row>
    <row r="204" spans="1:7" ht="16.5" hidden="1" thickBot="1" x14ac:dyDescent="0.3">
      <c r="A204" s="75">
        <v>2009</v>
      </c>
      <c r="B204" s="82" t="s">
        <v>34</v>
      </c>
      <c r="C204" s="77">
        <f t="shared" si="27"/>
        <v>403.25300000000027</v>
      </c>
      <c r="D204" s="83">
        <v>-0.36198044070192559</v>
      </c>
      <c r="E204" s="83">
        <f t="shared" si="28"/>
        <v>-2.0219887019376825</v>
      </c>
      <c r="F204" s="84">
        <f t="shared" si="29"/>
        <v>-0.70766041164462834</v>
      </c>
      <c r="G204" s="80">
        <f>+$C$392/C204</f>
        <v>3.0063874555763554</v>
      </c>
    </row>
    <row r="205" spans="1:7" ht="16.5" hidden="1" thickBot="1" x14ac:dyDescent="0.3">
      <c r="A205" s="75">
        <v>2009</v>
      </c>
      <c r="B205" s="82" t="s">
        <v>21</v>
      </c>
      <c r="C205" s="77">
        <f t="shared" si="27"/>
        <v>404.94500000000033</v>
      </c>
      <c r="D205" s="83">
        <v>0.41958770300531967</v>
      </c>
      <c r="E205" s="83">
        <f t="shared" si="28"/>
        <v>-1.6108850148818354</v>
      </c>
      <c r="F205" s="84">
        <f t="shared" si="29"/>
        <v>-0.39650036772209685</v>
      </c>
      <c r="G205" s="80">
        <f>+$C$392/C205</f>
        <v>2.9938257309598386</v>
      </c>
    </row>
    <row r="206" spans="1:7" ht="16.5" hidden="1" thickBot="1" x14ac:dyDescent="0.3">
      <c r="A206" s="75">
        <v>2009</v>
      </c>
      <c r="B206" s="82" t="s">
        <v>35</v>
      </c>
      <c r="C206" s="77">
        <f t="shared" si="27"/>
        <v>405.12900000000042</v>
      </c>
      <c r="D206" s="83">
        <v>4.5438269394626474E-2</v>
      </c>
      <c r="E206" s="83">
        <f t="shared" si="28"/>
        <v>-1.5661787037599129</v>
      </c>
      <c r="F206" s="84">
        <f t="shared" si="29"/>
        <v>-1.3141740799563206</v>
      </c>
      <c r="G206" s="80">
        <f>+$C$392/C206</f>
        <v>2.9924660061944013</v>
      </c>
    </row>
    <row r="207" spans="1:7" ht="16.5" hidden="1" thickBot="1" x14ac:dyDescent="0.3">
      <c r="A207" s="75">
        <v>2009</v>
      </c>
      <c r="B207" s="82" t="s">
        <v>25</v>
      </c>
      <c r="C207" s="77">
        <f t="shared" si="27"/>
        <v>405.54800000000034</v>
      </c>
      <c r="D207" s="83">
        <v>0.10342384771269142</v>
      </c>
      <c r="E207" s="83">
        <f t="shared" si="28"/>
        <v>-1.4643746583247075</v>
      </c>
      <c r="F207" s="84">
        <f t="shared" si="29"/>
        <v>-1.5908605594704084</v>
      </c>
      <c r="G207" s="80">
        <f>+$C$392/C207</f>
        <v>2.9893742802911909</v>
      </c>
    </row>
    <row r="208" spans="1:7" ht="16.5" hidden="1" thickBot="1" x14ac:dyDescent="0.3">
      <c r="A208" s="75">
        <v>2009</v>
      </c>
      <c r="B208" s="82" t="s">
        <v>12</v>
      </c>
      <c r="C208" s="77">
        <f t="shared" si="27"/>
        <v>404.49900000000036</v>
      </c>
      <c r="D208" s="83">
        <v>-0.25866235316164277</v>
      </c>
      <c r="E208" s="83">
        <f t="shared" si="28"/>
        <v>-1.7192492255360237</v>
      </c>
      <c r="F208" s="84">
        <f t="shared" si="29"/>
        <v>-1.7192492255360237</v>
      </c>
      <c r="G208" s="80">
        <f>+$C$392/C208</f>
        <v>2.9971267187892474</v>
      </c>
    </row>
    <row r="209" spans="1:7" ht="16.5" hidden="1" thickBot="1" x14ac:dyDescent="0.3">
      <c r="A209" s="75">
        <v>2010</v>
      </c>
      <c r="B209" s="82" t="s">
        <v>13</v>
      </c>
      <c r="C209" s="77">
        <f t="shared" si="27"/>
        <v>407.04900000000038</v>
      </c>
      <c r="D209" s="83">
        <v>0.63040946949188825</v>
      </c>
      <c r="E209" s="83">
        <f t="shared" ref="E209:E220" si="30">100*((C209/$C$208-1))</f>
        <v>0.63040946949188825</v>
      </c>
      <c r="F209" s="84">
        <f t="shared" si="29"/>
        <v>-0.666939982722492</v>
      </c>
      <c r="G209" s="80">
        <f>+$C$392/C209</f>
        <v>2.9783509126015093</v>
      </c>
    </row>
    <row r="210" spans="1:7" ht="16.5" hidden="1" thickBot="1" x14ac:dyDescent="0.3">
      <c r="A210" s="75">
        <v>2010</v>
      </c>
      <c r="B210" s="82" t="s">
        <v>14</v>
      </c>
      <c r="C210" s="77">
        <f t="shared" si="27"/>
        <v>411.84300000000036</v>
      </c>
      <c r="D210" s="83">
        <v>1.1777451854690701</v>
      </c>
      <c r="E210" s="83">
        <f t="shared" si="30"/>
        <v>1.815579272136647</v>
      </c>
      <c r="F210" s="84">
        <f t="shared" si="29"/>
        <v>0.24193803562868599</v>
      </c>
      <c r="G210" s="80">
        <f>+$C$392/C210</f>
        <v>2.9436818414384409</v>
      </c>
    </row>
    <row r="211" spans="1:7" ht="16.5" hidden="1" thickBot="1" x14ac:dyDescent="0.3">
      <c r="A211" s="75">
        <v>2010</v>
      </c>
      <c r="B211" s="82" t="s">
        <v>15</v>
      </c>
      <c r="C211" s="77">
        <f t="shared" si="27"/>
        <v>415.73400000000032</v>
      </c>
      <c r="D211" s="83">
        <v>0.94477750016388473</v>
      </c>
      <c r="E211" s="83">
        <f t="shared" si="30"/>
        <v>2.7775099567613148</v>
      </c>
      <c r="F211" s="84">
        <f t="shared" si="29"/>
        <v>1.9435616760828722</v>
      </c>
      <c r="G211" s="80">
        <f>+$C$392/C211</f>
        <v>2.9161308928871152</v>
      </c>
    </row>
    <row r="212" spans="1:7" ht="16.5" hidden="1" thickBot="1" x14ac:dyDescent="0.3">
      <c r="A212" s="75">
        <v>2010</v>
      </c>
      <c r="B212" s="82" t="s">
        <v>16</v>
      </c>
      <c r="C212" s="77">
        <f t="shared" si="27"/>
        <v>418.91700000000026</v>
      </c>
      <c r="D212" s="83">
        <v>0.76563379468601589</v>
      </c>
      <c r="E212" s="83">
        <f t="shared" si="30"/>
        <v>3.5644093063270654</v>
      </c>
      <c r="F212" s="84">
        <f t="shared" si="29"/>
        <v>2.8822562938840335</v>
      </c>
      <c r="G212" s="80">
        <f>+$C$392/C212</f>
        <v>2.8939736525935502</v>
      </c>
    </row>
    <row r="213" spans="1:7" ht="16.5" hidden="1" thickBot="1" x14ac:dyDescent="0.3">
      <c r="A213" s="75">
        <v>2010</v>
      </c>
      <c r="B213" s="82" t="s">
        <v>17</v>
      </c>
      <c r="C213" s="77">
        <f t="shared" si="27"/>
        <v>423.88500000000028</v>
      </c>
      <c r="D213" s="83">
        <v>1.1859151096756726</v>
      </c>
      <c r="E213" s="83">
        <f t="shared" si="30"/>
        <v>4.7925952845371489</v>
      </c>
      <c r="F213" s="84">
        <f t="shared" si="29"/>
        <v>4.1780847168118695</v>
      </c>
      <c r="G213" s="80">
        <f>+$C$392/C213</f>
        <v>2.8600558184968379</v>
      </c>
    </row>
    <row r="214" spans="1:7" ht="16.5" hidden="1" thickBot="1" x14ac:dyDescent="0.3">
      <c r="A214" s="75">
        <v>2010</v>
      </c>
      <c r="B214" s="82" t="s">
        <v>18</v>
      </c>
      <c r="C214" s="77">
        <f t="shared" si="27"/>
        <v>427.48900000000032</v>
      </c>
      <c r="D214" s="83">
        <v>0.85023060499900271</v>
      </c>
      <c r="E214" s="83">
        <f t="shared" si="30"/>
        <v>5.6835740014190117</v>
      </c>
      <c r="F214" s="84">
        <f t="shared" si="29"/>
        <v>5.1669676200410519</v>
      </c>
      <c r="G214" s="80">
        <f>+$C$392/C214</f>
        <v>2.8359437567365058</v>
      </c>
    </row>
    <row r="215" spans="1:7" ht="16.5" hidden="1" thickBot="1" x14ac:dyDescent="0.3">
      <c r="A215" s="75">
        <v>2010</v>
      </c>
      <c r="B215" s="82" t="s">
        <v>19</v>
      </c>
      <c r="C215" s="77">
        <f t="shared" si="27"/>
        <v>428.15000000000038</v>
      </c>
      <c r="D215" s="83">
        <v>0.15462386166662512</v>
      </c>
      <c r="E215" s="83">
        <f t="shared" si="30"/>
        <v>5.8469860246873173</v>
      </c>
      <c r="F215" s="84">
        <f t="shared" si="29"/>
        <v>5.7897103662303273</v>
      </c>
      <c r="G215" s="80">
        <f>+$C$392/C215</f>
        <v>2.8315654808444046</v>
      </c>
    </row>
    <row r="216" spans="1:7" ht="16.5" hidden="1" thickBot="1" x14ac:dyDescent="0.3">
      <c r="A216" s="75">
        <v>2010</v>
      </c>
      <c r="B216" s="82" t="s">
        <v>34</v>
      </c>
      <c r="C216" s="77">
        <f t="shared" si="27"/>
        <v>431.44500000000039</v>
      </c>
      <c r="D216" s="83">
        <v>0.76959009692865177</v>
      </c>
      <c r="E216" s="83">
        <f t="shared" si="30"/>
        <v>6.6615739470307744</v>
      </c>
      <c r="F216" s="84">
        <f t="shared" si="29"/>
        <v>6.9911445172137876</v>
      </c>
      <c r="G216" s="80">
        <f>+$C$392/C216</f>
        <v>2.8099404573550091</v>
      </c>
    </row>
    <row r="217" spans="1:7" ht="16.5" hidden="1" thickBot="1" x14ac:dyDescent="0.3">
      <c r="A217" s="75">
        <v>2010</v>
      </c>
      <c r="B217" s="82" t="s">
        <v>36</v>
      </c>
      <c r="C217" s="77">
        <f t="shared" si="27"/>
        <v>436.4230000000004</v>
      </c>
      <c r="D217" s="83">
        <v>1.1537971236194711</v>
      </c>
      <c r="E217" s="83">
        <f t="shared" si="30"/>
        <v>7.8922321192388623</v>
      </c>
      <c r="F217" s="84">
        <f t="shared" si="29"/>
        <v>7.773401326106022</v>
      </c>
      <c r="G217" s="80">
        <f>+$C$392/C217</f>
        <v>2.7778892510787281</v>
      </c>
    </row>
    <row r="218" spans="1:7" ht="16.5" hidden="1" thickBot="1" x14ac:dyDescent="0.3">
      <c r="A218" s="75">
        <v>2010</v>
      </c>
      <c r="B218" s="82" t="s">
        <v>35</v>
      </c>
      <c r="C218" s="77">
        <f t="shared" si="27"/>
        <v>440.82900000000046</v>
      </c>
      <c r="D218" s="83">
        <v>1.0095709896132954</v>
      </c>
      <c r="E218" s="83">
        <f t="shared" si="30"/>
        <v>8.9814807947609321</v>
      </c>
      <c r="F218" s="84">
        <f t="shared" si="29"/>
        <v>8.8120080270728707</v>
      </c>
      <c r="G218" s="80">
        <f>+$C$392/C218</f>
        <v>2.7501247890305121</v>
      </c>
    </row>
    <row r="219" spans="1:7" ht="16.5" hidden="1" thickBot="1" x14ac:dyDescent="0.3">
      <c r="A219" s="75">
        <v>2010</v>
      </c>
      <c r="B219" s="82" t="s">
        <v>25</v>
      </c>
      <c r="C219" s="77">
        <f t="shared" si="27"/>
        <v>447.20600000000047</v>
      </c>
      <c r="D219" s="83">
        <v>1.4465926697200038</v>
      </c>
      <c r="E219" s="83">
        <f t="shared" si="30"/>
        <v>10.557998907290278</v>
      </c>
      <c r="F219" s="84">
        <f t="shared" si="29"/>
        <v>10.27202698570826</v>
      </c>
      <c r="G219" s="80">
        <f>+$C$392/C219</f>
        <v>2.7109089784652523</v>
      </c>
    </row>
    <row r="220" spans="1:7" ht="16.5" hidden="1" thickBot="1" x14ac:dyDescent="0.3">
      <c r="A220" s="75">
        <v>2010</v>
      </c>
      <c r="B220" s="82" t="s">
        <v>26</v>
      </c>
      <c r="C220" s="77">
        <f t="shared" si="27"/>
        <v>450.30100000000044</v>
      </c>
      <c r="D220" s="83">
        <v>0.69207479327200172</v>
      </c>
      <c r="E220" s="83">
        <f t="shared" si="30"/>
        <v>11.32314294967356</v>
      </c>
      <c r="F220" s="84">
        <f t="shared" si="29"/>
        <v>11.32314294967356</v>
      </c>
      <c r="G220" s="80">
        <f>+$C$392/C220</f>
        <v>2.6922764120522311</v>
      </c>
    </row>
    <row r="221" spans="1:7" x14ac:dyDescent="0.25">
      <c r="A221" s="87">
        <v>2011</v>
      </c>
      <c r="B221" s="88" t="s">
        <v>27</v>
      </c>
      <c r="C221" s="89">
        <f t="shared" si="27"/>
        <v>453.8750000000004</v>
      </c>
      <c r="D221" s="90">
        <v>0.79369133090976263</v>
      </c>
      <c r="E221" s="90">
        <f t="shared" ref="E221:E232" si="31">100*((C221/$C$220-1))</f>
        <v>0.79369133090976263</v>
      </c>
      <c r="F221" s="91">
        <f t="shared" si="29"/>
        <v>11.503774729823668</v>
      </c>
      <c r="G221" s="92">
        <f>+$C$392/C221</f>
        <v>2.6710763109303923</v>
      </c>
    </row>
    <row r="222" spans="1:7" x14ac:dyDescent="0.25">
      <c r="A222" s="93">
        <v>2011</v>
      </c>
      <c r="B222" s="94" t="s">
        <v>28</v>
      </c>
      <c r="C222" s="95">
        <f t="shared" si="27"/>
        <v>458.39700000000039</v>
      </c>
      <c r="D222" s="96">
        <v>0.99630955659597564</v>
      </c>
      <c r="E222" s="96">
        <f t="shared" si="31"/>
        <v>1.7979085100854553</v>
      </c>
      <c r="F222" s="97">
        <f t="shared" si="29"/>
        <v>11.303822087543058</v>
      </c>
      <c r="G222" s="98">
        <f>+$C$392/C222</f>
        <v>2.6447266466044321</v>
      </c>
    </row>
    <row r="223" spans="1:7" x14ac:dyDescent="0.25">
      <c r="A223" s="93">
        <v>2011</v>
      </c>
      <c r="B223" s="94" t="s">
        <v>29</v>
      </c>
      <c r="C223" s="95">
        <f t="shared" si="27"/>
        <v>461.24900000000048</v>
      </c>
      <c r="D223" s="96">
        <v>0.62216812064652682</v>
      </c>
      <c r="E223" s="96">
        <f t="shared" si="31"/>
        <v>2.4312626443201424</v>
      </c>
      <c r="F223" s="97">
        <f t="shared" si="29"/>
        <v>10.948106241009903</v>
      </c>
      <c r="G223" s="98">
        <f t="shared" ref="G223:G286" si="32">+$C$392/C223</f>
        <v>2.6283737430835226</v>
      </c>
    </row>
    <row r="224" spans="1:7" x14ac:dyDescent="0.25">
      <c r="A224" s="93">
        <v>2011</v>
      </c>
      <c r="B224" s="94" t="s">
        <v>30</v>
      </c>
      <c r="C224" s="95">
        <f t="shared" si="27"/>
        <v>463.31100000000038</v>
      </c>
      <c r="D224" s="96">
        <v>0.4470470396683579</v>
      </c>
      <c r="E224" s="96">
        <f t="shared" si="31"/>
        <v>2.8891785716664842</v>
      </c>
      <c r="F224" s="97">
        <f t="shared" si="29"/>
        <v>10.597325961944758</v>
      </c>
      <c r="G224" s="98">
        <f t="shared" si="32"/>
        <v>2.6166759706191565</v>
      </c>
    </row>
    <row r="225" spans="1:7" x14ac:dyDescent="0.25">
      <c r="A225" s="93">
        <v>2011</v>
      </c>
      <c r="B225" s="94" t="s">
        <v>31</v>
      </c>
      <c r="C225" s="95">
        <f t="shared" si="27"/>
        <v>465.31100000000043</v>
      </c>
      <c r="D225" s="96">
        <v>0.43167548363842734</v>
      </c>
      <c r="E225" s="96">
        <f t="shared" si="31"/>
        <v>3.33332593087734</v>
      </c>
      <c r="F225" s="97">
        <f t="shared" si="29"/>
        <v>9.772933696639452</v>
      </c>
      <c r="G225" s="98">
        <f t="shared" si="32"/>
        <v>2.6054289725012558</v>
      </c>
    </row>
    <row r="226" spans="1:7" x14ac:dyDescent="0.25">
      <c r="A226" s="93">
        <v>2011</v>
      </c>
      <c r="B226" s="94" t="s">
        <v>32</v>
      </c>
      <c r="C226" s="95">
        <f t="shared" si="27"/>
        <v>464.46300000000048</v>
      </c>
      <c r="D226" s="96">
        <v>-0.18224370367344589</v>
      </c>
      <c r="E226" s="96">
        <f t="shared" si="31"/>
        <v>3.1450074505719572</v>
      </c>
      <c r="F226" s="97">
        <f t="shared" si="29"/>
        <v>8.6491114391247912</v>
      </c>
      <c r="G226" s="98">
        <f t="shared" si="32"/>
        <v>2.6101858719069799</v>
      </c>
    </row>
    <row r="227" spans="1:7" x14ac:dyDescent="0.25">
      <c r="A227" s="93">
        <v>2011</v>
      </c>
      <c r="B227" s="94" t="s">
        <v>33</v>
      </c>
      <c r="C227" s="95">
        <f t="shared" si="27"/>
        <v>463.92700000000048</v>
      </c>
      <c r="D227" s="96">
        <v>-0.11540208800270291</v>
      </c>
      <c r="E227" s="96">
        <f t="shared" si="31"/>
        <v>3.0259759583034507</v>
      </c>
      <c r="F227" s="97">
        <f t="shared" si="29"/>
        <v>8.3561835805208595</v>
      </c>
      <c r="G227" s="98">
        <f t="shared" si="32"/>
        <v>2.6132015610721768</v>
      </c>
    </row>
    <row r="228" spans="1:7" x14ac:dyDescent="0.25">
      <c r="A228" s="93">
        <v>2011</v>
      </c>
      <c r="B228" s="94" t="s">
        <v>34</v>
      </c>
      <c r="C228" s="95">
        <f t="shared" si="27"/>
        <v>465.96800000000047</v>
      </c>
      <c r="D228" s="96">
        <v>0.43993990433839336</v>
      </c>
      <c r="E228" s="96">
        <f t="shared" si="31"/>
        <v>3.4792283383781042</v>
      </c>
      <c r="F228" s="97">
        <f t="shared" si="29"/>
        <v>8.0017151664754529</v>
      </c>
      <c r="G228" s="98">
        <f t="shared" si="32"/>
        <v>2.6017554008505557</v>
      </c>
    </row>
    <row r="229" spans="1:7" x14ac:dyDescent="0.25">
      <c r="A229" s="93">
        <v>2011</v>
      </c>
      <c r="B229" s="94" t="s">
        <v>36</v>
      </c>
      <c r="C229" s="95">
        <f t="shared" si="27"/>
        <v>468.97500000000048</v>
      </c>
      <c r="D229" s="96">
        <v>0.64532328400233041</v>
      </c>
      <c r="E229" s="96">
        <f t="shared" si="31"/>
        <v>4.1470038929516173</v>
      </c>
      <c r="F229" s="97">
        <f t="shared" si="29"/>
        <v>7.4588186232164677</v>
      </c>
      <c r="G229" s="98">
        <f t="shared" si="32"/>
        <v>2.5850733208028824</v>
      </c>
    </row>
    <row r="230" spans="1:7" x14ac:dyDescent="0.25">
      <c r="A230" s="93">
        <v>2011</v>
      </c>
      <c r="B230" s="94" t="s">
        <v>35</v>
      </c>
      <c r="C230" s="95">
        <f t="shared" si="27"/>
        <v>471.46600000000041</v>
      </c>
      <c r="D230" s="96">
        <v>0.53115837731221305</v>
      </c>
      <c r="E230" s="96">
        <f t="shared" si="31"/>
        <v>4.700189428848689</v>
      </c>
      <c r="F230" s="97">
        <f t="shared" si="29"/>
        <v>6.949860376699335</v>
      </c>
      <c r="G230" s="98">
        <f t="shared" si="32"/>
        <v>2.571415034432031</v>
      </c>
    </row>
    <row r="231" spans="1:7" x14ac:dyDescent="0.25">
      <c r="A231" s="93">
        <v>2011</v>
      </c>
      <c r="B231" s="94" t="s">
        <v>25</v>
      </c>
      <c r="C231" s="95">
        <f t="shared" si="27"/>
        <v>473.80800000000039</v>
      </c>
      <c r="D231" s="96">
        <v>0.49674843997233875</v>
      </c>
      <c r="E231" s="96">
        <f t="shared" si="31"/>
        <v>5.2202859864845852</v>
      </c>
      <c r="F231" s="97">
        <f t="shared" si="29"/>
        <v>5.948489063205753</v>
      </c>
      <c r="G231" s="98">
        <f t="shared" si="32"/>
        <v>2.5587047087080252</v>
      </c>
    </row>
    <row r="232" spans="1:7" x14ac:dyDescent="0.25">
      <c r="A232" s="93">
        <v>2011</v>
      </c>
      <c r="B232" s="94" t="s">
        <v>26</v>
      </c>
      <c r="C232" s="95">
        <f t="shared" si="27"/>
        <v>473.25200000000041</v>
      </c>
      <c r="D232" s="96">
        <v>-0.11734711106607953</v>
      </c>
      <c r="E232" s="96">
        <f t="shared" si="31"/>
        <v>5.0968130206239692</v>
      </c>
      <c r="F232" s="97">
        <f t="shared" si="29"/>
        <v>5.0968130206239692</v>
      </c>
      <c r="G232" s="98">
        <f t="shared" si="32"/>
        <v>2.5617108023284252</v>
      </c>
    </row>
    <row r="233" spans="1:7" x14ac:dyDescent="0.25">
      <c r="A233" s="93">
        <f>2012</f>
        <v>2012</v>
      </c>
      <c r="B233" s="94" t="s">
        <v>27</v>
      </c>
      <c r="C233" s="95">
        <f t="shared" si="27"/>
        <v>474.42900000000031</v>
      </c>
      <c r="D233" s="96">
        <v>0.24870470700597558</v>
      </c>
      <c r="E233" s="96">
        <f t="shared" ref="E233:E244" si="33">100*((C233/$C$232-1))</f>
        <v>0.24870470700597558</v>
      </c>
      <c r="F233" s="97">
        <f t="shared" si="29"/>
        <v>4.5285596254475147</v>
      </c>
      <c r="G233" s="98">
        <f t="shared" si="32"/>
        <v>2.5553555128871381</v>
      </c>
    </row>
    <row r="234" spans="1:7" x14ac:dyDescent="0.25">
      <c r="A234" s="93">
        <f>2012</f>
        <v>2012</v>
      </c>
      <c r="B234" s="94" t="s">
        <v>28</v>
      </c>
      <c r="C234" s="95">
        <f t="shared" si="27"/>
        <v>474.13800000000032</v>
      </c>
      <c r="D234" s="96">
        <v>-6.1336891294583307E-2</v>
      </c>
      <c r="E234" s="96">
        <f t="shared" si="33"/>
        <v>0.1872152679756045</v>
      </c>
      <c r="F234" s="97">
        <f t="shared" si="29"/>
        <v>3.4339229968782359</v>
      </c>
      <c r="G234" s="98">
        <f t="shared" si="32"/>
        <v>2.5569238504897984</v>
      </c>
    </row>
    <row r="235" spans="1:7" x14ac:dyDescent="0.25">
      <c r="A235" s="93">
        <f>2012</f>
        <v>2012</v>
      </c>
      <c r="B235" s="94" t="s">
        <v>29</v>
      </c>
      <c r="C235" s="95">
        <f t="shared" si="27"/>
        <v>476.16600000000034</v>
      </c>
      <c r="D235" s="96">
        <v>0.42772357414930795</v>
      </c>
      <c r="E235" s="96">
        <f t="shared" si="33"/>
        <v>0.61573960596044142</v>
      </c>
      <c r="F235" s="97">
        <f t="shared" si="29"/>
        <v>3.2340449518589498</v>
      </c>
      <c r="G235" s="98">
        <f t="shared" si="32"/>
        <v>2.5460338634499986</v>
      </c>
    </row>
    <row r="236" spans="1:7" x14ac:dyDescent="0.25">
      <c r="A236" s="93">
        <f>2012</f>
        <v>2012</v>
      </c>
      <c r="B236" s="94" t="s">
        <v>30</v>
      </c>
      <c r="C236" s="95">
        <f t="shared" si="27"/>
        <v>480.22900000000033</v>
      </c>
      <c r="D236" s="96">
        <v>0.85327385827631552</v>
      </c>
      <c r="E236" s="96">
        <f t="shared" si="33"/>
        <v>1.4742674093294772</v>
      </c>
      <c r="F236" s="97">
        <f t="shared" si="29"/>
        <v>3.6515429160973722</v>
      </c>
      <c r="G236" s="98">
        <f t="shared" si="32"/>
        <v>2.5244930244186254</v>
      </c>
    </row>
    <row r="237" spans="1:7" x14ac:dyDescent="0.25">
      <c r="A237" s="93">
        <f>2012</f>
        <v>2012</v>
      </c>
      <c r="B237" s="94" t="s">
        <v>31</v>
      </c>
      <c r="C237" s="95">
        <f t="shared" si="27"/>
        <v>485.14000000000033</v>
      </c>
      <c r="D237" s="96">
        <v>1.0226371168754911</v>
      </c>
      <c r="E237" s="96">
        <f t="shared" si="33"/>
        <v>2.5119809319347652</v>
      </c>
      <c r="F237" s="97">
        <f t="shared" si="29"/>
        <v>4.2614509435624504</v>
      </c>
      <c r="G237" s="98">
        <f t="shared" si="32"/>
        <v>2.498937957339185</v>
      </c>
    </row>
    <row r="238" spans="1:7" x14ac:dyDescent="0.25">
      <c r="A238" s="93">
        <f>2012</f>
        <v>2012</v>
      </c>
      <c r="B238" s="94" t="s">
        <v>32</v>
      </c>
      <c r="C238" s="95">
        <f t="shared" si="27"/>
        <v>488.34200000000033</v>
      </c>
      <c r="D238" s="96">
        <v>0.66001566558107072</v>
      </c>
      <c r="E238" s="96">
        <f t="shared" si="33"/>
        <v>3.1885760651830131</v>
      </c>
      <c r="F238" s="97">
        <f t="shared" si="29"/>
        <v>5.1412060810010374</v>
      </c>
      <c r="G238" s="98">
        <f t="shared" si="32"/>
        <v>2.4825527204777229</v>
      </c>
    </row>
    <row r="239" spans="1:7" x14ac:dyDescent="0.25">
      <c r="A239" s="93">
        <f>2012</f>
        <v>2012</v>
      </c>
      <c r="B239" s="94" t="s">
        <v>33</v>
      </c>
      <c r="C239" s="95">
        <f t="shared" si="27"/>
        <v>494.89100000000042</v>
      </c>
      <c r="D239" s="96">
        <v>1.3410683496402287</v>
      </c>
      <c r="E239" s="96">
        <f t="shared" si="33"/>
        <v>4.5724053992376223</v>
      </c>
      <c r="F239" s="97">
        <f t="shared" si="29"/>
        <v>6.6743259176551328</v>
      </c>
      <c r="G239" s="98">
        <f t="shared" si="32"/>
        <v>2.4497005615853427</v>
      </c>
    </row>
    <row r="240" spans="1:7" x14ac:dyDescent="0.25">
      <c r="A240" s="93">
        <f>2012</f>
        <v>2012</v>
      </c>
      <c r="B240" s="94" t="s">
        <v>34</v>
      </c>
      <c r="C240" s="95">
        <f t="shared" si="27"/>
        <v>501.95700000000045</v>
      </c>
      <c r="D240" s="96">
        <v>1.4277891495299011</v>
      </c>
      <c r="E240" s="96">
        <f t="shared" si="33"/>
        <v>6.0654788569303397</v>
      </c>
      <c r="F240" s="97">
        <f t="shared" si="29"/>
        <v>7.7234917419221727</v>
      </c>
      <c r="G240" s="98">
        <f t="shared" si="32"/>
        <v>2.4152163643968145</v>
      </c>
    </row>
    <row r="241" spans="1:7" x14ac:dyDescent="0.25">
      <c r="A241" s="93">
        <f>2012</f>
        <v>2012</v>
      </c>
      <c r="B241" s="94" t="s">
        <v>36</v>
      </c>
      <c r="C241" s="95">
        <f t="shared" si="27"/>
        <v>506.80400000000037</v>
      </c>
      <c r="D241" s="96">
        <v>0.96562056112374783</v>
      </c>
      <c r="E241" s="96">
        <f t="shared" si="33"/>
        <v>7.0896689290272263</v>
      </c>
      <c r="F241" s="97">
        <f t="shared" si="29"/>
        <v>8.0663148355455849</v>
      </c>
      <c r="G241" s="98">
        <f t="shared" si="32"/>
        <v>2.3921175851483651</v>
      </c>
    </row>
    <row r="242" spans="1:7" x14ac:dyDescent="0.25">
      <c r="A242" s="93">
        <f>2012</f>
        <v>2012</v>
      </c>
      <c r="B242" s="94" t="s">
        <v>35</v>
      </c>
      <c r="C242" s="95">
        <f t="shared" si="27"/>
        <v>506.92600000000044</v>
      </c>
      <c r="D242" s="96">
        <v>2.4072422474974431E-2</v>
      </c>
      <c r="E242" s="96">
        <f t="shared" si="33"/>
        <v>7.1154480065588777</v>
      </c>
      <c r="F242" s="97">
        <f t="shared" si="29"/>
        <v>7.5212210424505654</v>
      </c>
      <c r="G242" s="98">
        <f t="shared" si="32"/>
        <v>2.3915418830826036</v>
      </c>
    </row>
    <row r="243" spans="1:7" x14ac:dyDescent="0.25">
      <c r="A243" s="93">
        <f>2012</f>
        <v>2012</v>
      </c>
      <c r="B243" s="94" t="s">
        <v>25</v>
      </c>
      <c r="C243" s="95">
        <f t="shared" si="27"/>
        <v>506.79500000000047</v>
      </c>
      <c r="D243" s="96">
        <v>-2.5842036115719669E-2</v>
      </c>
      <c r="E243" s="96">
        <f t="shared" si="33"/>
        <v>7.0877671937995101</v>
      </c>
      <c r="F243" s="97">
        <f t="shared" si="29"/>
        <v>6.962102792692404</v>
      </c>
      <c r="G243" s="98">
        <f t="shared" si="32"/>
        <v>2.3921600659507924</v>
      </c>
    </row>
    <row r="244" spans="1:7" x14ac:dyDescent="0.25">
      <c r="A244" s="93">
        <f>2012</f>
        <v>2012</v>
      </c>
      <c r="B244" s="94" t="s">
        <v>26</v>
      </c>
      <c r="C244" s="95">
        <f t="shared" si="27"/>
        <v>510.25200000000046</v>
      </c>
      <c r="D244" s="96">
        <v>0.68212985526692194</v>
      </c>
      <c r="E244" s="96">
        <f t="shared" si="33"/>
        <v>7.8182448251671532</v>
      </c>
      <c r="F244" s="97">
        <f t="shared" si="29"/>
        <v>7.8182448251671532</v>
      </c>
      <c r="G244" s="98">
        <f t="shared" si="32"/>
        <v>2.3759529813181168</v>
      </c>
    </row>
    <row r="245" spans="1:7" x14ac:dyDescent="0.25">
      <c r="A245" s="93">
        <f>2013</f>
        <v>2013</v>
      </c>
      <c r="B245" s="94" t="s">
        <v>27</v>
      </c>
      <c r="C245" s="95">
        <f t="shared" si="27"/>
        <v>511.97700000000037</v>
      </c>
      <c r="D245" s="96">
        <v>0.33806824863007456</v>
      </c>
      <c r="E245" s="96">
        <f t="shared" ref="E245:E256" si="34">100*((C245/$C$244-1))</f>
        <v>0.33806824863007456</v>
      </c>
      <c r="F245" s="97">
        <f t="shared" si="29"/>
        <v>7.9143559942583597</v>
      </c>
      <c r="G245" s="98">
        <f t="shared" si="32"/>
        <v>2.3679477019935113</v>
      </c>
    </row>
    <row r="246" spans="1:7" x14ac:dyDescent="0.25">
      <c r="A246" s="93">
        <f>2013</f>
        <v>2013</v>
      </c>
      <c r="B246" s="94" t="s">
        <v>28</v>
      </c>
      <c r="C246" s="95">
        <f t="shared" si="27"/>
        <v>513.46700000000033</v>
      </c>
      <c r="D246" s="96">
        <v>0.29102869855481828</v>
      </c>
      <c r="E246" s="96">
        <f t="shared" si="34"/>
        <v>0.63008082280908706</v>
      </c>
      <c r="F246" s="97">
        <f t="shared" si="29"/>
        <v>8.2948424298410863</v>
      </c>
      <c r="G246" s="98">
        <f t="shared" si="32"/>
        <v>2.3610762923878887</v>
      </c>
    </row>
    <row r="247" spans="1:7" x14ac:dyDescent="0.25">
      <c r="A247" s="93">
        <f>2013</f>
        <v>2013</v>
      </c>
      <c r="B247" s="94" t="s">
        <v>29</v>
      </c>
      <c r="C247" s="95">
        <f t="shared" si="27"/>
        <v>514.52600000000029</v>
      </c>
      <c r="D247" s="96">
        <v>0.20624499724422041</v>
      </c>
      <c r="E247" s="96">
        <f t="shared" si="34"/>
        <v>0.83762533022895269</v>
      </c>
      <c r="F247" s="97">
        <f t="shared" si="29"/>
        <v>8.0560140791236421</v>
      </c>
      <c r="G247" s="98">
        <f t="shared" si="32"/>
        <v>2.3562167132924912</v>
      </c>
    </row>
    <row r="248" spans="1:7" x14ac:dyDescent="0.25">
      <c r="A248" s="93">
        <f>2013</f>
        <v>2013</v>
      </c>
      <c r="B248" s="94" t="s">
        <v>30</v>
      </c>
      <c r="C248" s="95">
        <f t="shared" si="27"/>
        <v>515.27600000000029</v>
      </c>
      <c r="D248" s="96">
        <v>0.14576522857931984</v>
      </c>
      <c r="E248" s="96">
        <f t="shared" si="34"/>
        <v>0.98461152528550588</v>
      </c>
      <c r="F248" s="97">
        <f t="shared" si="29"/>
        <v>7.2979765903350202</v>
      </c>
      <c r="G248" s="98">
        <f t="shared" si="32"/>
        <v>2.3527871676995091</v>
      </c>
    </row>
    <row r="249" spans="1:7" x14ac:dyDescent="0.25">
      <c r="A249" s="93">
        <f>2013</f>
        <v>2013</v>
      </c>
      <c r="B249" s="94" t="s">
        <v>31</v>
      </c>
      <c r="C249" s="95">
        <f t="shared" si="27"/>
        <v>515.29900000000032</v>
      </c>
      <c r="D249" s="96">
        <v>4.4636272599651861E-3</v>
      </c>
      <c r="E249" s="96">
        <f t="shared" si="34"/>
        <v>0.98911910193391073</v>
      </c>
      <c r="F249" s="97">
        <f t="shared" si="29"/>
        <v>6.2165560456775237</v>
      </c>
      <c r="G249" s="98">
        <f t="shared" si="32"/>
        <v>2.3526821527375992</v>
      </c>
    </row>
    <row r="250" spans="1:7" x14ac:dyDescent="0.25">
      <c r="A250" s="93">
        <f>2013</f>
        <v>2013</v>
      </c>
      <c r="B250" s="94" t="s">
        <v>32</v>
      </c>
      <c r="C250" s="95">
        <f t="shared" si="27"/>
        <v>519.15300000000036</v>
      </c>
      <c r="D250" s="96">
        <v>0.74791528801725349</v>
      </c>
      <c r="E250" s="96">
        <f t="shared" si="34"/>
        <v>1.7444321629312309</v>
      </c>
      <c r="F250" s="97">
        <f t="shared" si="29"/>
        <v>6.3093078211581277</v>
      </c>
      <c r="G250" s="98">
        <f t="shared" si="32"/>
        <v>2.3352167099555086</v>
      </c>
    </row>
    <row r="251" spans="1:7" x14ac:dyDescent="0.25">
      <c r="A251" s="93">
        <f>2013</f>
        <v>2013</v>
      </c>
      <c r="B251" s="94" t="s">
        <v>33</v>
      </c>
      <c r="C251" s="95">
        <f t="shared" si="27"/>
        <v>520.50800000000038</v>
      </c>
      <c r="D251" s="96">
        <v>0.26100205527079812</v>
      </c>
      <c r="E251" s="96">
        <f t="shared" si="34"/>
        <v>2.0099872220000981</v>
      </c>
      <c r="F251" s="97">
        <f t="shared" si="29"/>
        <v>5.1762913449628245</v>
      </c>
      <c r="G251" s="98">
        <f t="shared" si="32"/>
        <v>2.3291376129157131</v>
      </c>
    </row>
    <row r="252" spans="1:7" x14ac:dyDescent="0.25">
      <c r="A252" s="93">
        <f>2013</f>
        <v>2013</v>
      </c>
      <c r="B252" s="94" t="s">
        <v>34</v>
      </c>
      <c r="C252" s="95">
        <f t="shared" si="27"/>
        <v>521.27000000000032</v>
      </c>
      <c r="D252" s="96">
        <v>0.14639544445040897</v>
      </c>
      <c r="E252" s="96">
        <f t="shared" si="34"/>
        <v>2.1593251961775417</v>
      </c>
      <c r="F252" s="97">
        <f t="shared" si="29"/>
        <v>3.8475407255999627</v>
      </c>
      <c r="G252" s="98">
        <f t="shared" si="32"/>
        <v>2.3257328459791129</v>
      </c>
    </row>
    <row r="253" spans="1:7" x14ac:dyDescent="0.25">
      <c r="A253" s="93">
        <f>2013</f>
        <v>2013</v>
      </c>
      <c r="B253" s="94" t="s">
        <v>36</v>
      </c>
      <c r="C253" s="95">
        <f t="shared" si="27"/>
        <v>529.08500000000038</v>
      </c>
      <c r="D253" s="96">
        <v>1.4992230513937166</v>
      </c>
      <c r="E253" s="96">
        <f t="shared" si="34"/>
        <v>3.690921348666909</v>
      </c>
      <c r="F253" s="97">
        <f t="shared" si="29"/>
        <v>4.3963741406934487</v>
      </c>
      <c r="G253" s="98">
        <f t="shared" si="32"/>
        <v>2.2913799495799956</v>
      </c>
    </row>
    <row r="254" spans="1:7" x14ac:dyDescent="0.25">
      <c r="A254" s="93">
        <f>2013</f>
        <v>2013</v>
      </c>
      <c r="B254" s="94" t="s">
        <v>35</v>
      </c>
      <c r="C254" s="95">
        <f t="shared" ref="C254:C317" si="35">+C253*(1+D254/100)</f>
        <v>533.62100000000032</v>
      </c>
      <c r="D254" s="96">
        <v>0.85732916261092029</v>
      </c>
      <c r="E254" s="96">
        <f t="shared" si="34"/>
        <v>4.5798938563689884</v>
      </c>
      <c r="F254" s="97">
        <f t="shared" si="29"/>
        <v>5.266054611521187</v>
      </c>
      <c r="G254" s="98">
        <f t="shared" si="32"/>
        <v>2.2719022688828443</v>
      </c>
    </row>
    <row r="255" spans="1:7" x14ac:dyDescent="0.25">
      <c r="A255" s="93">
        <f>2013</f>
        <v>2013</v>
      </c>
      <c r="B255" s="94" t="s">
        <v>25</v>
      </c>
      <c r="C255" s="95">
        <f t="shared" si="35"/>
        <v>535.16800000000035</v>
      </c>
      <c r="D255" s="96">
        <v>0.28990613188011327</v>
      </c>
      <c r="E255" s="96">
        <f t="shared" si="34"/>
        <v>4.8830773813723249</v>
      </c>
      <c r="F255" s="97">
        <f t="shared" si="29"/>
        <v>5.5985161653133719</v>
      </c>
      <c r="G255" s="98">
        <f t="shared" si="32"/>
        <v>2.2653349240304581</v>
      </c>
    </row>
    <row r="256" spans="1:7" x14ac:dyDescent="0.25">
      <c r="A256" s="93">
        <f>2013</f>
        <v>2013</v>
      </c>
      <c r="B256" s="94" t="s">
        <v>26</v>
      </c>
      <c r="C256" s="95">
        <f t="shared" si="35"/>
        <v>538.37000000000035</v>
      </c>
      <c r="D256" s="96">
        <v>0.59831679024155981</v>
      </c>
      <c r="E256" s="96">
        <f t="shared" si="34"/>
        <v>5.5106104434671233</v>
      </c>
      <c r="F256" s="97">
        <f t="shared" si="29"/>
        <v>5.5106104434671233</v>
      </c>
      <c r="G256" s="98">
        <f t="shared" si="32"/>
        <v>2.251861657639787</v>
      </c>
    </row>
    <row r="257" spans="1:7" x14ac:dyDescent="0.25">
      <c r="A257" s="93">
        <f>2014</f>
        <v>2014</v>
      </c>
      <c r="B257" s="94" t="s">
        <v>27</v>
      </c>
      <c r="C257" s="95">
        <f t="shared" si="35"/>
        <v>540.95900000000029</v>
      </c>
      <c r="D257" s="96">
        <v>0.48089603804073455</v>
      </c>
      <c r="E257" s="96">
        <f t="shared" ref="E257:E268" si="36">100*((C257/$C$256-1))</f>
        <v>0.48089603804073455</v>
      </c>
      <c r="F257" s="97">
        <f t="shared" si="29"/>
        <v>5.6608011688024762</v>
      </c>
      <c r="G257" s="98">
        <f t="shared" si="32"/>
        <v>2.2410843716871929</v>
      </c>
    </row>
    <row r="258" spans="1:7" x14ac:dyDescent="0.25">
      <c r="A258" s="93">
        <f>2014</f>
        <v>2014</v>
      </c>
      <c r="B258" s="94" t="s">
        <v>28</v>
      </c>
      <c r="C258" s="95">
        <f t="shared" si="35"/>
        <v>543.03800000000035</v>
      </c>
      <c r="D258" s="96">
        <v>0.38431748062239812</v>
      </c>
      <c r="E258" s="96">
        <f t="shared" si="36"/>
        <v>0.86706168620094282</v>
      </c>
      <c r="F258" s="97">
        <f t="shared" si="29"/>
        <v>5.7590848097346159</v>
      </c>
      <c r="G258" s="98">
        <f t="shared" si="32"/>
        <v>2.2325044667657368</v>
      </c>
    </row>
    <row r="259" spans="1:7" x14ac:dyDescent="0.25">
      <c r="A259" s="93">
        <f>2014</f>
        <v>2014</v>
      </c>
      <c r="B259" s="94" t="s">
        <v>29</v>
      </c>
      <c r="C259" s="95">
        <f t="shared" si="35"/>
        <v>552.08700000000033</v>
      </c>
      <c r="D259" s="96">
        <v>1.6663658896798994</v>
      </c>
      <c r="E259" s="96">
        <f t="shared" si="36"/>
        <v>2.5478759960621877</v>
      </c>
      <c r="F259" s="97">
        <f t="shared" si="29"/>
        <v>7.3001170008901495</v>
      </c>
      <c r="G259" s="98">
        <f t="shared" si="32"/>
        <v>2.1959125294084667</v>
      </c>
    </row>
    <row r="260" spans="1:7" ht="15" customHeight="1" x14ac:dyDescent="0.25">
      <c r="A260" s="93">
        <f>2014</f>
        <v>2014</v>
      </c>
      <c r="B260" s="94" t="s">
        <v>30</v>
      </c>
      <c r="C260" s="95">
        <f t="shared" si="35"/>
        <v>556.4200000000003</v>
      </c>
      <c r="D260" s="96">
        <v>0.78484007049612892</v>
      </c>
      <c r="E260" s="96">
        <f t="shared" si="36"/>
        <v>3.3527128183219679</v>
      </c>
      <c r="F260" s="97">
        <f t="shared" si="29"/>
        <v>7.984846955806213</v>
      </c>
      <c r="G260" s="98">
        <f t="shared" si="32"/>
        <v>2.1788123371257906</v>
      </c>
    </row>
    <row r="261" spans="1:7" x14ac:dyDescent="0.25">
      <c r="A261" s="93">
        <f>2014</f>
        <v>2014</v>
      </c>
      <c r="B261" s="94" t="s">
        <v>31</v>
      </c>
      <c r="C261" s="95">
        <f t="shared" si="35"/>
        <v>555.67900000000031</v>
      </c>
      <c r="D261" s="96">
        <v>-0.13317278314941561</v>
      </c>
      <c r="E261" s="96">
        <f t="shared" si="36"/>
        <v>3.2150751342013839</v>
      </c>
      <c r="F261" s="97">
        <f t="shared" si="29"/>
        <v>7.8362271225055791</v>
      </c>
      <c r="G261" s="98">
        <f t="shared" si="32"/>
        <v>2.1817177914291026</v>
      </c>
    </row>
    <row r="262" spans="1:7" x14ac:dyDescent="0.25">
      <c r="A262" s="93">
        <f>2014</f>
        <v>2014</v>
      </c>
      <c r="B262" s="94" t="s">
        <v>32</v>
      </c>
      <c r="C262" s="95">
        <f t="shared" si="35"/>
        <v>551.55400000000031</v>
      </c>
      <c r="D262" s="96">
        <v>-0.74233505315118853</v>
      </c>
      <c r="E262" s="96">
        <f t="shared" si="36"/>
        <v>2.4488734513438581</v>
      </c>
      <c r="F262" s="97">
        <f t="shared" si="29"/>
        <v>6.2411273747815965</v>
      </c>
      <c r="G262" s="98">
        <f t="shared" si="32"/>
        <v>2.1980345725414598</v>
      </c>
    </row>
    <row r="263" spans="1:7" x14ac:dyDescent="0.25">
      <c r="A263" s="93">
        <f>2014</f>
        <v>2014</v>
      </c>
      <c r="B263" s="94" t="s">
        <v>33</v>
      </c>
      <c r="C263" s="95">
        <f t="shared" si="35"/>
        <v>548.20200000000034</v>
      </c>
      <c r="D263" s="96">
        <v>-0.60773741102412293</v>
      </c>
      <c r="E263" s="96">
        <f t="shared" si="36"/>
        <v>1.8262533202072939</v>
      </c>
      <c r="F263" s="97">
        <f t="shared" si="29"/>
        <v>5.3205714417453587</v>
      </c>
      <c r="G263" s="98">
        <f t="shared" si="32"/>
        <v>2.211474530599181</v>
      </c>
    </row>
    <row r="264" spans="1:7" x14ac:dyDescent="0.25">
      <c r="A264" s="93">
        <f>2014</f>
        <v>2014</v>
      </c>
      <c r="B264" s="94" t="s">
        <v>34</v>
      </c>
      <c r="C264" s="95">
        <f t="shared" si="35"/>
        <v>546.74500000000035</v>
      </c>
      <c r="D264" s="96">
        <v>-0.26577794316693382</v>
      </c>
      <c r="E264" s="96">
        <f t="shared" si="36"/>
        <v>1.555621598528889</v>
      </c>
      <c r="F264" s="97">
        <f t="shared" si="29"/>
        <v>4.887102653135611</v>
      </c>
      <c r="G264" s="98">
        <f t="shared" si="32"/>
        <v>2.2173678051441388</v>
      </c>
    </row>
    <row r="265" spans="1:7" x14ac:dyDescent="0.25">
      <c r="A265" s="93">
        <f>2014</f>
        <v>2014</v>
      </c>
      <c r="B265" s="94" t="s">
        <v>36</v>
      </c>
      <c r="C265" s="95">
        <f t="shared" si="35"/>
        <v>547.8390000000004</v>
      </c>
      <c r="D265" s="96">
        <v>0.20009327931669318</v>
      </c>
      <c r="E265" s="96">
        <f t="shared" si="36"/>
        <v>1.7588275721158286</v>
      </c>
      <c r="F265" s="97">
        <f t="shared" ref="F265:F328" si="37">+((C265/C253)-1)*100</f>
        <v>3.5446100343045073</v>
      </c>
      <c r="G265" s="98">
        <f t="shared" si="32"/>
        <v>2.2129398612065443</v>
      </c>
    </row>
    <row r="266" spans="1:7" x14ac:dyDescent="0.25">
      <c r="A266" s="93">
        <f>2014</f>
        <v>2014</v>
      </c>
      <c r="B266" s="94" t="s">
        <v>35</v>
      </c>
      <c r="C266" s="95">
        <f t="shared" si="35"/>
        <v>549.3960000000003</v>
      </c>
      <c r="D266" s="96">
        <v>0.28420758653544542</v>
      </c>
      <c r="E266" s="96">
        <f t="shared" si="36"/>
        <v>2.048033880045308</v>
      </c>
      <c r="F266" s="97">
        <f t="shared" si="37"/>
        <v>2.9562179899216723</v>
      </c>
      <c r="G266" s="98">
        <f t="shared" si="32"/>
        <v>2.206668342367859</v>
      </c>
    </row>
    <row r="267" spans="1:7" x14ac:dyDescent="0.25">
      <c r="A267" s="93">
        <f>2014</f>
        <v>2014</v>
      </c>
      <c r="B267" s="94" t="s">
        <v>25</v>
      </c>
      <c r="C267" s="95">
        <f t="shared" si="35"/>
        <v>554.76900000000035</v>
      </c>
      <c r="D267" s="96">
        <v>0.97798309416159412</v>
      </c>
      <c r="E267" s="96">
        <f t="shared" si="36"/>
        <v>3.0460463993164488</v>
      </c>
      <c r="F267" s="97">
        <f t="shared" si="37"/>
        <v>3.6625881966036777</v>
      </c>
      <c r="G267" s="98">
        <f t="shared" si="32"/>
        <v>2.1852965119239398</v>
      </c>
    </row>
    <row r="268" spans="1:7" x14ac:dyDescent="0.25">
      <c r="A268" s="93">
        <f>2014</f>
        <v>2014</v>
      </c>
      <c r="B268" s="94" t="s">
        <v>26</v>
      </c>
      <c r="C268" s="95">
        <f t="shared" si="35"/>
        <v>558.21300000000031</v>
      </c>
      <c r="D268" s="96">
        <v>0.62079892712101348</v>
      </c>
      <c r="E268" s="96">
        <f t="shared" si="36"/>
        <v>3.6857551498040264</v>
      </c>
      <c r="F268" s="97">
        <f t="shared" si="37"/>
        <v>3.6857551498040264</v>
      </c>
      <c r="G268" s="98">
        <f t="shared" si="32"/>
        <v>2.1718139144440065</v>
      </c>
    </row>
    <row r="269" spans="1:7" x14ac:dyDescent="0.25">
      <c r="A269" s="93">
        <f>2015</f>
        <v>2015</v>
      </c>
      <c r="B269" s="94" t="s">
        <v>27</v>
      </c>
      <c r="C269" s="95">
        <f t="shared" si="35"/>
        <v>562.48200000000031</v>
      </c>
      <c r="D269" s="96">
        <v>0.76476183822304922</v>
      </c>
      <c r="E269" s="96">
        <f t="shared" ref="E269:E280" si="38">100*((C269/$C$268-1))</f>
        <v>0.76476183822304922</v>
      </c>
      <c r="F269" s="97">
        <f t="shared" si="37"/>
        <v>3.9786749088193352</v>
      </c>
      <c r="G269" s="98">
        <f t="shared" si="32"/>
        <v>2.1553307672486093</v>
      </c>
    </row>
    <row r="270" spans="1:7" x14ac:dyDescent="0.25">
      <c r="A270" s="93">
        <f>2015</f>
        <v>2015</v>
      </c>
      <c r="B270" s="94" t="s">
        <v>28</v>
      </c>
      <c r="C270" s="95">
        <f t="shared" si="35"/>
        <v>564.00400000000036</v>
      </c>
      <c r="D270" s="96">
        <v>0.27058643654376269</v>
      </c>
      <c r="E270" s="96">
        <f t="shared" si="38"/>
        <v>1.0374176165728999</v>
      </c>
      <c r="F270" s="97">
        <f t="shared" si="37"/>
        <v>3.8608716148777811</v>
      </c>
      <c r="G270" s="98">
        <f t="shared" si="32"/>
        <v>2.1495144726341162</v>
      </c>
    </row>
    <row r="271" spans="1:7" x14ac:dyDescent="0.25">
      <c r="A271" s="93">
        <f>2015</f>
        <v>2015</v>
      </c>
      <c r="B271" s="94" t="s">
        <v>29</v>
      </c>
      <c r="C271" s="95">
        <f t="shared" si="35"/>
        <v>569.53600000000029</v>
      </c>
      <c r="D271" s="96">
        <v>0.98084410748857653</v>
      </c>
      <c r="E271" s="96">
        <f t="shared" si="38"/>
        <v>2.0284371736236873</v>
      </c>
      <c r="F271" s="97">
        <f t="shared" si="37"/>
        <v>3.1605525940657797</v>
      </c>
      <c r="G271" s="98">
        <f t="shared" si="32"/>
        <v>2.1286358731028985</v>
      </c>
    </row>
    <row r="272" spans="1:7" x14ac:dyDescent="0.25">
      <c r="A272" s="93">
        <f>2015</f>
        <v>2015</v>
      </c>
      <c r="B272" s="94" t="s">
        <v>30</v>
      </c>
      <c r="C272" s="95">
        <f t="shared" si="35"/>
        <v>576.17500000000041</v>
      </c>
      <c r="D272" s="96">
        <v>1.1656857512080121</v>
      </c>
      <c r="E272" s="96">
        <f t="shared" si="38"/>
        <v>3.2177681279368375</v>
      </c>
      <c r="F272" s="97">
        <f t="shared" si="37"/>
        <v>3.5503756155422339</v>
      </c>
      <c r="G272" s="98">
        <f t="shared" si="32"/>
        <v>2.1041085792051581</v>
      </c>
    </row>
    <row r="273" spans="1:7" x14ac:dyDescent="0.25">
      <c r="A273" s="93">
        <f>2015</f>
        <v>2015</v>
      </c>
      <c r="B273" s="94" t="s">
        <v>31</v>
      </c>
      <c r="C273" s="95">
        <f t="shared" si="35"/>
        <v>578.51600000000042</v>
      </c>
      <c r="D273" s="96">
        <v>0.40630016921943124</v>
      </c>
      <c r="E273" s="96">
        <f t="shared" si="38"/>
        <v>3.6371420945051636</v>
      </c>
      <c r="F273" s="97">
        <f t="shared" si="37"/>
        <v>4.1097468142578863</v>
      </c>
      <c r="G273" s="98">
        <f t="shared" si="32"/>
        <v>2.0955941765198061</v>
      </c>
    </row>
    <row r="274" spans="1:7" x14ac:dyDescent="0.25">
      <c r="A274" s="93">
        <f>2015</f>
        <v>2015</v>
      </c>
      <c r="B274" s="94" t="s">
        <v>32</v>
      </c>
      <c r="C274" s="95">
        <f t="shared" si="35"/>
        <v>582.40100000000041</v>
      </c>
      <c r="D274" s="96">
        <v>0.67154581722890239</v>
      </c>
      <c r="E274" s="96">
        <f t="shared" si="38"/>
        <v>4.3331129873363849</v>
      </c>
      <c r="F274" s="97">
        <f t="shared" si="37"/>
        <v>5.5927434122497566</v>
      </c>
      <c r="G274" s="98">
        <f t="shared" si="32"/>
        <v>2.0816151768687416</v>
      </c>
    </row>
    <row r="275" spans="1:7" x14ac:dyDescent="0.25">
      <c r="A275" s="93">
        <f>2015</f>
        <v>2015</v>
      </c>
      <c r="B275" s="94" t="s">
        <v>33</v>
      </c>
      <c r="C275" s="95">
        <f t="shared" si="35"/>
        <v>586.4260000000005</v>
      </c>
      <c r="D275" s="96">
        <v>0.69110458258143659</v>
      </c>
      <c r="E275" s="96">
        <f t="shared" si="38"/>
        <v>5.054163912341747</v>
      </c>
      <c r="F275" s="97">
        <f t="shared" si="37"/>
        <v>6.9726122852525441</v>
      </c>
      <c r="G275" s="98">
        <f t="shared" si="32"/>
        <v>2.0673277798452521</v>
      </c>
    </row>
    <row r="276" spans="1:7" x14ac:dyDescent="0.25">
      <c r="A276" s="93">
        <f>2015</f>
        <v>2015</v>
      </c>
      <c r="B276" s="94" t="s">
        <v>34</v>
      </c>
      <c r="C276" s="95">
        <f t="shared" si="35"/>
        <v>588.04200000000048</v>
      </c>
      <c r="D276" s="96">
        <v>0.27556759079576665</v>
      </c>
      <c r="E276" s="96">
        <f t="shared" si="38"/>
        <v>5.3436591408656087</v>
      </c>
      <c r="F276" s="97">
        <f t="shared" si="37"/>
        <v>7.5532469432733951</v>
      </c>
      <c r="G276" s="98">
        <f t="shared" si="32"/>
        <v>2.0616465501163725</v>
      </c>
    </row>
    <row r="277" spans="1:7" x14ac:dyDescent="0.25">
      <c r="A277" s="93">
        <f>2015</f>
        <v>2015</v>
      </c>
      <c r="B277" s="94" t="s">
        <v>36</v>
      </c>
      <c r="C277" s="95">
        <f t="shared" si="35"/>
        <v>593.60600000000045</v>
      </c>
      <c r="D277" s="96">
        <v>0.9461909183357653</v>
      </c>
      <c r="E277" s="96">
        <f t="shared" si="38"/>
        <v>6.340411276699065</v>
      </c>
      <c r="F277" s="97">
        <f t="shared" si="37"/>
        <v>8.3540967327992313</v>
      </c>
      <c r="G277" s="98">
        <f t="shared" si="32"/>
        <v>2.0423222821594322</v>
      </c>
    </row>
    <row r="278" spans="1:7" x14ac:dyDescent="0.25">
      <c r="A278" s="93">
        <f>2015</f>
        <v>2015</v>
      </c>
      <c r="B278" s="94" t="s">
        <v>35</v>
      </c>
      <c r="C278" s="95">
        <f t="shared" si="35"/>
        <v>604.83200000000045</v>
      </c>
      <c r="D278" s="96">
        <v>1.8911533913066991</v>
      </c>
      <c r="E278" s="96">
        <f t="shared" si="38"/>
        <v>8.3514715708878242</v>
      </c>
      <c r="F278" s="97">
        <f t="shared" si="37"/>
        <v>10.090353770322347</v>
      </c>
      <c r="G278" s="98">
        <f t="shared" si="32"/>
        <v>2.0044157065491444</v>
      </c>
    </row>
    <row r="279" spans="1:7" x14ac:dyDescent="0.25">
      <c r="A279" s="93">
        <f>2015</f>
        <v>2015</v>
      </c>
      <c r="B279" s="94" t="s">
        <v>25</v>
      </c>
      <c r="C279" s="95">
        <f t="shared" si="35"/>
        <v>614.05100000000061</v>
      </c>
      <c r="D279" s="96">
        <v>1.5242249087350057</v>
      </c>
      <c r="E279" s="96">
        <f t="shared" si="38"/>
        <v>10.002991689552253</v>
      </c>
      <c r="F279" s="97">
        <f t="shared" si="37"/>
        <v>10.685889081762001</v>
      </c>
      <c r="G279" s="98">
        <f t="shared" si="32"/>
        <v>1.9743225898557804</v>
      </c>
    </row>
    <row r="280" spans="1:7" x14ac:dyDescent="0.25">
      <c r="A280" s="93">
        <f>2015</f>
        <v>2015</v>
      </c>
      <c r="B280" s="94" t="s">
        <v>26</v>
      </c>
      <c r="C280" s="95">
        <f t="shared" si="35"/>
        <v>617.04400000000055</v>
      </c>
      <c r="D280" s="96">
        <v>0.48741879746143635</v>
      </c>
      <c r="E280" s="96">
        <f t="shared" si="38"/>
        <v>10.539166948817069</v>
      </c>
      <c r="F280" s="97">
        <f t="shared" si="37"/>
        <v>10.539166948817069</v>
      </c>
      <c r="G280" s="98">
        <f t="shared" si="32"/>
        <v>1.9647460482940144</v>
      </c>
    </row>
    <row r="281" spans="1:7" x14ac:dyDescent="0.25">
      <c r="A281" s="93">
        <f>2016</f>
        <v>2016</v>
      </c>
      <c r="B281" s="94" t="s">
        <v>27</v>
      </c>
      <c r="C281" s="95">
        <f t="shared" si="35"/>
        <v>624.06000000000051</v>
      </c>
      <c r="D281" s="96">
        <v>1.1370339878517433</v>
      </c>
      <c r="E281" s="96">
        <f t="shared" ref="E281:E292" si="39">100*((C281/$C$280-1))</f>
        <v>1.1370339878517433</v>
      </c>
      <c r="F281" s="97">
        <f t="shared" si="37"/>
        <v>10.947550321610322</v>
      </c>
      <c r="G281" s="98">
        <f t="shared" si="32"/>
        <v>1.9426573736876773</v>
      </c>
    </row>
    <row r="282" spans="1:7" x14ac:dyDescent="0.25">
      <c r="A282" s="93">
        <f>2016</f>
        <v>2016</v>
      </c>
      <c r="B282" s="94" t="s">
        <v>28</v>
      </c>
      <c r="C282" s="95">
        <f t="shared" si="35"/>
        <v>632.1140000000006</v>
      </c>
      <c r="D282" s="96">
        <v>1.2905810338749601</v>
      </c>
      <c r="E282" s="96">
        <f t="shared" si="39"/>
        <v>2.4422893667226386</v>
      </c>
      <c r="F282" s="97">
        <f t="shared" si="37"/>
        <v>12.076155488258976</v>
      </c>
      <c r="G282" s="98">
        <f t="shared" si="32"/>
        <v>1.9179052522543905</v>
      </c>
    </row>
    <row r="283" spans="1:7" x14ac:dyDescent="0.25">
      <c r="A283" s="93">
        <f>2016</f>
        <v>2016</v>
      </c>
      <c r="B283" s="94" t="s">
        <v>29</v>
      </c>
      <c r="C283" s="95">
        <f t="shared" si="35"/>
        <v>635.34900000000061</v>
      </c>
      <c r="D283" s="96">
        <v>0.51177477480328637</v>
      </c>
      <c r="E283" s="96">
        <f t="shared" si="39"/>
        <v>2.9665631624325117</v>
      </c>
      <c r="F283" s="97">
        <f t="shared" si="37"/>
        <v>11.555546971569886</v>
      </c>
      <c r="G283" s="98">
        <f t="shared" si="32"/>
        <v>1.9081398737127653</v>
      </c>
    </row>
    <row r="284" spans="1:7" x14ac:dyDescent="0.25">
      <c r="A284" s="93">
        <f>2016</f>
        <v>2016</v>
      </c>
      <c r="B284" s="94" t="s">
        <v>30</v>
      </c>
      <c r="C284" s="95">
        <f t="shared" si="35"/>
        <v>637.43400000000054</v>
      </c>
      <c r="D284" s="96">
        <v>0.32816609454016099</v>
      </c>
      <c r="E284" s="96">
        <f t="shared" si="39"/>
        <v>3.3044645114448823</v>
      </c>
      <c r="F284" s="97">
        <f t="shared" si="37"/>
        <v>10.632012843320183</v>
      </c>
      <c r="G284" s="98">
        <f t="shared" si="32"/>
        <v>1.901898487723485</v>
      </c>
    </row>
    <row r="285" spans="1:7" x14ac:dyDescent="0.25">
      <c r="A285" s="93">
        <f>2016</f>
        <v>2016</v>
      </c>
      <c r="B285" s="94" t="s">
        <v>31</v>
      </c>
      <c r="C285" s="95">
        <f t="shared" si="35"/>
        <v>642.65100000000052</v>
      </c>
      <c r="D285" s="96">
        <v>0.81843767354736752</v>
      </c>
      <c r="E285" s="96">
        <f t="shared" si="39"/>
        <v>4.1499471674629307</v>
      </c>
      <c r="F285" s="97">
        <f t="shared" si="37"/>
        <v>11.086123806428883</v>
      </c>
      <c r="G285" s="98">
        <f t="shared" si="32"/>
        <v>1.8864589965992926</v>
      </c>
    </row>
    <row r="286" spans="1:7" x14ac:dyDescent="0.25">
      <c r="A286" s="93">
        <f>2016</f>
        <v>2016</v>
      </c>
      <c r="B286" s="94" t="s">
        <v>32</v>
      </c>
      <c r="C286" s="95">
        <f t="shared" si="35"/>
        <v>653.49600000000055</v>
      </c>
      <c r="D286" s="96">
        <v>1.6875411381916505</v>
      </c>
      <c r="E286" s="96">
        <f t="shared" si="39"/>
        <v>5.9075203713187419</v>
      </c>
      <c r="F286" s="97">
        <f t="shared" si="37"/>
        <v>12.207224918913262</v>
      </c>
      <c r="G286" s="98">
        <f t="shared" si="32"/>
        <v>1.8551525344050031</v>
      </c>
    </row>
    <row r="287" spans="1:7" x14ac:dyDescent="0.25">
      <c r="A287" s="93">
        <f>2016</f>
        <v>2016</v>
      </c>
      <c r="B287" s="94" t="s">
        <v>33</v>
      </c>
      <c r="C287" s="95">
        <f t="shared" si="35"/>
        <v>654.64100000000042</v>
      </c>
      <c r="D287" s="96">
        <v>0.17521147795853675</v>
      </c>
      <c r="E287" s="96">
        <f t="shared" si="39"/>
        <v>6.0930825030305558</v>
      </c>
      <c r="F287" s="97">
        <f t="shared" si="37"/>
        <v>11.632328716666706</v>
      </c>
      <c r="G287" s="98">
        <f t="shared" ref="G287:G350" si="40">+$C$392/C287</f>
        <v>1.8519077794142624</v>
      </c>
    </row>
    <row r="288" spans="1:7" x14ac:dyDescent="0.25">
      <c r="A288" s="93">
        <f>2016</f>
        <v>2016</v>
      </c>
      <c r="B288" s="94" t="s">
        <v>34</v>
      </c>
      <c r="C288" s="95">
        <f t="shared" si="35"/>
        <v>655.62296150000043</v>
      </c>
      <c r="D288" s="96">
        <v>0.15</v>
      </c>
      <c r="E288" s="96">
        <f t="shared" si="39"/>
        <v>6.2522221267850897</v>
      </c>
      <c r="F288" s="97">
        <f t="shared" si="37"/>
        <v>11.492539903612297</v>
      </c>
      <c r="G288" s="98">
        <f t="shared" si="40"/>
        <v>1.8491340782968171</v>
      </c>
    </row>
    <row r="289" spans="1:7" x14ac:dyDescent="0.25">
      <c r="A289" s="93">
        <f>2016</f>
        <v>2016</v>
      </c>
      <c r="B289" s="94" t="s">
        <v>36</v>
      </c>
      <c r="C289" s="95">
        <f t="shared" si="35"/>
        <v>656.91500280899277</v>
      </c>
      <c r="D289" s="96">
        <v>0.19707078379871401</v>
      </c>
      <c r="E289" s="96">
        <f t="shared" si="39"/>
        <v>6.4616142137339017</v>
      </c>
      <c r="F289" s="97">
        <f t="shared" si="37"/>
        <v>10.665155475010746</v>
      </c>
      <c r="G289" s="98">
        <f t="shared" si="40"/>
        <v>1.8454971426128872</v>
      </c>
    </row>
    <row r="290" spans="1:7" x14ac:dyDescent="0.25">
      <c r="A290" s="93">
        <f>2016</f>
        <v>2016</v>
      </c>
      <c r="B290" s="94" t="s">
        <v>35</v>
      </c>
      <c r="C290" s="95">
        <f t="shared" si="35"/>
        <v>657.94803583700286</v>
      </c>
      <c r="D290" s="96">
        <v>0.15725520403595539</v>
      </c>
      <c r="E290" s="96">
        <f t="shared" si="39"/>
        <v>6.6290306423856693</v>
      </c>
      <c r="F290" s="97">
        <f t="shared" si="37"/>
        <v>8.7819486794684209</v>
      </c>
      <c r="G290" s="98">
        <f t="shared" si="40"/>
        <v>1.8425995589169468</v>
      </c>
    </row>
    <row r="291" spans="1:7" x14ac:dyDescent="0.25">
      <c r="A291" s="93">
        <f>2016</f>
        <v>2016</v>
      </c>
      <c r="B291" s="94" t="s">
        <v>25</v>
      </c>
      <c r="C291" s="95">
        <f t="shared" si="35"/>
        <v>657.77303024174455</v>
      </c>
      <c r="D291" s="96">
        <v>-2.6598695599977518E-2</v>
      </c>
      <c r="E291" s="96">
        <f t="shared" si="39"/>
        <v>6.6006687111038964</v>
      </c>
      <c r="F291" s="97">
        <f t="shared" si="37"/>
        <v>7.120260408621415</v>
      </c>
      <c r="G291" s="98">
        <f t="shared" si="40"/>
        <v>1.8430897967616215</v>
      </c>
    </row>
    <row r="292" spans="1:7" x14ac:dyDescent="0.25">
      <c r="A292" s="93">
        <f>2016</f>
        <v>2016</v>
      </c>
      <c r="B292" s="94" t="s">
        <v>26</v>
      </c>
      <c r="C292" s="95">
        <f t="shared" si="35"/>
        <v>661.32514380950056</v>
      </c>
      <c r="D292" s="96">
        <v>0.54002116299152192</v>
      </c>
      <c r="E292" s="96">
        <f t="shared" si="39"/>
        <v>7.1763348820343298</v>
      </c>
      <c r="F292" s="97">
        <f t="shared" si="37"/>
        <v>7.1763348820343298</v>
      </c>
      <c r="G292" s="98">
        <f t="shared" si="40"/>
        <v>1.8331901818219007</v>
      </c>
    </row>
    <row r="293" spans="1:7" x14ac:dyDescent="0.25">
      <c r="A293" s="93">
        <f>2017</f>
        <v>2017</v>
      </c>
      <c r="B293" s="94" t="s">
        <v>27</v>
      </c>
      <c r="C293" s="95">
        <f t="shared" si="35"/>
        <v>665.56327931066903</v>
      </c>
      <c r="D293" s="96">
        <v>0.64085503792508103</v>
      </c>
      <c r="E293" s="96">
        <f t="shared" ref="E293:E304" si="41">100*((C293/$C$292-1))</f>
        <v>0.64085503792508103</v>
      </c>
      <c r="F293" s="97">
        <f t="shared" si="37"/>
        <v>6.6505270824389395</v>
      </c>
      <c r="G293" s="98">
        <f t="shared" si="40"/>
        <v>1.8215168990079516</v>
      </c>
    </row>
    <row r="294" spans="1:7" x14ac:dyDescent="0.25">
      <c r="A294" s="93">
        <f>2017</f>
        <v>2017</v>
      </c>
      <c r="B294" s="94" t="s">
        <v>28</v>
      </c>
      <c r="C294" s="95">
        <f t="shared" si="35"/>
        <v>666.12029711957678</v>
      </c>
      <c r="D294" s="96">
        <v>8.3691187032530756E-2</v>
      </c>
      <c r="E294" s="96">
        <f t="shared" si="41"/>
        <v>0.7250825641460068</v>
      </c>
      <c r="F294" s="97">
        <f t="shared" si="37"/>
        <v>5.3797728130647648</v>
      </c>
      <c r="G294" s="98">
        <f t="shared" si="40"/>
        <v>1.8199937246558695</v>
      </c>
    </row>
    <row r="295" spans="1:7" x14ac:dyDescent="0.25">
      <c r="A295" s="93">
        <f>2017</f>
        <v>2017</v>
      </c>
      <c r="B295" s="94" t="s">
        <v>29</v>
      </c>
      <c r="C295" s="95">
        <f t="shared" si="35"/>
        <v>666.21830025292138</v>
      </c>
      <c r="D295" s="96">
        <v>1.4712527717342105E-2</v>
      </c>
      <c r="E295" s="96">
        <f t="shared" si="41"/>
        <v>0.73990176983658174</v>
      </c>
      <c r="F295" s="97">
        <f t="shared" si="37"/>
        <v>4.8586367890593563</v>
      </c>
      <c r="G295" s="98">
        <f t="shared" si="40"/>
        <v>1.8197259969641861</v>
      </c>
    </row>
    <row r="296" spans="1:7" x14ac:dyDescent="0.25">
      <c r="A296" s="93">
        <f>2017</f>
        <v>2017</v>
      </c>
      <c r="B296" s="94" t="s">
        <v>30</v>
      </c>
      <c r="C296" s="95">
        <f t="shared" si="35"/>
        <v>658.91906688269296</v>
      </c>
      <c r="D296" s="96">
        <v>-1.0956218656043126</v>
      </c>
      <c r="E296" s="96">
        <f t="shared" si="41"/>
        <v>-0.36382662134205601</v>
      </c>
      <c r="F296" s="97">
        <f t="shared" si="37"/>
        <v>3.3705555214645688</v>
      </c>
      <c r="G296" s="98">
        <f t="shared" si="40"/>
        <v>1.8398841702350743</v>
      </c>
    </row>
    <row r="297" spans="1:7" x14ac:dyDescent="0.25">
      <c r="A297" s="93">
        <f>2017</f>
        <v>2017</v>
      </c>
      <c r="B297" s="94" t="s">
        <v>31</v>
      </c>
      <c r="C297" s="95">
        <f t="shared" si="35"/>
        <v>652.77887056906059</v>
      </c>
      <c r="D297" s="96">
        <v>-0.9318589523719889</v>
      </c>
      <c r="E297" s="96">
        <f t="shared" si="41"/>
        <v>-1.2922952227719553</v>
      </c>
      <c r="F297" s="97">
        <f t="shared" si="37"/>
        <v>1.5759518882037193</v>
      </c>
      <c r="G297" s="98">
        <f t="shared" si="40"/>
        <v>1.8571905667943556</v>
      </c>
    </row>
    <row r="298" spans="1:7" x14ac:dyDescent="0.25">
      <c r="A298" s="93">
        <f>2017</f>
        <v>2017</v>
      </c>
      <c r="B298" s="94" t="s">
        <v>32</v>
      </c>
      <c r="C298" s="95">
        <f t="shared" si="35"/>
        <v>648.42973151889976</v>
      </c>
      <c r="D298" s="96">
        <v>-0.66624997319068013</v>
      </c>
      <c r="E298" s="96">
        <f t="shared" si="41"/>
        <v>-1.9499352793873825</v>
      </c>
      <c r="F298" s="97">
        <f t="shared" si="37"/>
        <v>-0.7752562343305569</v>
      </c>
      <c r="G298" s="98">
        <f t="shared" si="40"/>
        <v>1.8696470900304438</v>
      </c>
    </row>
    <row r="299" spans="1:7" x14ac:dyDescent="0.25">
      <c r="A299" s="93">
        <f>2017</f>
        <v>2017</v>
      </c>
      <c r="B299" s="94" t="s">
        <v>33</v>
      </c>
      <c r="C299" s="95">
        <f t="shared" si="35"/>
        <v>643.78658306870511</v>
      </c>
      <c r="D299" s="96">
        <v>-0.71606038781077963</v>
      </c>
      <c r="E299" s="96">
        <f t="shared" si="41"/>
        <v>-2.6520329530745235</v>
      </c>
      <c r="F299" s="97">
        <f t="shared" si="37"/>
        <v>-1.6580716654311711</v>
      </c>
      <c r="G299" s="98">
        <f t="shared" si="40"/>
        <v>1.88313144838272</v>
      </c>
    </row>
    <row r="300" spans="1:7" x14ac:dyDescent="0.25">
      <c r="A300" s="93">
        <f>2017</f>
        <v>2017</v>
      </c>
      <c r="B300" s="94" t="s">
        <v>34</v>
      </c>
      <c r="C300" s="95">
        <f t="shared" si="35"/>
        <v>644.40360279598713</v>
      </c>
      <c r="D300" s="96">
        <v>9.5842278094848687E-2</v>
      </c>
      <c r="E300" s="96">
        <f t="shared" si="41"/>
        <v>-2.5587324437777337</v>
      </c>
      <c r="F300" s="97">
        <f t="shared" si="37"/>
        <v>-1.7112516435276337</v>
      </c>
      <c r="G300" s="98">
        <f t="shared" si="40"/>
        <v>1.8813283404427956</v>
      </c>
    </row>
    <row r="301" spans="1:7" x14ac:dyDescent="0.25">
      <c r="A301" s="93">
        <f>2017</f>
        <v>2017</v>
      </c>
      <c r="B301" s="94" t="s">
        <v>36</v>
      </c>
      <c r="C301" s="95">
        <f t="shared" si="35"/>
        <v>647.42069925823921</v>
      </c>
      <c r="D301" s="96">
        <v>0.46819981284420553</v>
      </c>
      <c r="E301" s="96">
        <f t="shared" si="41"/>
        <v>-2.1025126114464832</v>
      </c>
      <c r="F301" s="97">
        <f t="shared" si="37"/>
        <v>-1.4452864541311339</v>
      </c>
      <c r="G301" s="98">
        <f t="shared" si="40"/>
        <v>1.8725610132832102</v>
      </c>
    </row>
    <row r="302" spans="1:7" x14ac:dyDescent="0.25">
      <c r="A302" s="93">
        <f>2017</f>
        <v>2017</v>
      </c>
      <c r="B302" s="94" t="s">
        <v>35</v>
      </c>
      <c r="C302" s="95">
        <f t="shared" si="35"/>
        <v>648.69273992777346</v>
      </c>
      <c r="D302" s="96">
        <v>0.19647822057460296</v>
      </c>
      <c r="E302" s="96">
        <f t="shared" si="41"/>
        <v>-1.9101653702382038</v>
      </c>
      <c r="F302" s="97">
        <f t="shared" si="37"/>
        <v>-1.4066910158726076</v>
      </c>
      <c r="G302" s="98">
        <f t="shared" si="40"/>
        <v>1.8688890533267204</v>
      </c>
    </row>
    <row r="303" spans="1:7" x14ac:dyDescent="0.25">
      <c r="A303" s="93">
        <f>2017</f>
        <v>2017</v>
      </c>
      <c r="B303" s="94" t="s">
        <v>25</v>
      </c>
      <c r="C303" s="95">
        <f t="shared" si="35"/>
        <v>652.09384866762093</v>
      </c>
      <c r="D303" s="96">
        <v>0.52430195846282501</v>
      </c>
      <c r="E303" s="96">
        <f t="shared" si="41"/>
        <v>-1.3958784462214213</v>
      </c>
      <c r="F303" s="97">
        <f t="shared" si="37"/>
        <v>-0.86339532224913862</v>
      </c>
      <c r="G303" s="98">
        <f t="shared" si="40"/>
        <v>1.8591415378332647</v>
      </c>
    </row>
    <row r="304" spans="1:7" x14ac:dyDescent="0.25">
      <c r="A304" s="93">
        <f>2017</f>
        <v>2017</v>
      </c>
      <c r="B304" s="94" t="s">
        <v>26</v>
      </c>
      <c r="C304" s="95">
        <f t="shared" si="35"/>
        <v>657.88003366284522</v>
      </c>
      <c r="D304" s="96">
        <v>0.88732396526156609</v>
      </c>
      <c r="E304" s="96">
        <f t="shared" si="41"/>
        <v>-0.52094044493909974</v>
      </c>
      <c r="F304" s="97">
        <f t="shared" si="37"/>
        <v>-0.52094044493909974</v>
      </c>
      <c r="G304" s="98">
        <f t="shared" si="40"/>
        <v>1.8427900203532219</v>
      </c>
    </row>
    <row r="305" spans="1:7" x14ac:dyDescent="0.25">
      <c r="A305" s="93">
        <f>2018</f>
        <v>2018</v>
      </c>
      <c r="B305" s="94" t="s">
        <v>27</v>
      </c>
      <c r="C305" s="95">
        <f t="shared" si="35"/>
        <v>662.84719247226076</v>
      </c>
      <c r="D305" s="96">
        <v>0.75502501295869884</v>
      </c>
      <c r="E305" s="96">
        <f t="shared" ref="E305:E316" si="42">100*((C305/$C$304-1))</f>
        <v>0.75502501295869884</v>
      </c>
      <c r="F305" s="97">
        <f t="shared" si="37"/>
        <v>-0.40808844520709986</v>
      </c>
      <c r="G305" s="98">
        <f t="shared" si="40"/>
        <v>1.8289807581470106</v>
      </c>
    </row>
    <row r="306" spans="1:7" x14ac:dyDescent="0.25">
      <c r="A306" s="93">
        <f>2018</f>
        <v>2018</v>
      </c>
      <c r="B306" s="94" t="s">
        <v>28</v>
      </c>
      <c r="C306" s="95">
        <f t="shared" si="35"/>
        <v>663.33220797911929</v>
      </c>
      <c r="D306" s="96">
        <v>7.3171541249128502E-2</v>
      </c>
      <c r="E306" s="96">
        <f t="shared" si="42"/>
        <v>0.8287490176466239</v>
      </c>
      <c r="F306" s="97">
        <f t="shared" si="37"/>
        <v>-0.41855640077530509</v>
      </c>
      <c r="G306" s="98">
        <f t="shared" si="40"/>
        <v>1.8276434432710305</v>
      </c>
    </row>
    <row r="307" spans="1:7" x14ac:dyDescent="0.25">
      <c r="A307" s="93">
        <f>2018</f>
        <v>2018</v>
      </c>
      <c r="B307" s="94" t="s">
        <v>29</v>
      </c>
      <c r="C307" s="95">
        <f t="shared" si="35"/>
        <v>667.54534268096506</v>
      </c>
      <c r="D307" s="96">
        <v>0.63514701248734706</v>
      </c>
      <c r="E307" s="96">
        <f t="shared" si="42"/>
        <v>1.469159804760567</v>
      </c>
      <c r="F307" s="97">
        <f t="shared" si="37"/>
        <v>0.1991903295871511</v>
      </c>
      <c r="G307" s="98">
        <f t="shared" si="40"/>
        <v>1.816108484488274</v>
      </c>
    </row>
    <row r="308" spans="1:7" x14ac:dyDescent="0.25">
      <c r="A308" s="93">
        <f>2018</f>
        <v>2018</v>
      </c>
      <c r="B308" s="94" t="s">
        <v>30</v>
      </c>
      <c r="C308" s="95">
        <f t="shared" si="35"/>
        <v>671.34846427392006</v>
      </c>
      <c r="D308" s="96">
        <v>0.56971734349626768</v>
      </c>
      <c r="E308" s="96">
        <f t="shared" si="42"/>
        <v>2.0472472064682279</v>
      </c>
      <c r="F308" s="97">
        <f t="shared" si="37"/>
        <v>1.8863314200376458</v>
      </c>
      <c r="G308" s="98">
        <f t="shared" si="40"/>
        <v>1.805820412406399</v>
      </c>
    </row>
    <row r="309" spans="1:7" x14ac:dyDescent="0.25">
      <c r="A309" s="93">
        <f>2018</f>
        <v>2018</v>
      </c>
      <c r="B309" s="94" t="s">
        <v>31</v>
      </c>
      <c r="C309" s="95">
        <f t="shared" si="35"/>
        <v>680.60076008723058</v>
      </c>
      <c r="D309" s="96">
        <v>1.3781659310589278</v>
      </c>
      <c r="E309" s="96">
        <f t="shared" si="42"/>
        <v>3.4536276010512568</v>
      </c>
      <c r="F309" s="97">
        <f t="shared" si="37"/>
        <v>4.2620695571712108</v>
      </c>
      <c r="G309" s="98">
        <f t="shared" si="40"/>
        <v>1.7812715349717676</v>
      </c>
    </row>
    <row r="310" spans="1:7" x14ac:dyDescent="0.25">
      <c r="A310" s="93">
        <f>2018</f>
        <v>2018</v>
      </c>
      <c r="B310" s="94" t="s">
        <v>32</v>
      </c>
      <c r="C310" s="95">
        <f t="shared" si="35"/>
        <v>693.30916639889836</v>
      </c>
      <c r="D310" s="96">
        <v>1.8672336348902974</v>
      </c>
      <c r="E310" s="96">
        <f t="shared" si="42"/>
        <v>5.3853485321322392</v>
      </c>
      <c r="F310" s="97">
        <f t="shared" si="37"/>
        <v>6.921248779705369</v>
      </c>
      <c r="G310" s="98">
        <f t="shared" si="40"/>
        <v>1.7486207010942807</v>
      </c>
    </row>
    <row r="311" spans="1:7" x14ac:dyDescent="0.25">
      <c r="A311" s="93">
        <f>2018</f>
        <v>2018</v>
      </c>
      <c r="B311" s="94" t="s">
        <v>33</v>
      </c>
      <c r="C311" s="95">
        <f t="shared" si="35"/>
        <v>696.82227871971099</v>
      </c>
      <c r="D311" s="96">
        <v>0.5067165546158936</v>
      </c>
      <c r="E311" s="96">
        <f t="shared" si="42"/>
        <v>5.9193535392842112</v>
      </c>
      <c r="F311" s="97">
        <f t="shared" si="37"/>
        <v>8.2380865096944653</v>
      </c>
      <c r="G311" s="98">
        <f t="shared" si="40"/>
        <v>1.7398048220429834</v>
      </c>
    </row>
    <row r="312" spans="1:7" x14ac:dyDescent="0.25">
      <c r="A312" s="93">
        <f>2018</f>
        <v>2018</v>
      </c>
      <c r="B312" s="94" t="s">
        <v>34</v>
      </c>
      <c r="C312" s="95">
        <f t="shared" si="35"/>
        <v>701.6994346515653</v>
      </c>
      <c r="D312" s="96">
        <v>0.69991389207808563</v>
      </c>
      <c r="E312" s="96">
        <f t="shared" si="42"/>
        <v>6.6606978091049651</v>
      </c>
      <c r="F312" s="97">
        <f t="shared" si="37"/>
        <v>8.8912960149475815</v>
      </c>
      <c r="G312" s="98">
        <f t="shared" si="40"/>
        <v>1.7277123234758309</v>
      </c>
    </row>
    <row r="313" spans="1:7" x14ac:dyDescent="0.25">
      <c r="A313" s="93">
        <f>2018</f>
        <v>2018</v>
      </c>
      <c r="B313" s="94" t="s">
        <v>36</v>
      </c>
      <c r="C313" s="95">
        <f t="shared" si="35"/>
        <v>712.39577663374962</v>
      </c>
      <c r="D313" s="96">
        <v>1.5243480974864498</v>
      </c>
      <c r="E313" s="96">
        <f t="shared" si="42"/>
        <v>8.2865781269238159</v>
      </c>
      <c r="F313" s="97">
        <f t="shared" si="37"/>
        <v>10.035990114303338</v>
      </c>
      <c r="G313" s="98">
        <f t="shared" si="40"/>
        <v>1.7017714034635656</v>
      </c>
    </row>
    <row r="314" spans="1:7" x14ac:dyDescent="0.25">
      <c r="A314" s="93">
        <f>2018</f>
        <v>2018</v>
      </c>
      <c r="B314" s="94" t="s">
        <v>35</v>
      </c>
      <c r="C314" s="95">
        <f t="shared" si="35"/>
        <v>718.70697841474862</v>
      </c>
      <c r="D314" s="96">
        <v>0.88591229594607857</v>
      </c>
      <c r="E314" s="96">
        <f t="shared" si="42"/>
        <v>9.2459022374095099</v>
      </c>
      <c r="F314" s="97">
        <f t="shared" si="37"/>
        <v>10.793128114054529</v>
      </c>
      <c r="G314" s="98">
        <f t="shared" si="40"/>
        <v>1.6868275904285481</v>
      </c>
    </row>
    <row r="315" spans="1:7" x14ac:dyDescent="0.25">
      <c r="A315" s="93">
        <f>2018</f>
        <v>2018</v>
      </c>
      <c r="B315" s="94" t="s">
        <v>25</v>
      </c>
      <c r="C315" s="95">
        <f t="shared" si="35"/>
        <v>715.18886593407137</v>
      </c>
      <c r="D315" s="96">
        <v>-0.48950581896910483</v>
      </c>
      <c r="E315" s="96">
        <f t="shared" si="42"/>
        <v>8.7111371889720743</v>
      </c>
      <c r="F315" s="97">
        <f t="shared" si="37"/>
        <v>9.6757571621582059</v>
      </c>
      <c r="G315" s="98">
        <f t="shared" si="40"/>
        <v>1.6951253275457034</v>
      </c>
    </row>
    <row r="316" spans="1:7" x14ac:dyDescent="0.25">
      <c r="A316" s="93">
        <f>2018</f>
        <v>2018</v>
      </c>
      <c r="B316" s="94" t="s">
        <v>26</v>
      </c>
      <c r="C316" s="95">
        <f t="shared" si="35"/>
        <v>707.46361894338577</v>
      </c>
      <c r="D316" s="96">
        <v>-1.0801687999709153</v>
      </c>
      <c r="E316" s="96">
        <f t="shared" si="42"/>
        <v>7.5368734029632289</v>
      </c>
      <c r="F316" s="97">
        <f t="shared" si="37"/>
        <v>7.5368734029632289</v>
      </c>
      <c r="G316" s="98">
        <f t="shared" si="40"/>
        <v>1.7136354833824312</v>
      </c>
    </row>
    <row r="317" spans="1:7" x14ac:dyDescent="0.25">
      <c r="A317" s="93">
        <f>2019</f>
        <v>2019</v>
      </c>
      <c r="B317" s="94" t="s">
        <v>27</v>
      </c>
      <c r="C317" s="95">
        <f t="shared" si="35"/>
        <v>707.51062044611228</v>
      </c>
      <c r="D317" s="96">
        <v>6.6436635705269254E-3</v>
      </c>
      <c r="E317" s="96">
        <f t="shared" ref="E317:E328" si="43">100*((C317/$C$316-1))</f>
        <v>6.6436635705269254E-3</v>
      </c>
      <c r="F317" s="97">
        <f t="shared" si="37"/>
        <v>6.7381182995235545</v>
      </c>
      <c r="G317" s="98">
        <f t="shared" si="40"/>
        <v>1.7135216427692772</v>
      </c>
    </row>
    <row r="318" spans="1:7" x14ac:dyDescent="0.25">
      <c r="A318" s="99">
        <f>2019</f>
        <v>2019</v>
      </c>
      <c r="B318" s="100" t="s">
        <v>28</v>
      </c>
      <c r="C318" s="101">
        <f t="shared" ref="C318:C381" si="44">+C317*(1+D318/100)</f>
        <v>713.76982056452016</v>
      </c>
      <c r="D318" s="102">
        <v>0.88467931611559969</v>
      </c>
      <c r="E318" s="102">
        <f t="shared" si="43"/>
        <v>0.8913817548035663</v>
      </c>
      <c r="F318" s="103">
        <f t="shared" si="37"/>
        <v>7.6036730884909032</v>
      </c>
      <c r="G318" s="98">
        <f t="shared" si="40"/>
        <v>1.6984954052339982</v>
      </c>
    </row>
    <row r="319" spans="1:7" x14ac:dyDescent="0.25">
      <c r="A319" s="99">
        <f>2019</f>
        <v>2019</v>
      </c>
      <c r="B319" s="100" t="s">
        <v>29</v>
      </c>
      <c r="C319" s="101">
        <f t="shared" si="44"/>
        <v>722.7301070417426</v>
      </c>
      <c r="D319" s="102">
        <v>1.2553467825433984</v>
      </c>
      <c r="E319" s="102">
        <f t="shared" si="43"/>
        <v>2.1579184695260656</v>
      </c>
      <c r="F319" s="103">
        <f t="shared" si="37"/>
        <v>8.266818870931969</v>
      </c>
      <c r="G319" s="98">
        <f t="shared" si="40"/>
        <v>1.6774377444795063</v>
      </c>
    </row>
    <row r="320" spans="1:7" x14ac:dyDescent="0.25">
      <c r="A320" s="99">
        <f>2019</f>
        <v>2019</v>
      </c>
      <c r="B320" s="100" t="s">
        <v>30</v>
      </c>
      <c r="C320" s="101">
        <f t="shared" si="44"/>
        <v>729.36931930985429</v>
      </c>
      <c r="D320" s="102">
        <v>0.91862954143242526</v>
      </c>
      <c r="E320" s="102">
        <f t="shared" si="43"/>
        <v>3.0963712874995997</v>
      </c>
      <c r="F320" s="103">
        <f t="shared" si="37"/>
        <v>8.6424350577289477</v>
      </c>
      <c r="G320" s="98">
        <f t="shared" si="40"/>
        <v>1.662168572940073</v>
      </c>
    </row>
    <row r="321" spans="1:7" x14ac:dyDescent="0.25">
      <c r="A321" s="99">
        <f>2019</f>
        <v>2019</v>
      </c>
      <c r="B321" s="100" t="s">
        <v>31</v>
      </c>
      <c r="C321" s="101">
        <f t="shared" si="44"/>
        <v>732.61842318982031</v>
      </c>
      <c r="D321" s="102">
        <v>0.44546758328694036</v>
      </c>
      <c r="E321" s="102">
        <f t="shared" si="43"/>
        <v>3.5556322011305541</v>
      </c>
      <c r="F321" s="103">
        <f t="shared" si="37"/>
        <v>7.6429040566929007</v>
      </c>
      <c r="G321" s="98">
        <f t="shared" si="40"/>
        <v>1.6547969887858238</v>
      </c>
    </row>
    <row r="322" spans="1:7" x14ac:dyDescent="0.25">
      <c r="A322" s="99">
        <f>2019</f>
        <v>2019</v>
      </c>
      <c r="B322" s="100" t="s">
        <v>32</v>
      </c>
      <c r="C322" s="101">
        <f t="shared" si="44"/>
        <v>738.44460946396066</v>
      </c>
      <c r="D322" s="102">
        <v>0.79525522287211547</v>
      </c>
      <c r="E322" s="102">
        <f t="shared" si="43"/>
        <v>4.3791637747882639</v>
      </c>
      <c r="F322" s="103">
        <f t="shared" si="37"/>
        <v>6.5101465915270218</v>
      </c>
      <c r="G322" s="98">
        <f t="shared" si="40"/>
        <v>1.6417409580707356</v>
      </c>
    </row>
    <row r="323" spans="1:7" x14ac:dyDescent="0.25">
      <c r="A323" s="99">
        <f>2019</f>
        <v>2019</v>
      </c>
      <c r="B323" s="100" t="s">
        <v>33</v>
      </c>
      <c r="C323" s="101">
        <f t="shared" si="44"/>
        <v>741.36970298470567</v>
      </c>
      <c r="D323" s="102">
        <v>0.39611549509019905</v>
      </c>
      <c r="E323" s="102">
        <f t="shared" si="43"/>
        <v>4.792625816145768</v>
      </c>
      <c r="F323" s="103">
        <f t="shared" si="37"/>
        <v>6.392939150401844</v>
      </c>
      <c r="G323" s="98">
        <f t="shared" si="40"/>
        <v>1.6352634262538015</v>
      </c>
    </row>
    <row r="324" spans="1:7" x14ac:dyDescent="0.25">
      <c r="A324" s="99">
        <f>2019</f>
        <v>2019</v>
      </c>
      <c r="B324" s="100" t="s">
        <v>34</v>
      </c>
      <c r="C324" s="101">
        <f t="shared" si="44"/>
        <v>736.42554491066687</v>
      </c>
      <c r="D324" s="102">
        <v>-0.66689508003010545</v>
      </c>
      <c r="E324" s="102">
        <f t="shared" si="43"/>
        <v>4.0937689503435459</v>
      </c>
      <c r="F324" s="103">
        <f t="shared" si="37"/>
        <v>4.9488582353419019</v>
      </c>
      <c r="G324" s="98">
        <f t="shared" si="40"/>
        <v>1.6462421340511713</v>
      </c>
    </row>
    <row r="325" spans="1:7" x14ac:dyDescent="0.25">
      <c r="A325" s="99">
        <f>2019</f>
        <v>2019</v>
      </c>
      <c r="B325" s="100" t="s">
        <v>36</v>
      </c>
      <c r="C325" s="101">
        <f t="shared" si="44"/>
        <v>736.38554363175058</v>
      </c>
      <c r="D325" s="102">
        <v>-5.4318157745480988E-3</v>
      </c>
      <c r="E325" s="102">
        <f t="shared" si="43"/>
        <v>4.0881147685813746</v>
      </c>
      <c r="F325" s="103">
        <f t="shared" si="37"/>
        <v>3.3674774310648914</v>
      </c>
      <c r="G325" s="98">
        <f t="shared" si="40"/>
        <v>1.6463315597485351</v>
      </c>
    </row>
    <row r="326" spans="1:7" x14ac:dyDescent="0.25">
      <c r="A326" s="99">
        <f>2019</f>
        <v>2019</v>
      </c>
      <c r="B326" s="100" t="s">
        <v>35</v>
      </c>
      <c r="C326" s="101">
        <f t="shared" si="44"/>
        <v>741.35670256905792</v>
      </c>
      <c r="D326" s="102">
        <v>0.67507557424202336</v>
      </c>
      <c r="E326" s="102">
        <f t="shared" si="43"/>
        <v>4.7907882070730823</v>
      </c>
      <c r="F326" s="103">
        <f t="shared" si="37"/>
        <v>3.1514546031357282</v>
      </c>
      <c r="G326" s="98">
        <f t="shared" si="40"/>
        <v>1.6352921021990801</v>
      </c>
    </row>
    <row r="327" spans="1:7" x14ac:dyDescent="0.25">
      <c r="A327" s="99">
        <f>2019</f>
        <v>2019</v>
      </c>
      <c r="B327" s="100" t="s">
        <v>25</v>
      </c>
      <c r="C327" s="101">
        <f t="shared" si="44"/>
        <v>743.58177370877002</v>
      </c>
      <c r="D327" s="102">
        <v>0.30013502703913897</v>
      </c>
      <c r="E327" s="102">
        <f t="shared" si="43"/>
        <v>5.1053020675928984</v>
      </c>
      <c r="F327" s="103">
        <f t="shared" si="37"/>
        <v>3.9699873875435943</v>
      </c>
      <c r="G327" s="98">
        <f t="shared" si="40"/>
        <v>1.6303987046061648</v>
      </c>
    </row>
    <row r="328" spans="1:7" x14ac:dyDescent="0.25">
      <c r="A328" s="99">
        <f>2019</f>
        <v>2019</v>
      </c>
      <c r="B328" s="100" t="s">
        <v>26</v>
      </c>
      <c r="C328" s="101">
        <f t="shared" si="44"/>
        <v>759.13627101532336</v>
      </c>
      <c r="D328" s="102">
        <v>2.0918341272637697</v>
      </c>
      <c r="E328" s="102">
        <f t="shared" si="43"/>
        <v>7.3039306458064779</v>
      </c>
      <c r="F328" s="103">
        <f t="shared" si="37"/>
        <v>7.3039306458064779</v>
      </c>
      <c r="G328" s="98">
        <f t="shared" si="40"/>
        <v>1.5969922751840975</v>
      </c>
    </row>
    <row r="329" spans="1:7" x14ac:dyDescent="0.25">
      <c r="A329" s="99">
        <f>2020</f>
        <v>2020</v>
      </c>
      <c r="B329" s="100" t="s">
        <v>27</v>
      </c>
      <c r="C329" s="101">
        <f t="shared" si="44"/>
        <v>762.75738678920982</v>
      </c>
      <c r="D329" s="102">
        <v>0.47700471076732587</v>
      </c>
      <c r="E329" s="102">
        <f t="shared" ref="E329:E340" si="45">100*((C329/$C$328-1))</f>
        <v>0.47700471076732587</v>
      </c>
      <c r="F329" s="103">
        <f t="shared" ref="F329:F389" si="46">+((C329/C317)-1)*100</f>
        <v>7.8086130082771543</v>
      </c>
      <c r="G329" s="98">
        <f t="shared" si="40"/>
        <v>1.5894107112181466</v>
      </c>
    </row>
    <row r="330" spans="1:7" x14ac:dyDescent="0.25">
      <c r="A330" s="99">
        <f>2020</f>
        <v>2020</v>
      </c>
      <c r="B330" s="100" t="s">
        <v>28</v>
      </c>
      <c r="C330" s="101">
        <f t="shared" si="44"/>
        <v>762.4473768776096</v>
      </c>
      <c r="D330" s="102">
        <v>-4.0643318172928211E-2</v>
      </c>
      <c r="E330" s="102">
        <f t="shared" si="45"/>
        <v>0.43616752205208886</v>
      </c>
      <c r="F330" s="103">
        <f t="shared" si="46"/>
        <v>6.8197834807011581</v>
      </c>
      <c r="G330" s="98">
        <f t="shared" si="40"/>
        <v>1.5900569631288017</v>
      </c>
    </row>
    <row r="331" spans="1:7" x14ac:dyDescent="0.25">
      <c r="A331" s="99">
        <f>2020</f>
        <v>2020</v>
      </c>
      <c r="B331" s="100" t="s">
        <v>29</v>
      </c>
      <c r="C331" s="101">
        <f t="shared" si="44"/>
        <v>771.93268014060675</v>
      </c>
      <c r="D331" s="102">
        <v>1.2440600559007198</v>
      </c>
      <c r="E331" s="102">
        <f t="shared" si="45"/>
        <v>1.6856537638714864</v>
      </c>
      <c r="F331" s="103">
        <f t="shared" si="46"/>
        <v>6.8078764976678086</v>
      </c>
      <c r="G331" s="98">
        <f t="shared" si="40"/>
        <v>1.5705187664845428</v>
      </c>
    </row>
    <row r="332" spans="1:7" x14ac:dyDescent="0.25">
      <c r="A332" s="99">
        <f>2020</f>
        <v>2020</v>
      </c>
      <c r="B332" s="100" t="s">
        <v>30</v>
      </c>
      <c r="C332" s="101">
        <f t="shared" si="44"/>
        <v>778.12587814880305</v>
      </c>
      <c r="D332" s="102">
        <v>0.80229768314359351</v>
      </c>
      <c r="E332" s="102">
        <f t="shared" si="45"/>
        <v>2.5014754081084334</v>
      </c>
      <c r="F332" s="103">
        <f t="shared" si="46"/>
        <v>6.6847559320267758</v>
      </c>
      <c r="G332" s="98">
        <f t="shared" si="40"/>
        <v>1.5580188176079333</v>
      </c>
    </row>
    <row r="333" spans="1:7" x14ac:dyDescent="0.25">
      <c r="A333" s="99">
        <f>2020</f>
        <v>2020</v>
      </c>
      <c r="B333" s="100" t="s">
        <v>31</v>
      </c>
      <c r="C333" s="101">
        <f t="shared" si="44"/>
        <v>780.30494781776144</v>
      </c>
      <c r="D333" s="102">
        <v>0.28004076591598981</v>
      </c>
      <c r="E333" s="102">
        <f t="shared" si="45"/>
        <v>2.7885213249164931</v>
      </c>
      <c r="F333" s="103">
        <f t="shared" si="46"/>
        <v>6.5090534333431149</v>
      </c>
      <c r="G333" s="98">
        <f t="shared" si="40"/>
        <v>1.5536679140815484</v>
      </c>
    </row>
    <row r="334" spans="1:7" x14ac:dyDescent="0.25">
      <c r="A334" s="99">
        <f>2020</f>
        <v>2020</v>
      </c>
      <c r="B334" s="100" t="s">
        <v>32</v>
      </c>
      <c r="C334" s="101">
        <f t="shared" si="44"/>
        <v>792.45433625657563</v>
      </c>
      <c r="D334" s="102">
        <v>1.5570051776285343</v>
      </c>
      <c r="E334" s="102">
        <f t="shared" si="45"/>
        <v>4.3889439239532368</v>
      </c>
      <c r="F334" s="103">
        <f t="shared" si="46"/>
        <v>7.313984840626131</v>
      </c>
      <c r="G334" s="98">
        <f t="shared" si="40"/>
        <v>1.5298480999553912</v>
      </c>
    </row>
    <row r="335" spans="1:7" x14ac:dyDescent="0.25">
      <c r="A335" s="99">
        <f>2020</f>
        <v>2020</v>
      </c>
      <c r="B335" s="100" t="s">
        <v>33</v>
      </c>
      <c r="C335" s="101">
        <f t="shared" si="44"/>
        <v>810.10890070622804</v>
      </c>
      <c r="D335" s="102">
        <v>2.2278336608074767</v>
      </c>
      <c r="E335" s="102">
        <f t="shared" si="45"/>
        <v>6.714555954852508</v>
      </c>
      <c r="F335" s="103">
        <f t="shared" si="46"/>
        <v>9.2719189150544992</v>
      </c>
      <c r="G335" s="98">
        <f t="shared" si="40"/>
        <v>1.4965083824738337</v>
      </c>
    </row>
    <row r="336" spans="1:7" x14ac:dyDescent="0.25">
      <c r="A336" s="99">
        <f>2020</f>
        <v>2020</v>
      </c>
      <c r="B336" s="100" t="s">
        <v>34</v>
      </c>
      <c r="C336" s="101">
        <f t="shared" si="44"/>
        <v>832.33961146389049</v>
      </c>
      <c r="D336" s="102">
        <v>2.7441632524074722</v>
      </c>
      <c r="E336" s="102">
        <f t="shared" si="45"/>
        <v>9.6429775843353873</v>
      </c>
      <c r="F336" s="103">
        <f t="shared" si="46"/>
        <v>13.024272068788513</v>
      </c>
      <c r="G336" s="98">
        <f t="shared" si="40"/>
        <v>1.4565385858439681</v>
      </c>
    </row>
    <row r="337" spans="1:7" x14ac:dyDescent="0.25">
      <c r="A337" s="99">
        <f>2020</f>
        <v>2020</v>
      </c>
      <c r="B337" s="100" t="s">
        <v>36</v>
      </c>
      <c r="C337" s="101">
        <f t="shared" si="44"/>
        <v>868.4697666129498</v>
      </c>
      <c r="D337" s="102">
        <v>4.3407948692379072</v>
      </c>
      <c r="E337" s="102">
        <f t="shared" si="45"/>
        <v>14.402354329795886</v>
      </c>
      <c r="F337" s="103">
        <f t="shared" si="46"/>
        <v>17.936829983079015</v>
      </c>
      <c r="G337" s="98">
        <f t="shared" si="40"/>
        <v>1.3959435402704503</v>
      </c>
    </row>
    <row r="338" spans="1:7" x14ac:dyDescent="0.25">
      <c r="A338" s="99">
        <f>2020</f>
        <v>2020</v>
      </c>
      <c r="B338" s="100" t="s">
        <v>35</v>
      </c>
      <c r="C338" s="101">
        <f t="shared" si="44"/>
        <v>896.53366386856283</v>
      </c>
      <c r="D338" s="102">
        <v>3.2314190239532303</v>
      </c>
      <c r="E338" s="102">
        <f t="shared" si="45"/>
        <v>18.099173771459288</v>
      </c>
      <c r="F338" s="103">
        <f t="shared" si="46"/>
        <v>20.931484231782484</v>
      </c>
      <c r="G338" s="98">
        <f t="shared" si="40"/>
        <v>1.35224678055287</v>
      </c>
    </row>
    <row r="339" spans="1:7" x14ac:dyDescent="0.25">
      <c r="A339" s="99">
        <f>2020</f>
        <v>2020</v>
      </c>
      <c r="B339" s="100" t="s">
        <v>25</v>
      </c>
      <c r="C339" s="101">
        <f t="shared" si="44"/>
        <v>925.91660329643673</v>
      </c>
      <c r="D339" s="102">
        <v>3.2773938795656488</v>
      </c>
      <c r="E339" s="102">
        <f t="shared" si="45"/>
        <v>21.96974886446268</v>
      </c>
      <c r="F339" s="103">
        <f t="shared" si="46"/>
        <v>24.521153696147447</v>
      </c>
      <c r="G339" s="98">
        <f t="shared" si="40"/>
        <v>1.3093347244313298</v>
      </c>
    </row>
    <row r="340" spans="1:7" x14ac:dyDescent="0.25">
      <c r="A340" s="99">
        <f>2020</f>
        <v>2020</v>
      </c>
      <c r="B340" s="100" t="s">
        <v>26</v>
      </c>
      <c r="C340" s="101">
        <f t="shared" si="44"/>
        <v>934.78788692807086</v>
      </c>
      <c r="D340" s="102">
        <v>0.95810827887206074</v>
      </c>
      <c r="E340" s="102">
        <f t="shared" si="45"/>
        <v>23.138351126052559</v>
      </c>
      <c r="F340" s="103">
        <f t="shared" si="46"/>
        <v>23.138351126052559</v>
      </c>
      <c r="G340" s="98">
        <f t="shared" si="40"/>
        <v>1.2969089325788605</v>
      </c>
    </row>
    <row r="341" spans="1:7" x14ac:dyDescent="0.25">
      <c r="A341" s="99">
        <f>2021</f>
        <v>2021</v>
      </c>
      <c r="B341" s="100" t="s">
        <v>27</v>
      </c>
      <c r="C341" s="101">
        <f t="shared" si="44"/>
        <v>958.87465702744362</v>
      </c>
      <c r="D341" s="102">
        <v>2.5767096938458911</v>
      </c>
      <c r="E341" s="102">
        <f t="shared" ref="E341:E352" si="47">100*((C341/$C$340-1))</f>
        <v>2.5767096938458911</v>
      </c>
      <c r="F341" s="103">
        <f t="shared" si="46"/>
        <v>25.711618613590879</v>
      </c>
      <c r="G341" s="98">
        <f t="shared" si="40"/>
        <v>1.2643307983358612</v>
      </c>
    </row>
    <row r="342" spans="1:7" x14ac:dyDescent="0.25">
      <c r="A342" s="99">
        <f>2021</f>
        <v>2021</v>
      </c>
      <c r="B342" s="100" t="s">
        <v>28</v>
      </c>
      <c r="C342" s="101">
        <f t="shared" si="44"/>
        <v>983.09443137921255</v>
      </c>
      <c r="D342" s="102">
        <v>2.525854049250964</v>
      </c>
      <c r="E342" s="102">
        <f t="shared" si="47"/>
        <v>5.1676476692362971</v>
      </c>
      <c r="F342" s="103">
        <f t="shared" si="46"/>
        <v>28.939315839107671</v>
      </c>
      <c r="G342" s="98">
        <f t="shared" si="40"/>
        <v>1.2331824104859512</v>
      </c>
    </row>
    <row r="343" spans="1:7" x14ac:dyDescent="0.25">
      <c r="A343" s="99">
        <f>2021</f>
        <v>2021</v>
      </c>
      <c r="B343" s="100" t="s">
        <v>29</v>
      </c>
      <c r="C343" s="101">
        <f t="shared" si="44"/>
        <v>1011.9803549165531</v>
      </c>
      <c r="D343" s="102">
        <v>2.9382654010984055</v>
      </c>
      <c r="E343" s="102">
        <f t="shared" si="47"/>
        <v>8.2577522738505493</v>
      </c>
      <c r="F343" s="103">
        <f t="shared" si="46"/>
        <v>31.096970105245703</v>
      </c>
      <c r="G343" s="98">
        <f t="shared" si="40"/>
        <v>1.1979825050294586</v>
      </c>
    </row>
    <row r="344" spans="1:7" x14ac:dyDescent="0.25">
      <c r="A344" s="99">
        <f>2021</f>
        <v>2021</v>
      </c>
      <c r="B344" s="100" t="s">
        <v>30</v>
      </c>
      <c r="C344" s="101">
        <f t="shared" si="44"/>
        <v>1027.2438429189913</v>
      </c>
      <c r="D344" s="102">
        <v>1.5082790815338365</v>
      </c>
      <c r="E344" s="102">
        <f t="shared" si="47"/>
        <v>9.8905813055357505</v>
      </c>
      <c r="F344" s="103">
        <f t="shared" si="46"/>
        <v>32.015124000611728</v>
      </c>
      <c r="G344" s="98">
        <f t="shared" si="40"/>
        <v>1.1801820658068796</v>
      </c>
    </row>
    <row r="345" spans="1:7" x14ac:dyDescent="0.25">
      <c r="A345" s="99">
        <f>2021</f>
        <v>2021</v>
      </c>
      <c r="B345" s="100" t="s">
        <v>31</v>
      </c>
      <c r="C345" s="101">
        <f t="shared" si="44"/>
        <v>1069.323188274858</v>
      </c>
      <c r="D345" s="102">
        <v>4.0963346381609922</v>
      </c>
      <c r="E345" s="102">
        <f t="shared" si="47"/>
        <v>14.39206725163087</v>
      </c>
      <c r="F345" s="103">
        <f t="shared" si="46"/>
        <v>37.039139795970669</v>
      </c>
      <c r="G345" s="98">
        <f t="shared" si="40"/>
        <v>1.1337402704035586</v>
      </c>
    </row>
    <row r="346" spans="1:7" x14ac:dyDescent="0.25">
      <c r="A346" s="99">
        <f>2021</f>
        <v>2021</v>
      </c>
      <c r="B346" s="100" t="s">
        <v>32</v>
      </c>
      <c r="C346" s="101">
        <f t="shared" si="44"/>
        <v>1075.7673943082532</v>
      </c>
      <c r="D346" s="102">
        <v>0.60264343877098892</v>
      </c>
      <c r="E346" s="102">
        <f t="shared" si="47"/>
        <v>15.081443539397332</v>
      </c>
      <c r="F346" s="103">
        <f t="shared" si="46"/>
        <v>35.75134176058674</v>
      </c>
      <c r="G346" s="98">
        <f t="shared" si="40"/>
        <v>1.1269487874775161</v>
      </c>
    </row>
    <row r="347" spans="1:7" x14ac:dyDescent="0.25">
      <c r="A347" s="99">
        <f>2021</f>
        <v>2021</v>
      </c>
      <c r="B347" s="100" t="s">
        <v>33</v>
      </c>
      <c r="C347" s="101">
        <f t="shared" si="44"/>
        <v>1084.1296616656789</v>
      </c>
      <c r="D347" s="102">
        <v>0.77733043422485437</v>
      </c>
      <c r="E347" s="102">
        <f t="shared" si="47"/>
        <v>15.976006624174355</v>
      </c>
      <c r="F347" s="103">
        <f t="shared" si="46"/>
        <v>33.825175938761816</v>
      </c>
      <c r="G347" s="98">
        <f t="shared" si="40"/>
        <v>1.1182562413806454</v>
      </c>
    </row>
    <row r="348" spans="1:7" x14ac:dyDescent="0.25">
      <c r="A348" s="99">
        <f>2021</f>
        <v>2021</v>
      </c>
      <c r="B348" s="100" t="s">
        <v>34</v>
      </c>
      <c r="C348" s="101">
        <f t="shared" si="44"/>
        <v>1091.3248917107253</v>
      </c>
      <c r="D348" s="102">
        <v>0.66368722298322247</v>
      </c>
      <c r="E348" s="102">
        <f t="shared" si="47"/>
        <v>16.745724561865181</v>
      </c>
      <c r="F348" s="103">
        <f t="shared" si="46"/>
        <v>31.115337619381144</v>
      </c>
      <c r="G348" s="98">
        <f t="shared" si="40"/>
        <v>1.1108834498616782</v>
      </c>
    </row>
    <row r="349" spans="1:7" x14ac:dyDescent="0.25">
      <c r="A349" s="99">
        <f>2021</f>
        <v>2021</v>
      </c>
      <c r="B349" s="100" t="s">
        <v>36</v>
      </c>
      <c r="C349" s="101">
        <f t="shared" si="44"/>
        <v>1084.3466686037991</v>
      </c>
      <c r="D349" s="102">
        <v>-0.63942673349889345</v>
      </c>
      <c r="E349" s="102">
        <f t="shared" si="47"/>
        <v>15.999221188799639</v>
      </c>
      <c r="F349" s="103">
        <f t="shared" si="46"/>
        <v>24.857157990976898</v>
      </c>
      <c r="G349" s="98">
        <f t="shared" si="40"/>
        <v>1.1180324482248198</v>
      </c>
    </row>
    <row r="350" spans="1:7" x14ac:dyDescent="0.25">
      <c r="A350" s="99">
        <f>2021</f>
        <v>2021</v>
      </c>
      <c r="B350" s="100" t="s">
        <v>35</v>
      </c>
      <c r="C350" s="101">
        <f t="shared" si="44"/>
        <v>1091.317891486915</v>
      </c>
      <c r="D350" s="102">
        <v>0.64289614059422906</v>
      </c>
      <c r="E350" s="102">
        <f t="shared" si="47"/>
        <v>16.74497570494178</v>
      </c>
      <c r="F350" s="103">
        <f t="shared" si="46"/>
        <v>21.726370739705846</v>
      </c>
      <c r="G350" s="98">
        <f t="shared" si="40"/>
        <v>1.1108905755881389</v>
      </c>
    </row>
    <row r="351" spans="1:7" x14ac:dyDescent="0.25">
      <c r="A351" s="99">
        <f>2021</f>
        <v>2021</v>
      </c>
      <c r="B351" s="100" t="s">
        <v>25</v>
      </c>
      <c r="C351" s="101">
        <f t="shared" si="44"/>
        <v>1091.5178978814959</v>
      </c>
      <c r="D351" s="102">
        <v>1.8327051736344302E-2</v>
      </c>
      <c r="E351" s="102">
        <f t="shared" si="47"/>
        <v>16.766371617038821</v>
      </c>
      <c r="F351" s="103">
        <f t="shared" si="46"/>
        <v>17.885119890440194</v>
      </c>
      <c r="G351" s="98">
        <f t="shared" ref="G351:G392" si="48">+$C$392/C351</f>
        <v>1.1106870194034637</v>
      </c>
    </row>
    <row r="352" spans="1:7" x14ac:dyDescent="0.25">
      <c r="A352" s="99">
        <f>2021</f>
        <v>2021</v>
      </c>
      <c r="B352" s="100" t="s">
        <v>26</v>
      </c>
      <c r="C352" s="101">
        <f t="shared" si="44"/>
        <v>1101.0232017839514</v>
      </c>
      <c r="D352" s="102">
        <v>0.87083353565746702</v>
      </c>
      <c r="E352" s="102">
        <f t="shared" si="47"/>
        <v>17.783212339450415</v>
      </c>
      <c r="F352" s="103">
        <f t="shared" si="46"/>
        <v>17.783212339450415</v>
      </c>
      <c r="G352" s="98">
        <f t="shared" si="48"/>
        <v>1.1010982862661087</v>
      </c>
    </row>
    <row r="353" spans="1:7" x14ac:dyDescent="0.25">
      <c r="A353" s="99">
        <f>2022</f>
        <v>2022</v>
      </c>
      <c r="B353" s="100" t="s">
        <v>27</v>
      </c>
      <c r="C353" s="101">
        <f t="shared" si="44"/>
        <v>1121.0348415937392</v>
      </c>
      <c r="D353" s="102">
        <v>1.8175493284213751</v>
      </c>
      <c r="E353" s="102">
        <f t="shared" ref="E353:E364" si="49">100*((C353/$C$352-1))</f>
        <v>1.8175493284213751</v>
      </c>
      <c r="F353" s="103">
        <f t="shared" si="46"/>
        <v>16.911510110090909</v>
      </c>
      <c r="G353" s="98">
        <f t="shared" si="48"/>
        <v>1.0814425347387022</v>
      </c>
    </row>
    <row r="354" spans="1:7" x14ac:dyDescent="0.25">
      <c r="A354" s="99">
        <f>2022</f>
        <v>2022</v>
      </c>
      <c r="B354" s="100" t="s">
        <v>28</v>
      </c>
      <c r="C354" s="101">
        <f t="shared" si="44"/>
        <v>1141.5824985410036</v>
      </c>
      <c r="D354" s="102">
        <v>1.8329186734332481</v>
      </c>
      <c r="E354" s="102">
        <f t="shared" si="49"/>
        <v>3.6837822028941147</v>
      </c>
      <c r="F354" s="103">
        <f t="shared" si="46"/>
        <v>16.121347258517503</v>
      </c>
      <c r="G354" s="98">
        <f t="shared" si="48"/>
        <v>1.0619773535184309</v>
      </c>
    </row>
    <row r="355" spans="1:7" x14ac:dyDescent="0.25">
      <c r="A355" s="99">
        <f>2022</f>
        <v>2022</v>
      </c>
      <c r="B355" s="100" t="s">
        <v>29</v>
      </c>
      <c r="C355" s="101">
        <f t="shared" si="44"/>
        <v>1161.4551339065574</v>
      </c>
      <c r="D355" s="102">
        <v>1.7407971295068103</v>
      </c>
      <c r="E355" s="102">
        <f t="shared" si="49"/>
        <v>5.4887065072461771</v>
      </c>
      <c r="F355" s="103">
        <f t="shared" si="46"/>
        <v>14.770521805468228</v>
      </c>
      <c r="G355" s="98">
        <f t="shared" si="48"/>
        <v>1.0438067947970076</v>
      </c>
    </row>
    <row r="356" spans="1:7" x14ac:dyDescent="0.25">
      <c r="A356" s="99">
        <f>2022</f>
        <v>2022</v>
      </c>
      <c r="B356" s="100" t="s">
        <v>30</v>
      </c>
      <c r="C356" s="101">
        <f t="shared" si="44"/>
        <v>1177.8466579744318</v>
      </c>
      <c r="D356" s="102">
        <v>1.4112920585009014</v>
      </c>
      <c r="E356" s="102">
        <f t="shared" si="49"/>
        <v>6.9774602447982836</v>
      </c>
      <c r="F356" s="103">
        <f t="shared" si="46"/>
        <v>14.660863250101475</v>
      </c>
      <c r="G356" s="98">
        <f t="shared" si="48"/>
        <v>1.0292806388807956</v>
      </c>
    </row>
    <row r="357" spans="1:7" x14ac:dyDescent="0.25">
      <c r="A357" s="99">
        <f>2022</f>
        <v>2022</v>
      </c>
      <c r="B357" s="100" t="s">
        <v>31</v>
      </c>
      <c r="C357" s="101">
        <f t="shared" si="44"/>
        <v>1183.9908544159557</v>
      </c>
      <c r="D357" s="102">
        <v>0.52164654880375583</v>
      </c>
      <c r="E357" s="102">
        <f t="shared" si="49"/>
        <v>7.5355044741631794</v>
      </c>
      <c r="F357" s="103">
        <f t="shared" si="46"/>
        <v>10.723387222724634</v>
      </c>
      <c r="G357" s="98">
        <f t="shared" si="48"/>
        <v>1.0239392948871711</v>
      </c>
    </row>
    <row r="358" spans="1:7" x14ac:dyDescent="0.25">
      <c r="A358" s="99">
        <f>2022</f>
        <v>2022</v>
      </c>
      <c r="B358" s="100" t="s">
        <v>32</v>
      </c>
      <c r="C358" s="101">
        <f t="shared" si="44"/>
        <v>1190.9200759562098</v>
      </c>
      <c r="D358" s="102">
        <v>0.58524282636220892</v>
      </c>
      <c r="E358" s="102">
        <f t="shared" si="49"/>
        <v>8.164848299890636</v>
      </c>
      <c r="F358" s="103">
        <f t="shared" si="46"/>
        <v>10.70423608832305</v>
      </c>
      <c r="G358" s="98">
        <f t="shared" si="48"/>
        <v>1.0179816304214444</v>
      </c>
    </row>
    <row r="359" spans="1:7" x14ac:dyDescent="0.25">
      <c r="A359" s="99">
        <f>2022</f>
        <v>2022</v>
      </c>
      <c r="B359" s="100" t="s">
        <v>33</v>
      </c>
      <c r="C359" s="101">
        <f t="shared" si="44"/>
        <v>1193.3751544496897</v>
      </c>
      <c r="D359" s="102">
        <v>0.20614972768082662</v>
      </c>
      <c r="E359" s="102">
        <f t="shared" si="49"/>
        <v>8.3878298401072193</v>
      </c>
      <c r="F359" s="103">
        <f t="shared" si="46"/>
        <v>10.076792163048442</v>
      </c>
      <c r="G359" s="98">
        <f t="shared" si="48"/>
        <v>1.015887381351245</v>
      </c>
    </row>
    <row r="360" spans="1:7" x14ac:dyDescent="0.25">
      <c r="A360" s="99">
        <f>2022</f>
        <v>2022</v>
      </c>
      <c r="B360" s="100" t="s">
        <v>34</v>
      </c>
      <c r="C360" s="101">
        <f t="shared" si="44"/>
        <v>1185.0418880194782</v>
      </c>
      <c r="D360" s="102">
        <v>-0.698293943789563</v>
      </c>
      <c r="E360" s="102">
        <f t="shared" si="49"/>
        <v>7.6309641885288215</v>
      </c>
      <c r="F360" s="103">
        <f t="shared" si="46"/>
        <v>8.5874515481677562</v>
      </c>
      <c r="G360" s="98">
        <f t="shared" si="48"/>
        <v>1.0230311458860484</v>
      </c>
    </row>
    <row r="361" spans="1:7" x14ac:dyDescent="0.25">
      <c r="A361" s="99">
        <f>2022</f>
        <v>2022</v>
      </c>
      <c r="B361" s="100" t="s">
        <v>36</v>
      </c>
      <c r="C361" s="101">
        <f t="shared" si="44"/>
        <v>1173.8305295712482</v>
      </c>
      <c r="D361" s="102">
        <v>-0.94607275587255124</v>
      </c>
      <c r="E361" s="102">
        <f t="shared" si="49"/>
        <v>6.6126969594582086</v>
      </c>
      <c r="F361" s="103">
        <f t="shared" si="46"/>
        <v>8.2523295877939375</v>
      </c>
      <c r="G361" s="98">
        <f t="shared" si="48"/>
        <v>1.0328022061807753</v>
      </c>
    </row>
    <row r="362" spans="1:7" x14ac:dyDescent="0.25">
      <c r="A362" s="99">
        <f>2022</f>
        <v>2022</v>
      </c>
      <c r="B362" s="100" t="s">
        <v>35</v>
      </c>
      <c r="C362" s="101">
        <f t="shared" si="44"/>
        <v>1162.4281650161936</v>
      </c>
      <c r="D362" s="102">
        <v>-0.97138081416398014</v>
      </c>
      <c r="E362" s="102">
        <f t="shared" si="49"/>
        <v>5.5770816757312325</v>
      </c>
      <c r="F362" s="103">
        <f t="shared" si="46"/>
        <v>6.5159999743421571</v>
      </c>
      <c r="G362" s="98">
        <f t="shared" si="48"/>
        <v>1.0429330578089049</v>
      </c>
    </row>
    <row r="363" spans="1:7" x14ac:dyDescent="0.25">
      <c r="A363" s="99">
        <f>2022</f>
        <v>2022</v>
      </c>
      <c r="B363" s="100" t="s">
        <v>25</v>
      </c>
      <c r="C363" s="101">
        <f t="shared" si="44"/>
        <v>1155.8659552099955</v>
      </c>
      <c r="D363" s="102">
        <v>-0.56452605018449953</v>
      </c>
      <c r="E363" s="102">
        <f t="shared" si="49"/>
        <v>4.9810715466471756</v>
      </c>
      <c r="F363" s="103">
        <f t="shared" si="46"/>
        <v>5.8952819237679366</v>
      </c>
      <c r="G363" s="98">
        <f t="shared" si="48"/>
        <v>1.0488541125024125</v>
      </c>
    </row>
    <row r="364" spans="1:7" x14ac:dyDescent="0.25">
      <c r="A364" s="99">
        <f>2022</f>
        <v>2022</v>
      </c>
      <c r="B364" s="100" t="s">
        <v>26</v>
      </c>
      <c r="C364" s="101">
        <f t="shared" si="44"/>
        <v>1161.043120733721</v>
      </c>
      <c r="D364" s="102">
        <v>0.4479036258823843</v>
      </c>
      <c r="E364" s="102">
        <f t="shared" si="49"/>
        <v>5.4512855725947773</v>
      </c>
      <c r="F364" s="103">
        <f t="shared" si="46"/>
        <v>5.4512855725947773</v>
      </c>
      <c r="G364" s="98">
        <f t="shared" si="48"/>
        <v>1.0441772049408451</v>
      </c>
    </row>
    <row r="365" spans="1:7" x14ac:dyDescent="0.25">
      <c r="A365" s="99">
        <f>2023</f>
        <v>2023</v>
      </c>
      <c r="B365" s="100" t="s">
        <v>27</v>
      </c>
      <c r="C365" s="101">
        <f t="shared" si="44"/>
        <v>1163.5021993550924</v>
      </c>
      <c r="D365" s="102">
        <v>0.21179907769639517</v>
      </c>
      <c r="E365" s="102">
        <f t="shared" ref="E365:E376" si="50">100*((C365/$C$364-1))</f>
        <v>0.21179907769639517</v>
      </c>
      <c r="F365" s="103">
        <f t="shared" si="46"/>
        <v>3.788228178615638</v>
      </c>
      <c r="G365" s="98">
        <f t="shared" si="48"/>
        <v>1.0419703214102281</v>
      </c>
    </row>
    <row r="366" spans="1:7" x14ac:dyDescent="0.25">
      <c r="A366" s="99">
        <f>2023</f>
        <v>2023</v>
      </c>
      <c r="B366" s="100" t="s">
        <v>28</v>
      </c>
      <c r="C366" s="101">
        <f t="shared" si="44"/>
        <v>1162.798176846168</v>
      </c>
      <c r="D366" s="102">
        <v>-6.050891088257293E-2</v>
      </c>
      <c r="E366" s="102">
        <f t="shared" si="50"/>
        <v>0.151162009498651</v>
      </c>
      <c r="F366" s="103">
        <f t="shared" si="46"/>
        <v>1.8584446005679878</v>
      </c>
      <c r="G366" s="98">
        <f t="shared" si="48"/>
        <v>1.0426011880339561</v>
      </c>
    </row>
    <row r="367" spans="1:7" x14ac:dyDescent="0.25">
      <c r="A367" s="99">
        <f>2023</f>
        <v>2023</v>
      </c>
      <c r="B367" s="100" t="s">
        <v>29</v>
      </c>
      <c r="C367" s="101">
        <f t="shared" si="44"/>
        <v>1163.3961959659646</v>
      </c>
      <c r="D367" s="102">
        <v>5.1429313504658403E-2</v>
      </c>
      <c r="E367" s="102">
        <f t="shared" si="50"/>
        <v>0.20266906458707989</v>
      </c>
      <c r="F367" s="103">
        <f t="shared" si="46"/>
        <v>0.16712329238912638</v>
      </c>
      <c r="G367" s="98">
        <f t="shared" si="48"/>
        <v>1.0420652610239409</v>
      </c>
    </row>
    <row r="368" spans="1:7" x14ac:dyDescent="0.25">
      <c r="A368" s="99">
        <f>2023</f>
        <v>2023</v>
      </c>
      <c r="B368" s="100" t="s">
        <v>30</v>
      </c>
      <c r="C368" s="101">
        <f t="shared" si="44"/>
        <v>1152.3438426014266</v>
      </c>
      <c r="D368" s="102">
        <v>-0.9500076932399959</v>
      </c>
      <c r="E368" s="102">
        <f t="shared" si="50"/>
        <v>-0.74926400035830731</v>
      </c>
      <c r="F368" s="103">
        <f t="shared" si="46"/>
        <v>-2.1652067525379737</v>
      </c>
      <c r="G368" s="98">
        <f t="shared" si="48"/>
        <v>1.0520599111170468</v>
      </c>
    </row>
    <row r="369" spans="1:7" x14ac:dyDescent="0.25">
      <c r="A369" s="99">
        <f>2023</f>
        <v>2023</v>
      </c>
      <c r="B369" s="100" t="s">
        <v>31</v>
      </c>
      <c r="C369" s="101">
        <f t="shared" si="44"/>
        <v>1131.0941632091833</v>
      </c>
      <c r="D369" s="102">
        <v>-1.8440398261921565</v>
      </c>
      <c r="E369" s="102">
        <f t="shared" si="50"/>
        <v>-2.5794870999805264</v>
      </c>
      <c r="F369" s="103">
        <f t="shared" si="46"/>
        <v>-4.4676604561160627</v>
      </c>
      <c r="G369" s="98">
        <f t="shared" si="48"/>
        <v>1.071824787057384</v>
      </c>
    </row>
    <row r="370" spans="1:7" x14ac:dyDescent="0.25">
      <c r="A370" s="99">
        <f>2023</f>
        <v>2023</v>
      </c>
      <c r="B370" s="100" t="s">
        <v>32</v>
      </c>
      <c r="C370" s="101">
        <f t="shared" si="44"/>
        <v>1109.2654653046284</v>
      </c>
      <c r="D370" s="102">
        <v>-1.9298745068776268</v>
      </c>
      <c r="E370" s="102">
        <f t="shared" si="50"/>
        <v>-4.459580742907443</v>
      </c>
      <c r="F370" s="103">
        <f t="shared" si="46"/>
        <v>-6.8564307798757662</v>
      </c>
      <c r="G370" s="98">
        <f t="shared" si="48"/>
        <v>1.0929167079862163</v>
      </c>
    </row>
    <row r="371" spans="1:7" x14ac:dyDescent="0.25">
      <c r="A371" s="99">
        <f>2023</f>
        <v>2023</v>
      </c>
      <c r="B371" s="100" t="s">
        <v>33</v>
      </c>
      <c r="C371" s="101">
        <f t="shared" si="44"/>
        <v>1101.2392086900984</v>
      </c>
      <c r="D371" s="102">
        <v>-0.72356499553745124</v>
      </c>
      <c r="E371" s="102">
        <f t="shared" si="50"/>
        <v>-5.1508777732414917</v>
      </c>
      <c r="F371" s="103">
        <f t="shared" si="46"/>
        <v>-7.7206187355290385</v>
      </c>
      <c r="G371" s="98">
        <f t="shared" si="48"/>
        <v>1.1008823070017462</v>
      </c>
    </row>
    <row r="372" spans="1:7" x14ac:dyDescent="0.25">
      <c r="A372" s="99">
        <f>2023</f>
        <v>2023</v>
      </c>
      <c r="B372" s="100" t="s">
        <v>34</v>
      </c>
      <c r="C372" s="101">
        <f t="shared" si="44"/>
        <v>1099.7451609225795</v>
      </c>
      <c r="D372" s="102">
        <v>-0.13566968518093914</v>
      </c>
      <c r="E372" s="102">
        <f t="shared" si="50"/>
        <v>-5.2795592787634131</v>
      </c>
      <c r="F372" s="103">
        <f t="shared" si="46"/>
        <v>-7.1977816108637516</v>
      </c>
      <c r="G372" s="98">
        <f t="shared" si="48"/>
        <v>1.1023778996276752</v>
      </c>
    </row>
    <row r="373" spans="1:7" x14ac:dyDescent="0.25">
      <c r="A373" s="99">
        <f>2023</f>
        <v>2023</v>
      </c>
      <c r="B373" s="100" t="s">
        <v>36</v>
      </c>
      <c r="C373" s="101">
        <f t="shared" si="44"/>
        <v>1103.775289773384</v>
      </c>
      <c r="D373" s="102">
        <v>0.36646024861100024</v>
      </c>
      <c r="E373" s="102">
        <f t="shared" si="50"/>
        <v>-4.9324465162109306</v>
      </c>
      <c r="F373" s="103">
        <f t="shared" si="46"/>
        <v>-5.9680880700429988</v>
      </c>
      <c r="G373" s="98">
        <f t="shared" si="48"/>
        <v>1.0983528729588041</v>
      </c>
    </row>
    <row r="374" spans="1:7" x14ac:dyDescent="0.25">
      <c r="A374" s="99">
        <f>2023</f>
        <v>2023</v>
      </c>
      <c r="B374" s="100" t="s">
        <v>35</v>
      </c>
      <c r="C374" s="101">
        <f t="shared" si="44"/>
        <v>1109.2714654964661</v>
      </c>
      <c r="D374" s="102">
        <v>0.49794335622521668</v>
      </c>
      <c r="E374" s="102">
        <f t="shared" si="50"/>
        <v>-4.459063949712549</v>
      </c>
      <c r="F374" s="103">
        <f t="shared" si="46"/>
        <v>-4.5729018892954105</v>
      </c>
      <c r="G374" s="98">
        <f t="shared" si="48"/>
        <v>1.0929107962593627</v>
      </c>
    </row>
    <row r="375" spans="1:7" x14ac:dyDescent="0.25">
      <c r="A375" s="99">
        <f>2023</f>
        <v>2023</v>
      </c>
      <c r="B375" s="100" t="s">
        <v>25</v>
      </c>
      <c r="C375" s="101">
        <f t="shared" si="44"/>
        <v>1115.8506758462036</v>
      </c>
      <c r="D375" s="102">
        <v>0.59311093401224202</v>
      </c>
      <c r="E375" s="102">
        <f t="shared" si="50"/>
        <v>-3.8924002115406475</v>
      </c>
      <c r="F375" s="103">
        <f t="shared" si="46"/>
        <v>-3.4619307873396177</v>
      </c>
      <c r="G375" s="98">
        <f t="shared" si="48"/>
        <v>1.0864668426213577</v>
      </c>
    </row>
    <row r="376" spans="1:7" x14ac:dyDescent="0.25">
      <c r="A376" s="99">
        <f>2023</f>
        <v>2023</v>
      </c>
      <c r="B376" s="100" t="s">
        <v>26</v>
      </c>
      <c r="C376" s="101">
        <f t="shared" si="44"/>
        <v>1124.1079398464742</v>
      </c>
      <c r="D376" s="102">
        <v>0.73999722176165683</v>
      </c>
      <c r="E376" s="102">
        <f t="shared" si="50"/>
        <v>-3.1812066432042263</v>
      </c>
      <c r="F376" s="103">
        <f t="shared" si="46"/>
        <v>-3.1812066432042263</v>
      </c>
      <c r="G376" s="98">
        <f t="shared" si="48"/>
        <v>1.078486075624649</v>
      </c>
    </row>
    <row r="377" spans="1:7" x14ac:dyDescent="0.25">
      <c r="A377" s="99">
        <f>2024</f>
        <v>2024</v>
      </c>
      <c r="B377" s="100" t="s">
        <v>27</v>
      </c>
      <c r="C377" s="101">
        <f t="shared" si="44"/>
        <v>1124.9149656486079</v>
      </c>
      <c r="D377" s="102">
        <v>7.1792554213612192E-2</v>
      </c>
      <c r="E377" s="102">
        <f t="shared" ref="E377:E388" si="51">100*((C377/$C$376-1))</f>
        <v>7.1792554213612192E-2</v>
      </c>
      <c r="F377" s="103">
        <f t="shared" si="46"/>
        <v>-3.316472777436319</v>
      </c>
      <c r="G377" s="98">
        <f t="shared" si="48"/>
        <v>1.0777123583954813</v>
      </c>
    </row>
    <row r="378" spans="1:7" x14ac:dyDescent="0.25">
      <c r="A378" s="99">
        <f>2024</f>
        <v>2024</v>
      </c>
      <c r="B378" s="100" t="s">
        <v>28</v>
      </c>
      <c r="C378" s="101">
        <f t="shared" si="44"/>
        <v>1119.0967796302507</v>
      </c>
      <c r="D378" s="102">
        <v>-0.51721118449183923</v>
      </c>
      <c r="E378" s="102">
        <f t="shared" si="51"/>
        <v>-0.44578994939826755</v>
      </c>
      <c r="F378" s="103">
        <f t="shared" si="46"/>
        <v>-3.7582959868794785</v>
      </c>
      <c r="G378" s="98">
        <f t="shared" si="48"/>
        <v>1.0833153867390164</v>
      </c>
    </row>
    <row r="379" spans="1:7" x14ac:dyDescent="0.25">
      <c r="A379" s="99">
        <f>2024</f>
        <v>2024</v>
      </c>
      <c r="B379" s="100" t="s">
        <v>29</v>
      </c>
      <c r="C379" s="101">
        <f t="shared" si="44"/>
        <v>1113.8726126037986</v>
      </c>
      <c r="D379" s="102">
        <v>-0.46681994994016707</v>
      </c>
      <c r="E379" s="102">
        <f t="shared" si="51"/>
        <v>-0.91052886291982382</v>
      </c>
      <c r="F379" s="103">
        <f t="shared" si="46"/>
        <v>-4.2568115259347783</v>
      </c>
      <c r="G379" s="98">
        <f t="shared" si="48"/>
        <v>1.0883962375101119</v>
      </c>
    </row>
    <row r="380" spans="1:7" x14ac:dyDescent="0.25">
      <c r="A380" s="99">
        <f>2024</f>
        <v>2024</v>
      </c>
      <c r="B380" s="100" t="s">
        <v>30</v>
      </c>
      <c r="C380" s="101">
        <f t="shared" si="44"/>
        <v>1117.315722686508</v>
      </c>
      <c r="D380" s="102">
        <v>0.30911165637341753</v>
      </c>
      <c r="E380" s="102">
        <f t="shared" si="51"/>
        <v>-0.60423175739634516</v>
      </c>
      <c r="F380" s="103">
        <f t="shared" si="46"/>
        <v>-3.0397281280075461</v>
      </c>
      <c r="G380" s="98">
        <f t="shared" si="48"/>
        <v>1.0850422454528414</v>
      </c>
    </row>
    <row r="381" spans="1:7" x14ac:dyDescent="0.25">
      <c r="A381" s="99">
        <f>2024</f>
        <v>2024</v>
      </c>
      <c r="B381" s="100" t="s">
        <v>31</v>
      </c>
      <c r="C381" s="101">
        <f t="shared" si="44"/>
        <v>1127.2690409128243</v>
      </c>
      <c r="D381" s="102">
        <v>0.8908241443505549</v>
      </c>
      <c r="E381" s="102">
        <f t="shared" si="51"/>
        <v>0.28120974457148673</v>
      </c>
      <c r="F381" s="103">
        <f t="shared" si="46"/>
        <v>-0.33817894396220849</v>
      </c>
      <c r="G381" s="98">
        <f t="shared" si="48"/>
        <v>1.075461772321739</v>
      </c>
    </row>
    <row r="382" spans="1:7" x14ac:dyDescent="0.25">
      <c r="A382" s="99">
        <f>2024</f>
        <v>2024</v>
      </c>
      <c r="B382" s="100" t="s">
        <v>32</v>
      </c>
      <c r="C382" s="101">
        <f t="shared" ref="C382:C389" si="52">+C381*(1+D382/100)</f>
        <v>1136.4453342961942</v>
      </c>
      <c r="D382" s="102">
        <v>0.81402868794651084</v>
      </c>
      <c r="E382" s="102">
        <f t="shared" si="51"/>
        <v>1.0975275605121126</v>
      </c>
      <c r="F382" s="103">
        <f t="shared" si="46"/>
        <v>2.4502582872803824</v>
      </c>
      <c r="G382" s="98">
        <f t="shared" si="48"/>
        <v>1.0667778942260671</v>
      </c>
    </row>
    <row r="383" spans="1:7" x14ac:dyDescent="0.25">
      <c r="A383" s="99">
        <f>2024</f>
        <v>2024</v>
      </c>
      <c r="B383" s="100" t="s">
        <v>33</v>
      </c>
      <c r="C383" s="101">
        <f t="shared" si="52"/>
        <v>1143.3495550371254</v>
      </c>
      <c r="D383" s="102">
        <v>0.60752774749230909</v>
      </c>
      <c r="E383" s="102">
        <f t="shared" si="51"/>
        <v>1.7117230924709181</v>
      </c>
      <c r="F383" s="103">
        <f t="shared" si="46"/>
        <v>3.8239054707393194</v>
      </c>
      <c r="G383" s="98">
        <f t="shared" si="48"/>
        <v>1.0603360584542909</v>
      </c>
    </row>
    <row r="384" spans="1:7" x14ac:dyDescent="0.25">
      <c r="A384" s="99">
        <f>2024</f>
        <v>2024</v>
      </c>
      <c r="B384" s="100" t="s">
        <v>34</v>
      </c>
      <c r="C384" s="101">
        <f t="shared" si="52"/>
        <v>1146.611659332739</v>
      </c>
      <c r="D384" s="102">
        <v>0.28531119649648495</v>
      </c>
      <c r="E384" s="102">
        <f t="shared" si="51"/>
        <v>2.0019180266032333</v>
      </c>
      <c r="F384" s="103">
        <f t="shared" si="46"/>
        <v>4.2615780523956204</v>
      </c>
      <c r="G384" s="98">
        <f t="shared" si="48"/>
        <v>1.0573194078011041</v>
      </c>
    </row>
    <row r="385" spans="1:8" x14ac:dyDescent="0.25">
      <c r="A385" s="99">
        <f>2024</f>
        <v>2024</v>
      </c>
      <c r="B385" s="100" t="s">
        <v>36</v>
      </c>
      <c r="C385" s="101">
        <f t="shared" si="52"/>
        <v>1153.7548877151944</v>
      </c>
      <c r="D385" s="102">
        <v>0.62298584915945199</v>
      </c>
      <c r="E385" s="102">
        <f t="shared" si="51"/>
        <v>2.6373755417802069</v>
      </c>
      <c r="F385" s="103">
        <f t="shared" si="46"/>
        <v>4.528059144363672</v>
      </c>
      <c r="G385" s="98">
        <f t="shared" si="48"/>
        <v>1.0507732392140461</v>
      </c>
    </row>
    <row r="386" spans="1:8" x14ac:dyDescent="0.25">
      <c r="A386" s="99">
        <f>2024</f>
        <v>2024</v>
      </c>
      <c r="B386" s="100" t="s">
        <v>35</v>
      </c>
      <c r="C386" s="101">
        <f t="shared" si="52"/>
        <v>1171.3094489675564</v>
      </c>
      <c r="D386" s="102">
        <v>1.5215156563388899</v>
      </c>
      <c r="E386" s="102">
        <f t="shared" si="51"/>
        <v>4.1990192799037374</v>
      </c>
      <c r="F386" s="103">
        <f t="shared" si="46"/>
        <v>5.5926782037365896</v>
      </c>
      <c r="G386" s="98">
        <f t="shared" si="48"/>
        <v>1.035025169217356</v>
      </c>
    </row>
    <row r="387" spans="1:8" x14ac:dyDescent="0.25">
      <c r="A387" s="99">
        <f>2024</f>
        <v>2024</v>
      </c>
      <c r="B387" s="100" t="s">
        <v>25</v>
      </c>
      <c r="C387" s="101">
        <f t="shared" si="52"/>
        <v>1186.4999346359725</v>
      </c>
      <c r="D387" s="102">
        <v>1.296880656243804</v>
      </c>
      <c r="E387" s="102">
        <f t="shared" si="51"/>
        <v>5.5503562049405542</v>
      </c>
      <c r="F387" s="103">
        <f t="shared" si="46"/>
        <v>6.3314259084166657</v>
      </c>
      <c r="G387" s="98">
        <f t="shared" si="48"/>
        <v>1.0217739801186645</v>
      </c>
    </row>
    <row r="388" spans="1:8" x14ac:dyDescent="0.25">
      <c r="A388" s="99">
        <f>2024</f>
        <v>2024</v>
      </c>
      <c r="B388" s="100" t="s">
        <v>26</v>
      </c>
      <c r="C388" s="101">
        <f t="shared" si="52"/>
        <v>1197.6002895352099</v>
      </c>
      <c r="D388" s="102">
        <v>0.93555461531846795</v>
      </c>
      <c r="E388" s="102">
        <f t="shared" si="51"/>
        <v>6.5378374339009504</v>
      </c>
      <c r="F388" s="103">
        <f t="shared" si="46"/>
        <v>6.5378374339009504</v>
      </c>
      <c r="G388" s="98">
        <f t="shared" si="48"/>
        <v>1.0123033295975918</v>
      </c>
    </row>
    <row r="389" spans="1:8" x14ac:dyDescent="0.25">
      <c r="A389" s="99">
        <f>2025</f>
        <v>2025</v>
      </c>
      <c r="B389" s="100" t="s">
        <v>27</v>
      </c>
      <c r="C389" s="101">
        <f t="shared" si="52"/>
        <v>1200.8133922641516</v>
      </c>
      <c r="D389" s="102">
        <v>0.26829508618344544</v>
      </c>
      <c r="E389" s="102">
        <f>100*((C389/$C$388-1))</f>
        <v>0.26829508618344544</v>
      </c>
      <c r="F389" s="103">
        <f t="shared" si="46"/>
        <v>6.7470367924016283</v>
      </c>
      <c r="G389" s="98">
        <f t="shared" si="48"/>
        <v>1.0095946367966946</v>
      </c>
      <c r="H389" s="648"/>
    </row>
    <row r="390" spans="1:8" x14ac:dyDescent="0.25">
      <c r="A390" s="99">
        <f>2025</f>
        <v>2025</v>
      </c>
      <c r="B390" s="100" t="s">
        <v>28</v>
      </c>
      <c r="C390" s="101">
        <f t="shared" ref="C390" si="53">+C389*(1+D390/100)</f>
        <v>1213.5527995665961</v>
      </c>
      <c r="D390" s="102">
        <v>1.0608981699</v>
      </c>
      <c r="E390" s="102">
        <f>100*((C390/$C$388-1))</f>
        <v>1.3320395937427065</v>
      </c>
      <c r="F390" s="103">
        <f t="shared" ref="F390" si="54">+((C390/C378)-1)*100</f>
        <v>8.4403799256355327</v>
      </c>
      <c r="G390" s="98">
        <f t="shared" si="48"/>
        <v>0.99899630329764122</v>
      </c>
    </row>
    <row r="391" spans="1:8" x14ac:dyDescent="0.25">
      <c r="A391" s="99">
        <f>2025</f>
        <v>2025</v>
      </c>
      <c r="B391" s="100" t="s">
        <v>29</v>
      </c>
      <c r="C391" s="101">
        <f t="shared" ref="C391" si="55">+C390*(1+D391/100)</f>
        <v>1209.4706690532337</v>
      </c>
      <c r="D391" s="102">
        <v>-0.3363784843</v>
      </c>
      <c r="E391" s="102">
        <f>100*((C391/$C$388-1))</f>
        <v>0.99118041484698161</v>
      </c>
      <c r="F391" s="103">
        <f t="shared" ref="F391" si="56">+((C391/C379)-1)*100</f>
        <v>8.5824945660495366</v>
      </c>
      <c r="G391" s="104">
        <f t="shared" si="48"/>
        <v>1.0023680537640001</v>
      </c>
    </row>
    <row r="392" spans="1:8" ht="16.5" thickBot="1" x14ac:dyDescent="0.3">
      <c r="A392" s="105">
        <f>2025</f>
        <v>2025</v>
      </c>
      <c r="B392" s="106" t="s">
        <v>30</v>
      </c>
      <c r="C392" s="107">
        <f t="shared" ref="C392" si="57">+C391*(1+D392/100)</f>
        <v>1212.3347606235329</v>
      </c>
      <c r="D392" s="108">
        <v>0.23680537639999999</v>
      </c>
      <c r="E392" s="108">
        <f>100*((C392/$C$388-1))</f>
        <v>1.2303329597591839</v>
      </c>
      <c r="F392" s="109">
        <f t="shared" ref="F392" si="58">+((C392/C380)-1)*100</f>
        <v>8.5042245452841456</v>
      </c>
      <c r="G392" s="110">
        <f t="shared" si="48"/>
        <v>1</v>
      </c>
    </row>
    <row r="393" spans="1:8" x14ac:dyDescent="0.25">
      <c r="A393" s="111" t="s">
        <v>37</v>
      </c>
      <c r="B393" s="112"/>
      <c r="C393" s="112"/>
      <c r="D393" s="112"/>
      <c r="E393" s="112"/>
      <c r="F393" s="112"/>
      <c r="G393" s="112"/>
    </row>
    <row r="394" spans="1:8" ht="15" customHeight="1" x14ac:dyDescent="0.25">
      <c r="A394" s="681" t="s">
        <v>38</v>
      </c>
      <c r="B394" s="681"/>
      <c r="C394" s="681"/>
      <c r="D394" s="681"/>
      <c r="E394" s="681"/>
      <c r="F394" s="681"/>
      <c r="G394" s="681"/>
    </row>
    <row r="395" spans="1:8" ht="15" customHeight="1" x14ac:dyDescent="0.25">
      <c r="A395" s="681"/>
      <c r="B395" s="681"/>
      <c r="C395" s="681"/>
      <c r="D395" s="681"/>
      <c r="E395" s="681"/>
      <c r="F395" s="681"/>
      <c r="G395" s="681"/>
    </row>
    <row r="396" spans="1:8" x14ac:dyDescent="0.25">
      <c r="A396" s="681"/>
      <c r="B396" s="681"/>
      <c r="C396" s="681"/>
      <c r="D396" s="681"/>
      <c r="E396" s="681"/>
      <c r="F396" s="681"/>
      <c r="G396" s="681"/>
    </row>
    <row r="397" spans="1:8" x14ac:dyDescent="0.25">
      <c r="A397" s="681"/>
      <c r="B397" s="681"/>
      <c r="C397" s="681"/>
      <c r="D397" s="681"/>
      <c r="E397" s="681"/>
      <c r="F397" s="681"/>
      <c r="G397" s="681"/>
    </row>
    <row r="398" spans="1:8" x14ac:dyDescent="0.25">
      <c r="A398" s="647">
        <v>28655</v>
      </c>
    </row>
    <row r="399" spans="1:8" ht="16.5" thickBot="1" x14ac:dyDescent="0.3">
      <c r="A399" s="113" t="s">
        <v>39</v>
      </c>
      <c r="B399" s="113"/>
      <c r="C399" s="113"/>
    </row>
    <row r="400" spans="1:8" ht="16.5" thickBot="1" x14ac:dyDescent="0.3">
      <c r="A400" s="114" t="s">
        <v>40</v>
      </c>
      <c r="B400" s="115">
        <v>0.6</v>
      </c>
      <c r="C400" s="113"/>
      <c r="E400" s="116"/>
    </row>
    <row r="401" spans="1:5" ht="16.5" thickBot="1" x14ac:dyDescent="0.3">
      <c r="A401" s="117" t="s">
        <v>41</v>
      </c>
      <c r="B401" s="118">
        <v>0.3</v>
      </c>
      <c r="C401" s="113"/>
      <c r="E401" s="116"/>
    </row>
    <row r="402" spans="1:5" ht="16.5" thickBot="1" x14ac:dyDescent="0.3">
      <c r="A402" s="119" t="s">
        <v>42</v>
      </c>
      <c r="B402" s="120">
        <v>0.1</v>
      </c>
      <c r="C402" s="113"/>
    </row>
  </sheetData>
  <mergeCells count="7">
    <mergeCell ref="A394:G397"/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E4E9-CE82-4C90-B16C-3A53F81A5D4A}">
  <dimension ref="A1:G384"/>
  <sheetViews>
    <sheetView showGridLines="0" workbookViewId="0">
      <pane ySplit="2595" topLeftCell="A374" activePane="bottomLeft"/>
      <selection activeCell="J1" sqref="J1:L1048576"/>
      <selection pane="bottomLeft" activeCell="A384" sqref="A384"/>
    </sheetView>
  </sheetViews>
  <sheetFormatPr defaultRowHeight="15" x14ac:dyDescent="0.25"/>
  <cols>
    <col min="1" max="1" width="9.140625" style="128"/>
    <col min="2" max="2" width="11.42578125" style="128" customWidth="1"/>
    <col min="3" max="3" width="15.7109375" style="128" customWidth="1"/>
    <col min="4" max="4" width="9.140625" style="128"/>
    <col min="5" max="5" width="11" style="128" customWidth="1"/>
    <col min="6" max="6" width="9.140625" style="128"/>
    <col min="7" max="7" width="13.140625" style="128" bestFit="1" customWidth="1"/>
    <col min="8" max="16384" width="9.140625" style="128"/>
  </cols>
  <sheetData>
    <row r="1" spans="1:7" s="121" customFormat="1" ht="21" customHeight="1" x14ac:dyDescent="0.25">
      <c r="A1" s="697" t="s">
        <v>48</v>
      </c>
      <c r="B1" s="697"/>
      <c r="C1" s="697"/>
      <c r="D1" s="697"/>
      <c r="E1" s="697"/>
      <c r="F1" s="697"/>
      <c r="G1" s="697"/>
    </row>
    <row r="2" spans="1:7" s="121" customFormat="1" ht="15.75" customHeight="1" x14ac:dyDescent="0.25">
      <c r="A2" s="697"/>
      <c r="B2" s="697"/>
      <c r="C2" s="697"/>
      <c r="D2" s="697"/>
      <c r="E2" s="697"/>
      <c r="F2" s="697"/>
      <c r="G2" s="697"/>
    </row>
    <row r="3" spans="1:7" s="121" customFormat="1" ht="15" customHeight="1" thickBot="1" x14ac:dyDescent="0.3">
      <c r="A3" s="698"/>
      <c r="B3" s="698"/>
      <c r="C3" s="698"/>
      <c r="D3" s="698"/>
      <c r="E3" s="698"/>
      <c r="F3" s="698"/>
      <c r="G3" s="698"/>
    </row>
    <row r="4" spans="1:7" s="121" customFormat="1" ht="17.25" customHeight="1" thickBot="1" x14ac:dyDescent="0.3">
      <c r="A4" s="699" t="s">
        <v>43</v>
      </c>
      <c r="B4" s="700"/>
      <c r="C4" s="701"/>
      <c r="D4" s="702" t="s">
        <v>2</v>
      </c>
      <c r="E4" s="703"/>
      <c r="F4" s="703"/>
      <c r="G4" s="703"/>
    </row>
    <row r="5" spans="1:7" s="121" customFormat="1" ht="15" customHeight="1" thickBot="1" x14ac:dyDescent="0.3">
      <c r="A5" s="704" t="s">
        <v>3</v>
      </c>
      <c r="B5" s="705"/>
      <c r="C5" s="706"/>
      <c r="D5" s="707" t="s">
        <v>4</v>
      </c>
      <c r="E5" s="708"/>
      <c r="F5" s="708"/>
      <c r="G5" s="709" t="s">
        <v>5</v>
      </c>
    </row>
    <row r="6" spans="1:7" s="121" customFormat="1" ht="15.75" customHeight="1" thickBot="1" x14ac:dyDescent="0.3">
      <c r="A6" s="122" t="s">
        <v>6</v>
      </c>
      <c r="B6" s="123" t="s">
        <v>7</v>
      </c>
      <c r="C6" s="123" t="s">
        <v>8</v>
      </c>
      <c r="D6" s="123" t="s">
        <v>9</v>
      </c>
      <c r="E6" s="123" t="s">
        <v>10</v>
      </c>
      <c r="F6" s="649" t="s">
        <v>11</v>
      </c>
      <c r="G6" s="710"/>
    </row>
    <row r="7" spans="1:7" x14ac:dyDescent="0.25">
      <c r="A7" s="124">
        <v>1994</v>
      </c>
      <c r="B7" s="125" t="s">
        <v>20</v>
      </c>
      <c r="C7" s="126">
        <v>100</v>
      </c>
      <c r="D7" s="127"/>
      <c r="E7" s="127"/>
      <c r="F7" s="650"/>
      <c r="G7" s="652">
        <f>$C$375/C7</f>
        <v>11.92079</v>
      </c>
    </row>
    <row r="8" spans="1:7" x14ac:dyDescent="0.25">
      <c r="A8" s="129">
        <v>1994</v>
      </c>
      <c r="B8" s="130" t="s">
        <v>21</v>
      </c>
      <c r="C8" s="131">
        <f t="shared" ref="C8:C71" si="0">C7*(1+D8/100)</f>
        <v>101.54900000000001</v>
      </c>
      <c r="D8" s="132">
        <v>1.5490000000000004</v>
      </c>
      <c r="E8" s="133">
        <f>(C8)-100</f>
        <v>1.5490000000000066</v>
      </c>
      <c r="F8" s="134"/>
      <c r="G8" s="653">
        <f>$C$375/C8</f>
        <v>11.738953608602742</v>
      </c>
    </row>
    <row r="9" spans="1:7" x14ac:dyDescent="0.25">
      <c r="A9" s="129">
        <v>1994</v>
      </c>
      <c r="B9" s="130" t="s">
        <v>22</v>
      </c>
      <c r="C9" s="131">
        <f t="shared" si="0"/>
        <v>104.14300000000001</v>
      </c>
      <c r="D9" s="132">
        <v>2.5544318506336872</v>
      </c>
      <c r="E9" s="133">
        <f>(C9/$C$7-1)*100</f>
        <v>4.1430000000000078</v>
      </c>
      <c r="F9" s="651"/>
      <c r="G9" s="653">
        <f>$C$375/C9</f>
        <v>11.446559058218025</v>
      </c>
    </row>
    <row r="10" spans="1:7" x14ac:dyDescent="0.25">
      <c r="A10" s="129">
        <v>1994</v>
      </c>
      <c r="B10" s="130" t="s">
        <v>23</v>
      </c>
      <c r="C10" s="131">
        <f t="shared" si="0"/>
        <v>106.72000000000001</v>
      </c>
      <c r="D10" s="132">
        <v>2.4744822023563762</v>
      </c>
      <c r="E10" s="133">
        <f t="shared" ref="E10" si="1">(C10/$C$7-1)*100</f>
        <v>6.7200000000000149</v>
      </c>
      <c r="F10" s="651"/>
      <c r="G10" s="653">
        <f t="shared" ref="G10:G73" si="2">$C$375/C10</f>
        <v>11.170155547226384</v>
      </c>
    </row>
    <row r="11" spans="1:7" x14ac:dyDescent="0.25">
      <c r="A11" s="129">
        <v>1994</v>
      </c>
      <c r="B11" s="130" t="s">
        <v>12</v>
      </c>
      <c r="C11" s="131">
        <f t="shared" si="0"/>
        <v>107.32500000000002</v>
      </c>
      <c r="D11" s="132">
        <v>0.56690404797601346</v>
      </c>
      <c r="E11" s="133">
        <f>(C11/$C$7-1)*100</f>
        <v>7.3250000000000259</v>
      </c>
      <c r="F11" s="651"/>
      <c r="G11" s="653">
        <f t="shared" si="2"/>
        <v>11.107188446307941</v>
      </c>
    </row>
    <row r="12" spans="1:7" x14ac:dyDescent="0.25">
      <c r="A12" s="129">
        <v>1995</v>
      </c>
      <c r="B12" s="130" t="s">
        <v>13</v>
      </c>
      <c r="C12" s="131">
        <f t="shared" si="0"/>
        <v>108.785</v>
      </c>
      <c r="D12" s="132">
        <v>1.3603540647565637</v>
      </c>
      <c r="E12" s="133">
        <f>(C12/$C$11-1)*100</f>
        <v>1.3603540647565637</v>
      </c>
      <c r="F12" s="651"/>
      <c r="G12" s="653">
        <f t="shared" si="2"/>
        <v>10.958119225996231</v>
      </c>
    </row>
    <row r="13" spans="1:7" x14ac:dyDescent="0.25">
      <c r="A13" s="129">
        <v>1995</v>
      </c>
      <c r="B13" s="130" t="s">
        <v>14</v>
      </c>
      <c r="C13" s="131">
        <f t="shared" si="0"/>
        <v>110.03900000000002</v>
      </c>
      <c r="D13" s="132">
        <v>1.1527324539228889</v>
      </c>
      <c r="E13" s="133">
        <f t="shared" ref="E13:E23" si="3">(C13/$C$11-1)*100</f>
        <v>2.5287677614721726</v>
      </c>
      <c r="F13" s="651"/>
      <c r="G13" s="653">
        <f t="shared" si="2"/>
        <v>10.833240941847889</v>
      </c>
    </row>
    <row r="14" spans="1:7" x14ac:dyDescent="0.25">
      <c r="A14" s="129">
        <v>1995</v>
      </c>
      <c r="B14" s="130" t="s">
        <v>15</v>
      </c>
      <c r="C14" s="131">
        <f t="shared" si="0"/>
        <v>112.03500000000001</v>
      </c>
      <c r="D14" s="132">
        <v>1.8139023437145019</v>
      </c>
      <c r="E14" s="133">
        <f t="shared" si="3"/>
        <v>4.3885394828790947</v>
      </c>
      <c r="F14" s="651"/>
      <c r="G14" s="653">
        <f t="shared" si="2"/>
        <v>10.640237425804434</v>
      </c>
    </row>
    <row r="15" spans="1:7" x14ac:dyDescent="0.25">
      <c r="A15" s="129">
        <v>1995</v>
      </c>
      <c r="B15" s="130" t="s">
        <v>16</v>
      </c>
      <c r="C15" s="131">
        <f t="shared" si="0"/>
        <v>114.61400000000002</v>
      </c>
      <c r="D15" s="132">
        <v>2.301959209175708</v>
      </c>
      <c r="E15" s="133">
        <f t="shared" si="3"/>
        <v>6.7915210808292548</v>
      </c>
      <c r="F15" s="651"/>
      <c r="G15" s="653">
        <f t="shared" si="2"/>
        <v>10.400814909173397</v>
      </c>
    </row>
    <row r="16" spans="1:7" x14ac:dyDescent="0.25">
      <c r="A16" s="129">
        <v>1995</v>
      </c>
      <c r="B16" s="130" t="s">
        <v>17</v>
      </c>
      <c r="C16" s="131">
        <f t="shared" si="0"/>
        <v>115.07100000000001</v>
      </c>
      <c r="D16" s="132">
        <v>0.39872964908300723</v>
      </c>
      <c r="E16" s="133">
        <f t="shared" si="3"/>
        <v>7.2173305380852426</v>
      </c>
      <c r="F16" s="651"/>
      <c r="G16" s="653">
        <f t="shared" si="2"/>
        <v>10.359508477374836</v>
      </c>
    </row>
    <row r="17" spans="1:7" x14ac:dyDescent="0.25">
      <c r="A17" s="129">
        <v>1995</v>
      </c>
      <c r="B17" s="130" t="s">
        <v>18</v>
      </c>
      <c r="C17" s="131">
        <f t="shared" si="0"/>
        <v>118.09000000000002</v>
      </c>
      <c r="D17" s="132">
        <v>2.6235976049569398</v>
      </c>
      <c r="E17" s="133">
        <f t="shared" si="3"/>
        <v>10.030281854181222</v>
      </c>
      <c r="F17" s="651"/>
      <c r="G17" s="653">
        <f t="shared" si="2"/>
        <v>10.094665085951391</v>
      </c>
    </row>
    <row r="18" spans="1:7" x14ac:dyDescent="0.25">
      <c r="A18" s="129">
        <v>1995</v>
      </c>
      <c r="B18" s="130" t="s">
        <v>19</v>
      </c>
      <c r="C18" s="131">
        <f t="shared" si="0"/>
        <v>120.73300000000003</v>
      </c>
      <c r="D18" s="132">
        <v>2.2381234651537074</v>
      </c>
      <c r="E18" s="133">
        <f t="shared" si="3"/>
        <v>12.492895411134409</v>
      </c>
      <c r="F18" s="651"/>
      <c r="G18" s="653">
        <f t="shared" si="2"/>
        <v>9.873679938376414</v>
      </c>
    </row>
    <row r="19" spans="1:7" x14ac:dyDescent="0.25">
      <c r="A19" s="129">
        <v>1995</v>
      </c>
      <c r="B19" s="130" t="s">
        <v>20</v>
      </c>
      <c r="C19" s="131">
        <f t="shared" si="0"/>
        <v>122.28900000000003</v>
      </c>
      <c r="D19" s="132">
        <v>1.2887942815965836</v>
      </c>
      <c r="E19" s="133">
        <f t="shared" si="3"/>
        <v>13.942697414395532</v>
      </c>
      <c r="F19" s="134">
        <f>100*(C19/C7-1)</f>
        <v>22.289000000000026</v>
      </c>
      <c r="G19" s="653">
        <f t="shared" si="2"/>
        <v>9.7480476575979829</v>
      </c>
    </row>
    <row r="20" spans="1:7" x14ac:dyDescent="0.25">
      <c r="A20" s="129">
        <v>1995</v>
      </c>
      <c r="B20" s="130" t="s">
        <v>21</v>
      </c>
      <c r="C20" s="131">
        <f t="shared" si="0"/>
        <v>120.96700000000003</v>
      </c>
      <c r="D20" s="132">
        <v>-1.081045719565954</v>
      </c>
      <c r="E20" s="133">
        <f t="shared" si="3"/>
        <v>12.710924761239228</v>
      </c>
      <c r="F20" s="134">
        <f t="shared" ref="F20:F83" si="4">100*(C20/C8-1)</f>
        <v>19.12180326738817</v>
      </c>
      <c r="G20" s="653">
        <f t="shared" si="2"/>
        <v>9.8545801747584019</v>
      </c>
    </row>
    <row r="21" spans="1:7" x14ac:dyDescent="0.25">
      <c r="A21" s="129">
        <v>1995</v>
      </c>
      <c r="B21" s="130" t="s">
        <v>22</v>
      </c>
      <c r="C21" s="131">
        <f t="shared" si="0"/>
        <v>121.24100000000004</v>
      </c>
      <c r="D21" s="132">
        <v>0.22650805591608592</v>
      </c>
      <c r="E21" s="133">
        <f t="shared" si="3"/>
        <v>12.966224085720967</v>
      </c>
      <c r="F21" s="134">
        <f t="shared" si="4"/>
        <v>16.417810126460751</v>
      </c>
      <c r="G21" s="653">
        <f t="shared" si="2"/>
        <v>9.8323092023325405</v>
      </c>
    </row>
    <row r="22" spans="1:7" x14ac:dyDescent="0.25">
      <c r="A22" s="129">
        <v>1995</v>
      </c>
      <c r="B22" s="130" t="s">
        <v>23</v>
      </c>
      <c r="C22" s="131">
        <f t="shared" si="0"/>
        <v>122.85000000000002</v>
      </c>
      <c r="D22" s="132">
        <v>1.327108816324496</v>
      </c>
      <c r="E22" s="133">
        <f t="shared" si="3"/>
        <v>14.465408805031444</v>
      </c>
      <c r="F22" s="134">
        <f t="shared" si="4"/>
        <v>15.114317841079462</v>
      </c>
      <c r="G22" s="653">
        <f t="shared" si="2"/>
        <v>9.7035327635327615</v>
      </c>
    </row>
    <row r="23" spans="1:7" x14ac:dyDescent="0.25">
      <c r="A23" s="129">
        <v>1995</v>
      </c>
      <c r="B23" s="130" t="s">
        <v>12</v>
      </c>
      <c r="C23" s="131">
        <f t="shared" si="0"/>
        <v>123.18700000000003</v>
      </c>
      <c r="D23" s="132">
        <v>0.27431827431827482</v>
      </c>
      <c r="E23" s="133">
        <f t="shared" si="3"/>
        <v>14.779408339156763</v>
      </c>
      <c r="F23" s="134">
        <f t="shared" si="4"/>
        <v>14.779408339156763</v>
      </c>
      <c r="G23" s="653">
        <f t="shared" si="2"/>
        <v>9.6769870197342236</v>
      </c>
    </row>
    <row r="24" spans="1:7" x14ac:dyDescent="0.25">
      <c r="A24" s="129">
        <v>1996</v>
      </c>
      <c r="B24" s="130" t="s">
        <v>13</v>
      </c>
      <c r="C24" s="131">
        <f t="shared" si="0"/>
        <v>125.39700000000005</v>
      </c>
      <c r="D24" s="132">
        <v>1.7940204729395282</v>
      </c>
      <c r="E24" s="133">
        <f>(C24/$C$23-1)*100</f>
        <v>1.7940204729395282</v>
      </c>
      <c r="F24" s="134">
        <f t="shared" si="4"/>
        <v>15.270487659144226</v>
      </c>
      <c r="G24" s="653">
        <f t="shared" si="2"/>
        <v>9.5064395479955621</v>
      </c>
    </row>
    <row r="25" spans="1:7" x14ac:dyDescent="0.25">
      <c r="A25" s="129">
        <v>1996</v>
      </c>
      <c r="B25" s="130" t="s">
        <v>14</v>
      </c>
      <c r="C25" s="131">
        <f t="shared" si="0"/>
        <v>126.35300000000004</v>
      </c>
      <c r="D25" s="132">
        <v>0.76237868529549502</v>
      </c>
      <c r="E25" s="133">
        <f t="shared" ref="E25:E35" si="5">(C25/$C$23-1)*100</f>
        <v>2.5700763879305422</v>
      </c>
      <c r="F25" s="134">
        <f t="shared" si="4"/>
        <v>14.82565272312546</v>
      </c>
      <c r="G25" s="653">
        <f t="shared" si="2"/>
        <v>9.4345128330945816</v>
      </c>
    </row>
    <row r="26" spans="1:7" x14ac:dyDescent="0.25">
      <c r="A26" s="129">
        <v>1996</v>
      </c>
      <c r="B26" s="130" t="s">
        <v>15</v>
      </c>
      <c r="C26" s="131">
        <f t="shared" si="0"/>
        <v>126.62700000000005</v>
      </c>
      <c r="D26" s="132">
        <v>0.21685278545029441</v>
      </c>
      <c r="E26" s="133">
        <f t="shared" si="5"/>
        <v>2.7925024556162859</v>
      </c>
      <c r="F26" s="134">
        <f t="shared" si="4"/>
        <v>13.024501271923983</v>
      </c>
      <c r="G26" s="653">
        <f t="shared" si="2"/>
        <v>9.4140980991415688</v>
      </c>
    </row>
    <row r="27" spans="1:7" x14ac:dyDescent="0.25">
      <c r="A27" s="129">
        <v>1996</v>
      </c>
      <c r="B27" s="130" t="s">
        <v>16</v>
      </c>
      <c r="C27" s="131">
        <f t="shared" si="0"/>
        <v>127.50900000000006</v>
      </c>
      <c r="D27" s="132">
        <v>0.69653391456798719</v>
      </c>
      <c r="E27" s="133">
        <f t="shared" si="5"/>
        <v>3.5084870968527859</v>
      </c>
      <c r="F27" s="134">
        <f t="shared" si="4"/>
        <v>11.250807056729585</v>
      </c>
      <c r="G27" s="653">
        <f t="shared" si="2"/>
        <v>9.3489792877365474</v>
      </c>
    </row>
    <row r="28" spans="1:7" x14ac:dyDescent="0.25">
      <c r="A28" s="129">
        <v>1996</v>
      </c>
      <c r="B28" s="130" t="s">
        <v>17</v>
      </c>
      <c r="C28" s="131">
        <f t="shared" si="0"/>
        <v>129.65500000000006</v>
      </c>
      <c r="D28" s="132">
        <v>1.6830184535993498</v>
      </c>
      <c r="E28" s="133">
        <f t="shared" si="5"/>
        <v>5.2505540357343117</v>
      </c>
      <c r="F28" s="134">
        <f t="shared" si="4"/>
        <v>12.673914365913252</v>
      </c>
      <c r="G28" s="653">
        <f t="shared" si="2"/>
        <v>9.1942385561682887</v>
      </c>
    </row>
    <row r="29" spans="1:7" x14ac:dyDescent="0.25">
      <c r="A29" s="129">
        <v>1996</v>
      </c>
      <c r="B29" s="130" t="s">
        <v>18</v>
      </c>
      <c r="C29" s="131">
        <f t="shared" si="0"/>
        <v>131.24000000000007</v>
      </c>
      <c r="D29" s="132">
        <v>1.2224750298870157</v>
      </c>
      <c r="E29" s="133">
        <f t="shared" si="5"/>
        <v>6.537215777638905</v>
      </c>
      <c r="F29" s="134">
        <f t="shared" si="4"/>
        <v>11.135574561774963</v>
      </c>
      <c r="G29" s="653">
        <f t="shared" si="2"/>
        <v>9.0831987199024642</v>
      </c>
    </row>
    <row r="30" spans="1:7" x14ac:dyDescent="0.25">
      <c r="A30" s="129">
        <v>1996</v>
      </c>
      <c r="B30" s="130" t="s">
        <v>19</v>
      </c>
      <c r="C30" s="131">
        <f t="shared" si="0"/>
        <v>132.67400000000006</v>
      </c>
      <c r="D30" s="132">
        <v>1.0926546784516988</v>
      </c>
      <c r="E30" s="133">
        <f t="shared" si="5"/>
        <v>7.7012996501254483</v>
      </c>
      <c r="F30" s="134">
        <f t="shared" si="4"/>
        <v>9.8904193551059283</v>
      </c>
      <c r="G30" s="653">
        <f t="shared" si="2"/>
        <v>8.985023440915322</v>
      </c>
    </row>
    <row r="31" spans="1:7" x14ac:dyDescent="0.25">
      <c r="A31" s="129">
        <v>1996</v>
      </c>
      <c r="B31" s="130" t="s">
        <v>20</v>
      </c>
      <c r="C31" s="131">
        <f t="shared" si="0"/>
        <v>132.67900000000006</v>
      </c>
      <c r="D31" s="132">
        <v>3.7686359045441264E-3</v>
      </c>
      <c r="E31" s="133">
        <f t="shared" si="5"/>
        <v>7.7053585199737151</v>
      </c>
      <c r="F31" s="134">
        <f t="shared" si="4"/>
        <v>8.496267039553862</v>
      </c>
      <c r="G31" s="653">
        <f t="shared" si="2"/>
        <v>8.9846848408564988</v>
      </c>
    </row>
    <row r="32" spans="1:7" x14ac:dyDescent="0.25">
      <c r="A32" s="129">
        <v>1996</v>
      </c>
      <c r="B32" s="130" t="s">
        <v>21</v>
      </c>
      <c r="C32" s="131">
        <f t="shared" si="0"/>
        <v>132.84900000000005</v>
      </c>
      <c r="D32" s="132">
        <v>0.12812879204695538</v>
      </c>
      <c r="E32" s="133">
        <f t="shared" si="5"/>
        <v>7.8433600948152105</v>
      </c>
      <c r="F32" s="134">
        <f t="shared" si="4"/>
        <v>9.8225135780833028</v>
      </c>
      <c r="G32" s="653">
        <f t="shared" si="2"/>
        <v>8.9731876039714233</v>
      </c>
    </row>
    <row r="33" spans="1:7" x14ac:dyDescent="0.25">
      <c r="A33" s="129">
        <v>1996</v>
      </c>
      <c r="B33" s="130" t="s">
        <v>22</v>
      </c>
      <c r="C33" s="131">
        <f t="shared" si="0"/>
        <v>133.14100000000005</v>
      </c>
      <c r="D33" s="132">
        <v>0.21979841775248143</v>
      </c>
      <c r="E33" s="133">
        <f t="shared" si="5"/>
        <v>8.0803980939547326</v>
      </c>
      <c r="F33" s="134">
        <f t="shared" si="4"/>
        <v>9.815161537763629</v>
      </c>
      <c r="G33" s="653">
        <f t="shared" si="2"/>
        <v>8.9535079351965177</v>
      </c>
    </row>
    <row r="34" spans="1:7" x14ac:dyDescent="0.25">
      <c r="A34" s="129">
        <v>1996</v>
      </c>
      <c r="B34" s="130" t="s">
        <v>23</v>
      </c>
      <c r="C34" s="131">
        <f t="shared" si="0"/>
        <v>133.51700000000005</v>
      </c>
      <c r="D34" s="132">
        <v>0.28240737263502957</v>
      </c>
      <c r="E34" s="133">
        <f t="shared" si="5"/>
        <v>8.3856251065453478</v>
      </c>
      <c r="F34" s="134">
        <f t="shared" si="4"/>
        <v>8.6829466829467137</v>
      </c>
      <c r="G34" s="653">
        <f t="shared" si="2"/>
        <v>8.9282937753244873</v>
      </c>
    </row>
    <row r="35" spans="1:7" x14ac:dyDescent="0.25">
      <c r="A35" s="129">
        <v>1996</v>
      </c>
      <c r="B35" s="130" t="s">
        <v>12</v>
      </c>
      <c r="C35" s="131">
        <f t="shared" si="0"/>
        <v>134.68900000000005</v>
      </c>
      <c r="D35" s="132">
        <v>0.87779084311361277</v>
      </c>
      <c r="E35" s="133">
        <f t="shared" si="5"/>
        <v>9.337024198982057</v>
      </c>
      <c r="F35" s="134">
        <f t="shared" si="4"/>
        <v>9.337024198982057</v>
      </c>
      <c r="G35" s="653">
        <f t="shared" si="2"/>
        <v>8.8506039839927499</v>
      </c>
    </row>
    <row r="36" spans="1:7" x14ac:dyDescent="0.25">
      <c r="A36" s="129">
        <v>1997</v>
      </c>
      <c r="B36" s="130" t="s">
        <v>13</v>
      </c>
      <c r="C36" s="131">
        <f t="shared" si="0"/>
        <v>136.81400000000005</v>
      </c>
      <c r="D36" s="132">
        <v>1.5777086473282909</v>
      </c>
      <c r="E36" s="133">
        <f>(C36/$C$35-1)*100</f>
        <v>1.5777086473282909</v>
      </c>
      <c r="F36" s="134">
        <f t="shared" si="4"/>
        <v>9.1046835251242122</v>
      </c>
      <c r="G36" s="653">
        <f t="shared" si="2"/>
        <v>8.7131360825646471</v>
      </c>
    </row>
    <row r="37" spans="1:7" x14ac:dyDescent="0.25">
      <c r="A37" s="129">
        <v>1997</v>
      </c>
      <c r="B37" s="130" t="s">
        <v>14</v>
      </c>
      <c r="C37" s="131">
        <f t="shared" si="0"/>
        <v>137.39000000000004</v>
      </c>
      <c r="D37" s="132">
        <v>0.42100954580670535</v>
      </c>
      <c r="E37" s="133">
        <f t="shared" ref="E37:E47" si="6">(C37/$C$35-1)*100</f>
        <v>2.0053604971452588</v>
      </c>
      <c r="F37" s="134">
        <f t="shared" si="4"/>
        <v>8.7350517993241219</v>
      </c>
      <c r="G37" s="653">
        <f t="shared" si="2"/>
        <v>8.6766067399374016</v>
      </c>
    </row>
    <row r="38" spans="1:7" x14ac:dyDescent="0.25">
      <c r="A38" s="129">
        <v>1997</v>
      </c>
      <c r="B38" s="130" t="s">
        <v>15</v>
      </c>
      <c r="C38" s="131">
        <f t="shared" si="0"/>
        <v>138.99000000000007</v>
      </c>
      <c r="D38" s="132">
        <v>1.1645680180508267</v>
      </c>
      <c r="E38" s="133">
        <f t="shared" si="6"/>
        <v>3.1932823021924683</v>
      </c>
      <c r="F38" s="134">
        <f t="shared" si="4"/>
        <v>9.7633206188253663</v>
      </c>
      <c r="G38" s="653">
        <f t="shared" si="2"/>
        <v>8.5767249442405884</v>
      </c>
    </row>
    <row r="39" spans="1:7" x14ac:dyDescent="0.25">
      <c r="A39" s="129">
        <v>1997</v>
      </c>
      <c r="B39" s="130" t="s">
        <v>16</v>
      </c>
      <c r="C39" s="131">
        <f t="shared" si="0"/>
        <v>139.80700000000004</v>
      </c>
      <c r="D39" s="132">
        <v>0.58781207281097814</v>
      </c>
      <c r="E39" s="133">
        <f t="shared" si="6"/>
        <v>3.7998648738946761</v>
      </c>
      <c r="F39" s="134">
        <f t="shared" si="4"/>
        <v>9.6448093860041162</v>
      </c>
      <c r="G39" s="653">
        <f t="shared" si="2"/>
        <v>8.5266045333924598</v>
      </c>
    </row>
    <row r="40" spans="1:7" x14ac:dyDescent="0.25">
      <c r="A40" s="129">
        <v>1997</v>
      </c>
      <c r="B40" s="130" t="s">
        <v>17</v>
      </c>
      <c r="C40" s="131">
        <f t="shared" si="0"/>
        <v>140.22900000000007</v>
      </c>
      <c r="D40" s="132">
        <v>0.3018446858884305</v>
      </c>
      <c r="E40" s="133">
        <f t="shared" si="6"/>
        <v>4.1131792499758735</v>
      </c>
      <c r="F40" s="134">
        <f t="shared" si="4"/>
        <v>8.1554895684701876</v>
      </c>
      <c r="G40" s="653">
        <f t="shared" si="2"/>
        <v>8.5009448830127816</v>
      </c>
    </row>
    <row r="41" spans="1:7" x14ac:dyDescent="0.25">
      <c r="A41" s="129">
        <v>1997</v>
      </c>
      <c r="B41" s="130" t="s">
        <v>18</v>
      </c>
      <c r="C41" s="131">
        <f t="shared" si="0"/>
        <v>141.20700000000005</v>
      </c>
      <c r="D41" s="132">
        <v>0.69743063132445826</v>
      </c>
      <c r="E41" s="133">
        <f t="shared" si="6"/>
        <v>4.8392964533109595</v>
      </c>
      <c r="F41" s="134">
        <f t="shared" si="4"/>
        <v>7.5944833892105823</v>
      </c>
      <c r="G41" s="653">
        <f t="shared" si="2"/>
        <v>8.4420673196087979</v>
      </c>
    </row>
    <row r="42" spans="1:7" x14ac:dyDescent="0.25">
      <c r="A42" s="129">
        <v>1997</v>
      </c>
      <c r="B42" s="130" t="s">
        <v>19</v>
      </c>
      <c r="C42" s="131">
        <f t="shared" si="0"/>
        <v>141.33000000000007</v>
      </c>
      <c r="D42" s="132">
        <v>8.7106163292194339E-2</v>
      </c>
      <c r="E42" s="133">
        <f t="shared" si="6"/>
        <v>4.9306179420739671</v>
      </c>
      <c r="F42" s="134">
        <f t="shared" si="4"/>
        <v>6.5242624779534797</v>
      </c>
      <c r="G42" s="653">
        <f t="shared" si="2"/>
        <v>8.434720158494299</v>
      </c>
    </row>
    <row r="43" spans="1:7" x14ac:dyDescent="0.25">
      <c r="A43" s="129">
        <v>1997</v>
      </c>
      <c r="B43" s="130" t="s">
        <v>20</v>
      </c>
      <c r="C43" s="131">
        <f t="shared" si="0"/>
        <v>141.26800000000006</v>
      </c>
      <c r="D43" s="132">
        <v>-4.3868959173576361E-2</v>
      </c>
      <c r="E43" s="133">
        <f t="shared" si="6"/>
        <v>4.8845859721283968</v>
      </c>
      <c r="F43" s="134">
        <f t="shared" si="4"/>
        <v>6.4735187934789939</v>
      </c>
      <c r="G43" s="653">
        <f t="shared" si="2"/>
        <v>8.4384220063991808</v>
      </c>
    </row>
    <row r="44" spans="1:7" x14ac:dyDescent="0.25">
      <c r="A44" s="129">
        <v>1997</v>
      </c>
      <c r="B44" s="130" t="s">
        <v>21</v>
      </c>
      <c r="C44" s="131">
        <f t="shared" si="0"/>
        <v>142.10100000000006</v>
      </c>
      <c r="D44" s="132">
        <v>0.58965937084123343</v>
      </c>
      <c r="E44" s="133">
        <f t="shared" si="6"/>
        <v>5.5030477618810858</v>
      </c>
      <c r="F44" s="134">
        <f t="shared" si="4"/>
        <v>6.9642978118013676</v>
      </c>
      <c r="G44" s="653">
        <f t="shared" si="2"/>
        <v>8.3889557427463526</v>
      </c>
    </row>
    <row r="45" spans="1:7" x14ac:dyDescent="0.25">
      <c r="A45" s="129">
        <v>1997</v>
      </c>
      <c r="B45" s="130" t="s">
        <v>22</v>
      </c>
      <c r="C45" s="131">
        <f t="shared" si="0"/>
        <v>142.58700000000005</v>
      </c>
      <c r="D45" s="132">
        <v>0.34201026030780124</v>
      </c>
      <c r="E45" s="133">
        <f t="shared" si="6"/>
        <v>5.8638790101641414</v>
      </c>
      <c r="F45" s="134">
        <f t="shared" si="4"/>
        <v>7.0947341540171571</v>
      </c>
      <c r="G45" s="653">
        <f t="shared" si="2"/>
        <v>8.3603624453842187</v>
      </c>
    </row>
    <row r="46" spans="1:7" x14ac:dyDescent="0.25">
      <c r="A46" s="129">
        <v>1997</v>
      </c>
      <c r="B46" s="130" t="s">
        <v>23</v>
      </c>
      <c r="C46" s="131">
        <f t="shared" si="0"/>
        <v>143.77100000000004</v>
      </c>
      <c r="D46" s="132">
        <v>0.83037023010512634</v>
      </c>
      <c r="E46" s="133">
        <f t="shared" si="6"/>
        <v>6.7429411458990618</v>
      </c>
      <c r="F46" s="134">
        <f t="shared" si="4"/>
        <v>7.6799209089479126</v>
      </c>
      <c r="G46" s="653">
        <f t="shared" si="2"/>
        <v>8.2915121964791201</v>
      </c>
    </row>
    <row r="47" spans="1:7" x14ac:dyDescent="0.25">
      <c r="A47" s="129">
        <v>1997</v>
      </c>
      <c r="B47" s="130" t="s">
        <v>12</v>
      </c>
      <c r="C47" s="131">
        <f t="shared" si="0"/>
        <v>144.76500000000004</v>
      </c>
      <c r="D47" s="132">
        <v>0.69137725966990082</v>
      </c>
      <c r="E47" s="133">
        <f t="shared" si="6"/>
        <v>7.480937567284629</v>
      </c>
      <c r="F47" s="134">
        <f t="shared" si="4"/>
        <v>7.480937567284629</v>
      </c>
      <c r="G47" s="653">
        <f t="shared" si="2"/>
        <v>8.2345801816737438</v>
      </c>
    </row>
    <row r="48" spans="1:7" x14ac:dyDescent="0.25">
      <c r="A48" s="129">
        <v>1998</v>
      </c>
      <c r="B48" s="130" t="s">
        <v>13</v>
      </c>
      <c r="C48" s="131">
        <f t="shared" si="0"/>
        <v>146.03800000000007</v>
      </c>
      <c r="D48" s="132">
        <v>0.87935619797605558</v>
      </c>
      <c r="E48" s="133">
        <f>(C48/$C$47-1)*100</f>
        <v>0.87935619797605558</v>
      </c>
      <c r="F48" s="134">
        <f t="shared" si="4"/>
        <v>6.7420000877103314</v>
      </c>
      <c r="G48" s="653">
        <f t="shared" si="2"/>
        <v>8.1628000931264424</v>
      </c>
    </row>
    <row r="49" spans="1:7" x14ac:dyDescent="0.25">
      <c r="A49" s="129">
        <v>1998</v>
      </c>
      <c r="B49" s="130" t="s">
        <v>14</v>
      </c>
      <c r="C49" s="131">
        <f t="shared" si="0"/>
        <v>146.06700000000006</v>
      </c>
      <c r="D49" s="132">
        <v>1.9857845218362868E-2</v>
      </c>
      <c r="E49" s="133">
        <f t="shared" ref="E49:E58" si="7">(C49/$C$47-1)*100</f>
        <v>0.89938866438712406</v>
      </c>
      <c r="F49" s="134">
        <f t="shared" si="4"/>
        <v>6.3155979328917811</v>
      </c>
      <c r="G49" s="653">
        <f t="shared" si="2"/>
        <v>8.1611794587415325</v>
      </c>
    </row>
    <row r="50" spans="1:7" x14ac:dyDescent="0.25">
      <c r="A50" s="129">
        <v>1998</v>
      </c>
      <c r="B50" s="130" t="s">
        <v>15</v>
      </c>
      <c r="C50" s="131">
        <f t="shared" si="0"/>
        <v>146.40800000000004</v>
      </c>
      <c r="D50" s="132">
        <v>0.23345451060128308</v>
      </c>
      <c r="E50" s="133">
        <f t="shared" si="7"/>
        <v>1.1349428383932603</v>
      </c>
      <c r="F50" s="134">
        <f t="shared" si="4"/>
        <v>5.3370746096841337</v>
      </c>
      <c r="G50" s="653">
        <f t="shared" si="2"/>
        <v>8.1421711928309897</v>
      </c>
    </row>
    <row r="51" spans="1:7" x14ac:dyDescent="0.25">
      <c r="A51" s="129">
        <v>1998</v>
      </c>
      <c r="B51" s="130" t="s">
        <v>16</v>
      </c>
      <c r="C51" s="131">
        <f t="shared" si="0"/>
        <v>146.21100000000007</v>
      </c>
      <c r="D51" s="132">
        <v>-0.13455548877109313</v>
      </c>
      <c r="E51" s="133">
        <f t="shared" si="7"/>
        <v>0.99886022173869549</v>
      </c>
      <c r="F51" s="134">
        <f t="shared" si="4"/>
        <v>4.5806003991216704</v>
      </c>
      <c r="G51" s="653">
        <f t="shared" si="2"/>
        <v>8.153141692485514</v>
      </c>
    </row>
    <row r="52" spans="1:7" x14ac:dyDescent="0.25">
      <c r="A52" s="129">
        <v>1998</v>
      </c>
      <c r="B52" s="130" t="s">
        <v>17</v>
      </c>
      <c r="C52" s="131">
        <f t="shared" si="0"/>
        <v>146.54400000000007</v>
      </c>
      <c r="D52" s="132">
        <v>0.2277530418367979</v>
      </c>
      <c r="E52" s="133">
        <f t="shared" si="7"/>
        <v>1.2288881981141975</v>
      </c>
      <c r="F52" s="134">
        <f t="shared" si="4"/>
        <v>4.5033480949019156</v>
      </c>
      <c r="G52" s="653">
        <f t="shared" si="2"/>
        <v>8.1346148597008359</v>
      </c>
    </row>
    <row r="53" spans="1:7" x14ac:dyDescent="0.25">
      <c r="A53" s="129">
        <v>1998</v>
      </c>
      <c r="B53" s="130" t="s">
        <v>18</v>
      </c>
      <c r="C53" s="131">
        <f t="shared" si="0"/>
        <v>146.95100000000005</v>
      </c>
      <c r="D53" s="132">
        <v>0.27773228518395143</v>
      </c>
      <c r="E53" s="133">
        <f t="shared" si="7"/>
        <v>1.5100335025731493</v>
      </c>
      <c r="F53" s="134">
        <f t="shared" si="4"/>
        <v>4.0677870077262535</v>
      </c>
      <c r="G53" s="653">
        <f t="shared" si="2"/>
        <v>8.1120849807078521</v>
      </c>
    </row>
    <row r="54" spans="1:7" x14ac:dyDescent="0.25">
      <c r="A54" s="129">
        <v>1998</v>
      </c>
      <c r="B54" s="130" t="s">
        <v>19</v>
      </c>
      <c r="C54" s="131">
        <f t="shared" si="0"/>
        <v>146.39800000000005</v>
      </c>
      <c r="D54" s="132">
        <v>-0.37631591482875093</v>
      </c>
      <c r="E54" s="133">
        <f t="shared" si="7"/>
        <v>1.1280350913549508</v>
      </c>
      <c r="F54" s="134">
        <f t="shared" si="4"/>
        <v>3.5859336305101408</v>
      </c>
      <c r="G54" s="653">
        <f t="shared" si="2"/>
        <v>8.1427273596633807</v>
      </c>
    </row>
    <row r="55" spans="1:7" x14ac:dyDescent="0.25">
      <c r="A55" s="129">
        <v>1998</v>
      </c>
      <c r="B55" s="130" t="s">
        <v>20</v>
      </c>
      <c r="C55" s="131">
        <f t="shared" si="0"/>
        <v>146.14400000000006</v>
      </c>
      <c r="D55" s="132">
        <v>-0.17349963797318457</v>
      </c>
      <c r="E55" s="133">
        <f t="shared" si="7"/>
        <v>0.95257831658206449</v>
      </c>
      <c r="F55" s="134">
        <f t="shared" si="4"/>
        <v>3.4515955488858108</v>
      </c>
      <c r="G55" s="653">
        <f t="shared" si="2"/>
        <v>8.1568795160937118</v>
      </c>
    </row>
    <row r="56" spans="1:7" x14ac:dyDescent="0.25">
      <c r="A56" s="129">
        <v>1998</v>
      </c>
      <c r="B56" s="130" t="s">
        <v>21</v>
      </c>
      <c r="C56" s="131">
        <f t="shared" si="0"/>
        <v>146.11100000000005</v>
      </c>
      <c r="D56" s="132">
        <v>-2.2580468578947688E-2</v>
      </c>
      <c r="E56" s="133">
        <f t="shared" si="7"/>
        <v>0.92978275135564559</v>
      </c>
      <c r="F56" s="134">
        <f t="shared" si="4"/>
        <v>2.8219365099471538</v>
      </c>
      <c r="G56" s="653">
        <f t="shared" si="2"/>
        <v>8.1587217937047836</v>
      </c>
    </row>
    <row r="57" spans="1:7" x14ac:dyDescent="0.25">
      <c r="A57" s="129">
        <v>1998</v>
      </c>
      <c r="B57" s="130" t="s">
        <v>22</v>
      </c>
      <c r="C57" s="131">
        <f t="shared" si="0"/>
        <v>146.06300000000005</v>
      </c>
      <c r="D57" s="132">
        <v>-3.2851736008920884E-2</v>
      </c>
      <c r="E57" s="133">
        <f t="shared" si="7"/>
        <v>0.89662556557179585</v>
      </c>
      <c r="F57" s="134">
        <f t="shared" si="4"/>
        <v>2.4378098985180952</v>
      </c>
      <c r="G57" s="653">
        <f t="shared" si="2"/>
        <v>8.1614029562585984</v>
      </c>
    </row>
    <row r="58" spans="1:7" x14ac:dyDescent="0.25">
      <c r="A58" s="129">
        <v>1998</v>
      </c>
      <c r="B58" s="130" t="s">
        <v>23</v>
      </c>
      <c r="C58" s="131">
        <f t="shared" si="0"/>
        <v>145.79700000000005</v>
      </c>
      <c r="D58" s="132">
        <v>-0.18211319772973855</v>
      </c>
      <c r="E58" s="133">
        <f t="shared" si="7"/>
        <v>0.71287949435292486</v>
      </c>
      <c r="F58" s="134">
        <f t="shared" si="4"/>
        <v>1.4091854407356275</v>
      </c>
      <c r="G58" s="653">
        <f t="shared" si="2"/>
        <v>8.1762930650150523</v>
      </c>
    </row>
    <row r="59" spans="1:7" x14ac:dyDescent="0.25">
      <c r="A59" s="129">
        <v>1998</v>
      </c>
      <c r="B59" s="130" t="s">
        <v>12</v>
      </c>
      <c r="C59" s="131">
        <f t="shared" si="0"/>
        <v>147.23100000000005</v>
      </c>
      <c r="D59" s="132">
        <v>0.98355933249654193</v>
      </c>
      <c r="E59" s="133">
        <f>(C59/$C$58-1)*100</f>
        <v>0.98355933249654193</v>
      </c>
      <c r="F59" s="134">
        <f t="shared" si="4"/>
        <v>1.7034504196456357</v>
      </c>
      <c r="G59" s="653">
        <f t="shared" si="2"/>
        <v>8.0966576332429963</v>
      </c>
    </row>
    <row r="60" spans="1:7" x14ac:dyDescent="0.25">
      <c r="A60" s="129">
        <v>1999</v>
      </c>
      <c r="B60" s="130" t="s">
        <v>13</v>
      </c>
      <c r="C60" s="131">
        <f t="shared" si="0"/>
        <v>148.92100000000005</v>
      </c>
      <c r="D60" s="132">
        <v>1.1478560900897161</v>
      </c>
      <c r="E60" s="133">
        <f t="shared" ref="E60:E71" si="8">(C60/$C$58-1)*100</f>
        <v>2.1427052682839731</v>
      </c>
      <c r="F60" s="134">
        <f t="shared" si="4"/>
        <v>1.9741437160190944</v>
      </c>
      <c r="G60" s="653">
        <f t="shared" si="2"/>
        <v>8.0047743434438363</v>
      </c>
    </row>
    <row r="61" spans="1:7" x14ac:dyDescent="0.25">
      <c r="A61" s="129">
        <v>1999</v>
      </c>
      <c r="B61" s="130" t="s">
        <v>14</v>
      </c>
      <c r="C61" s="131">
        <f t="shared" si="0"/>
        <v>155.52800000000005</v>
      </c>
      <c r="D61" s="132">
        <v>4.4365804688391908</v>
      </c>
      <c r="E61" s="133">
        <f t="shared" si="8"/>
        <v>6.6743485805606406</v>
      </c>
      <c r="F61" s="134">
        <f t="shared" si="4"/>
        <v>6.4771645888530571</v>
      </c>
      <c r="G61" s="653">
        <f t="shared" si="2"/>
        <v>7.6647227508872975</v>
      </c>
    </row>
    <row r="62" spans="1:7" x14ac:dyDescent="0.25">
      <c r="A62" s="129">
        <v>1999</v>
      </c>
      <c r="B62" s="130" t="s">
        <v>15</v>
      </c>
      <c r="C62" s="131">
        <f t="shared" si="0"/>
        <v>158.60000000000005</v>
      </c>
      <c r="D62" s="132">
        <v>1.975207036675064</v>
      </c>
      <c r="E62" s="133">
        <f t="shared" si="8"/>
        <v>8.7813878200511564</v>
      </c>
      <c r="F62" s="134">
        <f t="shared" si="4"/>
        <v>8.3274138025244646</v>
      </c>
      <c r="G62" s="653">
        <f t="shared" si="2"/>
        <v>7.5162610340479166</v>
      </c>
    </row>
    <row r="63" spans="1:7" x14ac:dyDescent="0.25">
      <c r="A63" s="129">
        <v>1999</v>
      </c>
      <c r="B63" s="130" t="s">
        <v>16</v>
      </c>
      <c r="C63" s="131">
        <f t="shared" si="0"/>
        <v>158.64700000000005</v>
      </c>
      <c r="D63" s="132">
        <v>2.9634300126102353E-2</v>
      </c>
      <c r="E63" s="133">
        <f t="shared" si="8"/>
        <v>8.813624422999089</v>
      </c>
      <c r="F63" s="134">
        <f t="shared" si="4"/>
        <v>8.505516000848079</v>
      </c>
      <c r="G63" s="653">
        <f t="shared" si="2"/>
        <v>7.5140343025711145</v>
      </c>
    </row>
    <row r="64" spans="1:7" x14ac:dyDescent="0.25">
      <c r="A64" s="129">
        <v>1999</v>
      </c>
      <c r="B64" s="130" t="s">
        <v>17</v>
      </c>
      <c r="C64" s="131">
        <f t="shared" si="0"/>
        <v>158.10000000000005</v>
      </c>
      <c r="D64" s="132">
        <v>-0.34479063581409619</v>
      </c>
      <c r="E64" s="133">
        <f t="shared" si="8"/>
        <v>8.4384452354986585</v>
      </c>
      <c r="F64" s="134">
        <f t="shared" si="4"/>
        <v>7.885686210284959</v>
      </c>
      <c r="G64" s="653">
        <f t="shared" si="2"/>
        <v>7.5400316255534445</v>
      </c>
    </row>
    <row r="65" spans="1:7" x14ac:dyDescent="0.25">
      <c r="A65" s="129">
        <v>1999</v>
      </c>
      <c r="B65" s="130" t="s">
        <v>18</v>
      </c>
      <c r="C65" s="131">
        <f t="shared" si="0"/>
        <v>159.71100000000007</v>
      </c>
      <c r="D65" s="132">
        <v>1.018975332068317</v>
      </c>
      <c r="E65" s="133">
        <f t="shared" si="8"/>
        <v>9.5434062429268209</v>
      </c>
      <c r="F65" s="134">
        <f t="shared" si="4"/>
        <v>8.6831664976761083</v>
      </c>
      <c r="G65" s="653">
        <f t="shared" si="2"/>
        <v>7.4639755558477461</v>
      </c>
    </row>
    <row r="66" spans="1:7" x14ac:dyDescent="0.25">
      <c r="A66" s="129">
        <v>1999</v>
      </c>
      <c r="B66" s="130" t="s">
        <v>19</v>
      </c>
      <c r="C66" s="131">
        <f t="shared" si="0"/>
        <v>162.25300000000007</v>
      </c>
      <c r="D66" s="132">
        <v>1.591624872425812</v>
      </c>
      <c r="E66" s="133">
        <f t="shared" si="8"/>
        <v>11.286926342791691</v>
      </c>
      <c r="F66" s="134">
        <f t="shared" si="4"/>
        <v>10.830065984507996</v>
      </c>
      <c r="G66" s="653">
        <f t="shared" si="2"/>
        <v>7.3470382673972097</v>
      </c>
    </row>
    <row r="67" spans="1:7" x14ac:dyDescent="0.25">
      <c r="A67" s="129">
        <v>1999</v>
      </c>
      <c r="B67" s="130" t="s">
        <v>20</v>
      </c>
      <c r="C67" s="131">
        <f t="shared" si="0"/>
        <v>164.61200000000008</v>
      </c>
      <c r="D67" s="132">
        <v>1.453902239095739</v>
      </c>
      <c r="E67" s="133">
        <f t="shared" si="8"/>
        <v>12.904929456710379</v>
      </c>
      <c r="F67" s="134">
        <f t="shared" si="4"/>
        <v>12.636851324720833</v>
      </c>
      <c r="G67" s="653">
        <f t="shared" si="2"/>
        <v>7.2417502976696682</v>
      </c>
    </row>
    <row r="68" spans="1:7" x14ac:dyDescent="0.25">
      <c r="A68" s="129">
        <v>1999</v>
      </c>
      <c r="B68" s="130" t="s">
        <v>21</v>
      </c>
      <c r="C68" s="131">
        <f t="shared" si="0"/>
        <v>167.02800000000008</v>
      </c>
      <c r="D68" s="132">
        <v>1.46769372828226</v>
      </c>
      <c r="E68" s="133">
        <f t="shared" si="8"/>
        <v>14.562028025268026</v>
      </c>
      <c r="F68" s="134">
        <f t="shared" si="4"/>
        <v>14.315828377055805</v>
      </c>
      <c r="G68" s="653">
        <f t="shared" si="2"/>
        <v>7.1370009818712994</v>
      </c>
    </row>
    <row r="69" spans="1:7" x14ac:dyDescent="0.25">
      <c r="A69" s="129">
        <v>1999</v>
      </c>
      <c r="B69" s="130" t="s">
        <v>22</v>
      </c>
      <c r="C69" s="131">
        <f t="shared" si="0"/>
        <v>170.18200000000007</v>
      </c>
      <c r="D69" s="132">
        <v>1.8883061522618982</v>
      </c>
      <c r="E69" s="133">
        <f t="shared" si="8"/>
        <v>16.725309848625148</v>
      </c>
      <c r="F69" s="134">
        <f t="shared" si="4"/>
        <v>16.51273765429988</v>
      </c>
      <c r="G69" s="653">
        <f t="shared" si="2"/>
        <v>7.0047302299890672</v>
      </c>
    </row>
    <row r="70" spans="1:7" x14ac:dyDescent="0.25">
      <c r="A70" s="129">
        <v>1999</v>
      </c>
      <c r="B70" s="130" t="s">
        <v>23</v>
      </c>
      <c r="C70" s="131">
        <f t="shared" si="0"/>
        <v>174.49600000000009</v>
      </c>
      <c r="D70" s="132">
        <v>2.5349331891739491</v>
      </c>
      <c r="E70" s="133">
        <f t="shared" si="8"/>
        <v>19.684218468144078</v>
      </c>
      <c r="F70" s="134">
        <f t="shared" si="4"/>
        <v>19.684218468144078</v>
      </c>
      <c r="G70" s="653">
        <f t="shared" si="2"/>
        <v>6.8315548780487765</v>
      </c>
    </row>
    <row r="71" spans="1:7" x14ac:dyDescent="0.25">
      <c r="A71" s="129">
        <v>1999</v>
      </c>
      <c r="B71" s="130" t="s">
        <v>12</v>
      </c>
      <c r="C71" s="131">
        <f t="shared" si="0"/>
        <v>176.64700000000005</v>
      </c>
      <c r="D71" s="132">
        <v>1.2326930130203362</v>
      </c>
      <c r="E71" s="133">
        <f t="shared" si="8"/>
        <v>21.159557466888891</v>
      </c>
      <c r="F71" s="134">
        <f t="shared" si="4"/>
        <v>19.979488015431524</v>
      </c>
      <c r="G71" s="653">
        <f t="shared" si="2"/>
        <v>6.7483682145748283</v>
      </c>
    </row>
    <row r="72" spans="1:7" x14ac:dyDescent="0.25">
      <c r="A72" s="129">
        <v>2000</v>
      </c>
      <c r="B72" s="130" t="s">
        <v>13</v>
      </c>
      <c r="C72" s="131">
        <f t="shared" ref="C72:C135" si="9">C71*(1+D72/100)</f>
        <v>178.45400000000006</v>
      </c>
      <c r="D72" s="132">
        <v>1.0229440635844522</v>
      </c>
      <c r="E72" s="133">
        <f>(C72/$C$71-1)*100</f>
        <v>1.0229440635844522</v>
      </c>
      <c r="F72" s="134">
        <f t="shared" si="4"/>
        <v>19.831319961590378</v>
      </c>
      <c r="G72" s="653">
        <f t="shared" si="2"/>
        <v>6.680035191141692</v>
      </c>
    </row>
    <row r="73" spans="1:7" x14ac:dyDescent="0.25">
      <c r="A73" s="129">
        <v>2000</v>
      </c>
      <c r="B73" s="130" t="s">
        <v>14</v>
      </c>
      <c r="C73" s="131">
        <f t="shared" si="9"/>
        <v>178.8000000000001</v>
      </c>
      <c r="D73" s="132">
        <v>0.19388750042028668</v>
      </c>
      <c r="E73" s="133">
        <f t="shared" ref="E73:E83" si="10">(C73/$C$71-1)*100</f>
        <v>1.2188149246803226</v>
      </c>
      <c r="F73" s="134">
        <f t="shared" si="4"/>
        <v>14.963222056478598</v>
      </c>
      <c r="G73" s="653">
        <f t="shared" si="2"/>
        <v>6.6671085011185642</v>
      </c>
    </row>
    <row r="74" spans="1:7" x14ac:dyDescent="0.25">
      <c r="A74" s="129">
        <v>2000</v>
      </c>
      <c r="B74" s="130" t="s">
        <v>15</v>
      </c>
      <c r="C74" s="131">
        <f t="shared" si="9"/>
        <v>179.12800000000007</v>
      </c>
      <c r="D74" s="132">
        <v>0.18344519015658367</v>
      </c>
      <c r="E74" s="133">
        <f t="shared" si="10"/>
        <v>1.4044959721931427</v>
      </c>
      <c r="F74" s="134">
        <f t="shared" si="4"/>
        <v>12.94325346784364</v>
      </c>
      <c r="G74" s="653">
        <f t="shared" ref="G74:G137" si="11">$C$375/C74</f>
        <v>6.6549004064132884</v>
      </c>
    </row>
    <row r="75" spans="1:7" x14ac:dyDescent="0.25">
      <c r="A75" s="129">
        <v>2000</v>
      </c>
      <c r="B75" s="130" t="s">
        <v>16</v>
      </c>
      <c r="C75" s="131">
        <f t="shared" si="9"/>
        <v>179.35700000000008</v>
      </c>
      <c r="D75" s="132">
        <v>0.12784154347729171</v>
      </c>
      <c r="E75" s="133">
        <f t="shared" si="10"/>
        <v>1.534133044999364</v>
      </c>
      <c r="F75" s="134">
        <f t="shared" si="4"/>
        <v>13.054139063455361</v>
      </c>
      <c r="G75" s="653">
        <f t="shared" si="11"/>
        <v>6.646403541540054</v>
      </c>
    </row>
    <row r="76" spans="1:7" x14ac:dyDescent="0.25">
      <c r="A76" s="129">
        <v>2000</v>
      </c>
      <c r="B76" s="130" t="s">
        <v>17</v>
      </c>
      <c r="C76" s="131">
        <f t="shared" si="9"/>
        <v>180.56300000000007</v>
      </c>
      <c r="D76" s="132">
        <v>0.6724019692568417</v>
      </c>
      <c r="E76" s="133">
        <f t="shared" si="10"/>
        <v>2.2168505550618001</v>
      </c>
      <c r="F76" s="134">
        <f t="shared" si="4"/>
        <v>14.20809614168248</v>
      </c>
      <c r="G76" s="653">
        <f t="shared" si="11"/>
        <v>6.6020114862956394</v>
      </c>
    </row>
    <row r="77" spans="1:7" x14ac:dyDescent="0.25">
      <c r="A77" s="129">
        <v>2000</v>
      </c>
      <c r="B77" s="130" t="s">
        <v>18</v>
      </c>
      <c r="C77" s="131">
        <f t="shared" si="9"/>
        <v>182.23600000000008</v>
      </c>
      <c r="D77" s="132">
        <v>0.92654641316327613</v>
      </c>
      <c r="E77" s="133">
        <f t="shared" si="10"/>
        <v>3.1639371175281816</v>
      </c>
      <c r="F77" s="134">
        <f t="shared" si="4"/>
        <v>14.103599626825947</v>
      </c>
      <c r="G77" s="653">
        <f t="shared" si="11"/>
        <v>6.5414023573827311</v>
      </c>
    </row>
    <row r="78" spans="1:7" x14ac:dyDescent="0.25">
      <c r="A78" s="129">
        <v>2000</v>
      </c>
      <c r="B78" s="130" t="s">
        <v>19</v>
      </c>
      <c r="C78" s="131">
        <f t="shared" si="9"/>
        <v>186.35300000000009</v>
      </c>
      <c r="D78" s="132">
        <v>2.2591584538730114</v>
      </c>
      <c r="E78" s="133">
        <f t="shared" si="10"/>
        <v>5.4945739242670655</v>
      </c>
      <c r="F78" s="134">
        <f t="shared" si="4"/>
        <v>14.853346317171345</v>
      </c>
      <c r="G78" s="653">
        <f t="shared" si="11"/>
        <v>6.3968865540130793</v>
      </c>
    </row>
    <row r="79" spans="1:7" x14ac:dyDescent="0.25">
      <c r="A79" s="129">
        <v>2000</v>
      </c>
      <c r="B79" s="130" t="s">
        <v>20</v>
      </c>
      <c r="C79" s="131">
        <f t="shared" si="9"/>
        <v>189.74600000000009</v>
      </c>
      <c r="D79" s="132">
        <v>1.8207380616357183</v>
      </c>
      <c r="E79" s="133">
        <f t="shared" si="10"/>
        <v>7.4153537846666229</v>
      </c>
      <c r="F79" s="134">
        <f t="shared" si="4"/>
        <v>15.268631691492729</v>
      </c>
      <c r="G79" s="653">
        <f t="shared" si="11"/>
        <v>6.2824987088001825</v>
      </c>
    </row>
    <row r="80" spans="1:7" x14ac:dyDescent="0.25">
      <c r="A80" s="129">
        <v>2000</v>
      </c>
      <c r="B80" s="130" t="s">
        <v>21</v>
      </c>
      <c r="C80" s="131">
        <f t="shared" si="9"/>
        <v>191.04900000000006</v>
      </c>
      <c r="D80" s="132">
        <v>0.68670749317507607</v>
      </c>
      <c r="E80" s="133">
        <f t="shared" si="10"/>
        <v>8.1529830679264457</v>
      </c>
      <c r="F80" s="134">
        <f t="shared" si="4"/>
        <v>14.381421079100498</v>
      </c>
      <c r="G80" s="653">
        <f t="shared" si="11"/>
        <v>6.2396505608508788</v>
      </c>
    </row>
    <row r="81" spans="1:7" x14ac:dyDescent="0.25">
      <c r="A81" s="129">
        <v>2000</v>
      </c>
      <c r="B81" s="130" t="s">
        <v>22</v>
      </c>
      <c r="C81" s="131">
        <f t="shared" si="9"/>
        <v>191.76300000000003</v>
      </c>
      <c r="D81" s="132">
        <v>0.37372611214923079</v>
      </c>
      <c r="E81" s="133">
        <f t="shared" si="10"/>
        <v>8.5571790067195952</v>
      </c>
      <c r="F81" s="134">
        <f t="shared" si="4"/>
        <v>12.681129614177733</v>
      </c>
      <c r="G81" s="653">
        <f t="shared" si="11"/>
        <v>6.2164181828611342</v>
      </c>
    </row>
    <row r="82" spans="1:7" x14ac:dyDescent="0.25">
      <c r="A82" s="129">
        <v>2000</v>
      </c>
      <c r="B82" s="130" t="s">
        <v>23</v>
      </c>
      <c r="C82" s="131">
        <f t="shared" si="9"/>
        <v>192.506</v>
      </c>
      <c r="D82" s="132">
        <v>0.38745743443728831</v>
      </c>
      <c r="E82" s="133">
        <f t="shared" si="10"/>
        <v>8.9777918673965331</v>
      </c>
      <c r="F82" s="134">
        <f t="shared" si="4"/>
        <v>10.321153493489765</v>
      </c>
      <c r="G82" s="653">
        <f t="shared" si="11"/>
        <v>6.1924251711634959</v>
      </c>
    </row>
    <row r="83" spans="1:7" x14ac:dyDescent="0.25">
      <c r="A83" s="129">
        <v>2000</v>
      </c>
      <c r="B83" s="130" t="s">
        <v>12</v>
      </c>
      <c r="C83" s="131">
        <f t="shared" si="9"/>
        <v>193.97</v>
      </c>
      <c r="D83" s="132">
        <v>0.76049577675501023</v>
      </c>
      <c r="E83" s="133">
        <f t="shared" si="10"/>
        <v>9.8065633721489363</v>
      </c>
      <c r="F83" s="134">
        <f t="shared" si="4"/>
        <v>9.8065633721489363</v>
      </c>
      <c r="G83" s="653">
        <f t="shared" si="11"/>
        <v>6.1456874774449659</v>
      </c>
    </row>
    <row r="84" spans="1:7" x14ac:dyDescent="0.25">
      <c r="A84" s="129">
        <v>2001</v>
      </c>
      <c r="B84" s="130" t="s">
        <v>13</v>
      </c>
      <c r="C84" s="131">
        <f t="shared" si="9"/>
        <v>194.92000000000002</v>
      </c>
      <c r="D84" s="132">
        <v>0.48976645873073377</v>
      </c>
      <c r="E84" s="133">
        <f>(C84/$C$83-1)*100</f>
        <v>0.48976645873073377</v>
      </c>
      <c r="F84" s="134">
        <f t="shared" ref="F84:F147" si="12">100*(C84/C72-1)</f>
        <v>9.2270276934111486</v>
      </c>
      <c r="G84" s="653">
        <f t="shared" si="11"/>
        <v>6.1157346603734855</v>
      </c>
    </row>
    <row r="85" spans="1:7" x14ac:dyDescent="0.25">
      <c r="A85" s="129">
        <v>2001</v>
      </c>
      <c r="B85" s="130" t="s">
        <v>14</v>
      </c>
      <c r="C85" s="131">
        <f t="shared" si="9"/>
        <v>195.58000000000004</v>
      </c>
      <c r="D85" s="132">
        <v>0.33860045146727469</v>
      </c>
      <c r="E85" s="133">
        <f t="shared" ref="E85:E95" si="13">(C85/$C$83-1)*100</f>
        <v>0.83002526163842294</v>
      </c>
      <c r="F85" s="134">
        <f t="shared" si="12"/>
        <v>9.3847874720357503</v>
      </c>
      <c r="G85" s="653">
        <f t="shared" si="11"/>
        <v>6.0950966356478151</v>
      </c>
    </row>
    <row r="86" spans="1:7" x14ac:dyDescent="0.25">
      <c r="A86" s="129">
        <v>2001</v>
      </c>
      <c r="B86" s="130" t="s">
        <v>15</v>
      </c>
      <c r="C86" s="131">
        <f t="shared" si="9"/>
        <v>197.15100000000004</v>
      </c>
      <c r="D86" s="132">
        <v>0.80325186624399247</v>
      </c>
      <c r="E86" s="133">
        <f t="shared" si="13"/>
        <v>1.6399443212868237</v>
      </c>
      <c r="F86" s="134">
        <f t="shared" si="12"/>
        <v>10.061520253673329</v>
      </c>
      <c r="G86" s="653">
        <f t="shared" si="11"/>
        <v>6.0465277883449726</v>
      </c>
    </row>
    <row r="87" spans="1:7" x14ac:dyDescent="0.25">
      <c r="A87" s="129">
        <v>2001</v>
      </c>
      <c r="B87" s="130" t="s">
        <v>16</v>
      </c>
      <c r="C87" s="131">
        <f t="shared" si="9"/>
        <v>199.374</v>
      </c>
      <c r="D87" s="132">
        <v>1.127562122434056</v>
      </c>
      <c r="E87" s="133">
        <f t="shared" si="13"/>
        <v>2.7859978347167136</v>
      </c>
      <c r="F87" s="134">
        <f t="shared" si="12"/>
        <v>11.160423066844283</v>
      </c>
      <c r="G87" s="653">
        <f t="shared" si="11"/>
        <v>5.9791096130889683</v>
      </c>
    </row>
    <row r="88" spans="1:7" x14ac:dyDescent="0.25">
      <c r="A88" s="129">
        <v>2001</v>
      </c>
      <c r="B88" s="130" t="s">
        <v>17</v>
      </c>
      <c r="C88" s="131">
        <f t="shared" si="9"/>
        <v>200.251</v>
      </c>
      <c r="D88" s="132">
        <v>0.43987681442916315</v>
      </c>
      <c r="E88" s="133">
        <f t="shared" si="13"/>
        <v>3.2381296076712918</v>
      </c>
      <c r="F88" s="134">
        <f t="shared" si="12"/>
        <v>10.903673510076771</v>
      </c>
      <c r="G88" s="653">
        <f t="shared" si="11"/>
        <v>5.9529240802792494</v>
      </c>
    </row>
    <row r="89" spans="1:7" x14ac:dyDescent="0.25">
      <c r="A89" s="129">
        <v>2001</v>
      </c>
      <c r="B89" s="130" t="s">
        <v>18</v>
      </c>
      <c r="C89" s="131">
        <f t="shared" si="9"/>
        <v>203.167</v>
      </c>
      <c r="D89" s="132">
        <v>1.4561725035080908</v>
      </c>
      <c r="E89" s="133">
        <f t="shared" si="13"/>
        <v>4.7414548641542487</v>
      </c>
      <c r="F89" s="134">
        <f t="shared" si="12"/>
        <v>11.485655962597896</v>
      </c>
      <c r="G89" s="653">
        <f t="shared" si="11"/>
        <v>5.867483400355372</v>
      </c>
    </row>
    <row r="90" spans="1:7" x14ac:dyDescent="0.25">
      <c r="A90" s="129">
        <v>2001</v>
      </c>
      <c r="B90" s="130" t="s">
        <v>19</v>
      </c>
      <c r="C90" s="131">
        <f t="shared" si="9"/>
        <v>206.45</v>
      </c>
      <c r="D90" s="132">
        <v>1.6159120329581</v>
      </c>
      <c r="E90" s="133">
        <f t="shared" si="13"/>
        <v>6.4339846367994946</v>
      </c>
      <c r="F90" s="134">
        <f t="shared" si="12"/>
        <v>10.784371595842245</v>
      </c>
      <c r="G90" s="653">
        <f t="shared" si="11"/>
        <v>5.7741777670138053</v>
      </c>
    </row>
    <row r="91" spans="1:7" x14ac:dyDescent="0.25">
      <c r="A91" s="129">
        <v>2001</v>
      </c>
      <c r="B91" s="130" t="s">
        <v>20</v>
      </c>
      <c r="C91" s="131">
        <f t="shared" si="9"/>
        <v>208.31500000000003</v>
      </c>
      <c r="D91" s="132">
        <v>0.90336643255026772</v>
      </c>
      <c r="E91" s="133">
        <f t="shared" si="13"/>
        <v>7.395473526834051</v>
      </c>
      <c r="F91" s="134">
        <f t="shared" si="12"/>
        <v>9.786240553160507</v>
      </c>
      <c r="G91" s="653">
        <f t="shared" si="11"/>
        <v>5.7224827784845056</v>
      </c>
    </row>
    <row r="92" spans="1:7" x14ac:dyDescent="0.25">
      <c r="A92" s="129">
        <v>2001</v>
      </c>
      <c r="B92" s="130" t="s">
        <v>21</v>
      </c>
      <c r="C92" s="131">
        <f t="shared" si="9"/>
        <v>209.11100000000005</v>
      </c>
      <c r="D92" s="132">
        <v>0.38211362599909204</v>
      </c>
      <c r="E92" s="133">
        <f t="shared" si="13"/>
        <v>7.8058462648863403</v>
      </c>
      <c r="F92" s="134">
        <f t="shared" si="12"/>
        <v>9.454119100335511</v>
      </c>
      <c r="G92" s="653">
        <f t="shared" si="11"/>
        <v>5.7006996284270057</v>
      </c>
    </row>
    <row r="93" spans="1:7" x14ac:dyDescent="0.25">
      <c r="A93" s="129">
        <v>2001</v>
      </c>
      <c r="B93" s="130" t="s">
        <v>22</v>
      </c>
      <c r="C93" s="131">
        <f t="shared" si="9"/>
        <v>212.13500000000002</v>
      </c>
      <c r="D93" s="132">
        <v>1.4461219161115313</v>
      </c>
      <c r="E93" s="133">
        <f t="shared" si="13"/>
        <v>9.3648502345723639</v>
      </c>
      <c r="F93" s="134">
        <f t="shared" si="12"/>
        <v>10.623530086617317</v>
      </c>
      <c r="G93" s="653">
        <f t="shared" si="11"/>
        <v>5.619435736677115</v>
      </c>
    </row>
    <row r="94" spans="1:7" x14ac:dyDescent="0.25">
      <c r="A94" s="129">
        <v>2001</v>
      </c>
      <c r="B94" s="130" t="s">
        <v>23</v>
      </c>
      <c r="C94" s="131">
        <f t="shared" si="9"/>
        <v>213.75600000000003</v>
      </c>
      <c r="D94" s="132">
        <v>0.76413604544276481</v>
      </c>
      <c r="E94" s="133">
        <f t="shared" si="13"/>
        <v>10.20054647625923</v>
      </c>
      <c r="F94" s="134">
        <f t="shared" si="12"/>
        <v>11.038616978172122</v>
      </c>
      <c r="G94" s="653">
        <f t="shared" si="11"/>
        <v>5.5768212354273086</v>
      </c>
    </row>
    <row r="95" spans="1:7" x14ac:dyDescent="0.25">
      <c r="A95" s="129">
        <v>2001</v>
      </c>
      <c r="B95" s="130" t="s">
        <v>12</v>
      </c>
      <c r="C95" s="131">
        <f t="shared" si="9"/>
        <v>214.13700000000006</v>
      </c>
      <c r="D95" s="132">
        <v>0.17824061078988152</v>
      </c>
      <c r="E95" s="133">
        <f t="shared" si="13"/>
        <v>10.396968603392299</v>
      </c>
      <c r="F95" s="134">
        <f t="shared" si="12"/>
        <v>10.396968603392299</v>
      </c>
      <c r="G95" s="653">
        <f t="shared" si="11"/>
        <v>5.5668987610735163</v>
      </c>
    </row>
    <row r="96" spans="1:7" x14ac:dyDescent="0.25">
      <c r="A96" s="129">
        <v>2002</v>
      </c>
      <c r="B96" s="130" t="s">
        <v>13</v>
      </c>
      <c r="C96" s="131">
        <f t="shared" si="9"/>
        <v>214.53500000000008</v>
      </c>
      <c r="D96" s="132">
        <v>0.18586232178465778</v>
      </c>
      <c r="E96" s="133">
        <f>(C96/$C$95-1)*100</f>
        <v>0.18586232178465778</v>
      </c>
      <c r="F96" s="134">
        <f t="shared" si="12"/>
        <v>10.063102811409852</v>
      </c>
      <c r="G96" s="653">
        <f t="shared" si="11"/>
        <v>5.5565711888503015</v>
      </c>
    </row>
    <row r="97" spans="1:7" x14ac:dyDescent="0.25">
      <c r="A97" s="129">
        <v>2002</v>
      </c>
      <c r="B97" s="130" t="s">
        <v>14</v>
      </c>
      <c r="C97" s="131">
        <f t="shared" si="9"/>
        <v>214.92700000000008</v>
      </c>
      <c r="D97" s="132">
        <v>0.18272076817302807</v>
      </c>
      <c r="E97" s="133">
        <f t="shared" ref="E97:E107" si="14">(C97/$C$95-1)*100</f>
        <v>0.36892269901980246</v>
      </c>
      <c r="F97" s="134">
        <f t="shared" si="12"/>
        <v>9.8921157582575034</v>
      </c>
      <c r="G97" s="653">
        <f t="shared" si="11"/>
        <v>5.5464366971111101</v>
      </c>
    </row>
    <row r="98" spans="1:7" x14ac:dyDescent="0.25">
      <c r="A98" s="129">
        <v>2002</v>
      </c>
      <c r="B98" s="130" t="s">
        <v>15</v>
      </c>
      <c r="C98" s="131">
        <f t="shared" si="9"/>
        <v>215.17000000000007</v>
      </c>
      <c r="D98" s="132">
        <v>0.11306164418616316</v>
      </c>
      <c r="E98" s="133">
        <f t="shared" si="14"/>
        <v>0.48240145327524964</v>
      </c>
      <c r="F98" s="134">
        <f t="shared" si="12"/>
        <v>9.1396949546286965</v>
      </c>
      <c r="G98" s="653">
        <f t="shared" si="11"/>
        <v>5.5401728865548154</v>
      </c>
    </row>
    <row r="99" spans="1:7" x14ac:dyDescent="0.25">
      <c r="A99" s="129">
        <v>2002</v>
      </c>
      <c r="B99" s="130" t="s">
        <v>16</v>
      </c>
      <c r="C99" s="131">
        <f t="shared" si="9"/>
        <v>216.67300000000009</v>
      </c>
      <c r="D99" s="132">
        <v>0.6985174513175707</v>
      </c>
      <c r="E99" s="133">
        <f t="shared" si="14"/>
        <v>1.1842885629293587</v>
      </c>
      <c r="F99" s="134">
        <f t="shared" si="12"/>
        <v>8.6766579393502177</v>
      </c>
      <c r="G99" s="653">
        <f t="shared" si="11"/>
        <v>5.5017422567647998</v>
      </c>
    </row>
    <row r="100" spans="1:7" x14ac:dyDescent="0.25">
      <c r="A100" s="129">
        <v>2002</v>
      </c>
      <c r="B100" s="130" t="s">
        <v>17</v>
      </c>
      <c r="C100" s="131">
        <f t="shared" si="9"/>
        <v>219.07000000000008</v>
      </c>
      <c r="D100" s="132">
        <v>1.1062753550280746</v>
      </c>
      <c r="E100" s="133">
        <f t="shared" si="14"/>
        <v>2.3036654104615417</v>
      </c>
      <c r="F100" s="134">
        <f t="shared" si="12"/>
        <v>9.3977058791217427</v>
      </c>
      <c r="G100" s="653">
        <f t="shared" si="11"/>
        <v>5.4415437987857738</v>
      </c>
    </row>
    <row r="101" spans="1:7" x14ac:dyDescent="0.25">
      <c r="A101" s="129">
        <v>2002</v>
      </c>
      <c r="B101" s="130" t="s">
        <v>18</v>
      </c>
      <c r="C101" s="131">
        <f t="shared" si="9"/>
        <v>222.8720000000001</v>
      </c>
      <c r="D101" s="132">
        <v>1.7355183274752495</v>
      </c>
      <c r="E101" s="133">
        <f t="shared" si="14"/>
        <v>4.0791642733390532</v>
      </c>
      <c r="F101" s="134">
        <f t="shared" si="12"/>
        <v>9.6989176391835805</v>
      </c>
      <c r="G101" s="653">
        <f t="shared" si="11"/>
        <v>5.3487158548404441</v>
      </c>
    </row>
    <row r="102" spans="1:7" x14ac:dyDescent="0.25">
      <c r="A102" s="129">
        <v>2002</v>
      </c>
      <c r="B102" s="130" t="s">
        <v>19</v>
      </c>
      <c r="C102" s="131">
        <f t="shared" si="9"/>
        <v>227.44100000000009</v>
      </c>
      <c r="D102" s="132">
        <v>2.0500556373164835</v>
      </c>
      <c r="E102" s="133">
        <f t="shared" si="14"/>
        <v>6.2128450477965114</v>
      </c>
      <c r="F102" s="134">
        <f t="shared" si="12"/>
        <v>10.167595059336442</v>
      </c>
      <c r="G102" s="653">
        <f t="shared" si="11"/>
        <v>5.2412669659384168</v>
      </c>
    </row>
    <row r="103" spans="1:7" x14ac:dyDescent="0.25">
      <c r="A103" s="129">
        <v>2002</v>
      </c>
      <c r="B103" s="130" t="s">
        <v>20</v>
      </c>
      <c r="C103" s="131">
        <f t="shared" si="9"/>
        <v>232.8180000000001</v>
      </c>
      <c r="D103" s="132">
        <v>2.3641295984453192</v>
      </c>
      <c r="E103" s="133">
        <f t="shared" si="14"/>
        <v>8.7238543549223344</v>
      </c>
      <c r="F103" s="134">
        <f t="shared" si="12"/>
        <v>11.762475097808633</v>
      </c>
      <c r="G103" s="653">
        <f t="shared" si="11"/>
        <v>5.1202183679955997</v>
      </c>
    </row>
    <row r="104" spans="1:7" x14ac:dyDescent="0.25">
      <c r="A104" s="129">
        <v>2002</v>
      </c>
      <c r="B104" s="130" t="s">
        <v>21</v>
      </c>
      <c r="C104" s="131">
        <f t="shared" si="9"/>
        <v>238.9730000000001</v>
      </c>
      <c r="D104" s="132">
        <v>2.6436959341631594</v>
      </c>
      <c r="E104" s="133">
        <f t="shared" si="14"/>
        <v>11.598182471968887</v>
      </c>
      <c r="F104" s="134">
        <f t="shared" si="12"/>
        <v>14.280453921601467</v>
      </c>
      <c r="G104" s="653">
        <f t="shared" si="11"/>
        <v>4.9883417791968112</v>
      </c>
    </row>
    <row r="105" spans="1:7" x14ac:dyDescent="0.25">
      <c r="A105" s="129">
        <v>2002</v>
      </c>
      <c r="B105" s="130" t="s">
        <v>22</v>
      </c>
      <c r="C105" s="131">
        <f t="shared" si="9"/>
        <v>249.04200000000009</v>
      </c>
      <c r="D105" s="132">
        <v>4.2134467073686066</v>
      </c>
      <c r="E105" s="133">
        <f t="shared" si="14"/>
        <v>16.300312416817285</v>
      </c>
      <c r="F105" s="134">
        <f t="shared" si="12"/>
        <v>17.397883423291805</v>
      </c>
      <c r="G105" s="653">
        <f t="shared" si="11"/>
        <v>4.7866584752772603</v>
      </c>
    </row>
    <row r="106" spans="1:7" x14ac:dyDescent="0.25">
      <c r="A106" s="129">
        <v>2002</v>
      </c>
      <c r="B106" s="130" t="s">
        <v>23</v>
      </c>
      <c r="C106" s="131">
        <f t="shared" si="9"/>
        <v>263.5800000000001</v>
      </c>
      <c r="D106" s="132">
        <v>5.8375695665791261</v>
      </c>
      <c r="E106" s="133">
        <f t="shared" si="14"/>
        <v>23.089424060297858</v>
      </c>
      <c r="F106" s="134">
        <f t="shared" si="12"/>
        <v>23.308819401560687</v>
      </c>
      <c r="G106" s="653">
        <f t="shared" si="11"/>
        <v>4.5226458760148702</v>
      </c>
    </row>
    <row r="107" spans="1:7" x14ac:dyDescent="0.25">
      <c r="A107" s="129">
        <v>2002</v>
      </c>
      <c r="B107" s="130" t="s">
        <v>12</v>
      </c>
      <c r="C107" s="131">
        <f t="shared" si="9"/>
        <v>270.69200000000012</v>
      </c>
      <c r="D107" s="132">
        <v>2.6982320358145628</v>
      </c>
      <c r="E107" s="133">
        <f t="shared" si="14"/>
        <v>26.410662332992452</v>
      </c>
      <c r="F107" s="134">
        <f t="shared" si="12"/>
        <v>26.410662332992452</v>
      </c>
      <c r="G107" s="653">
        <f t="shared" si="11"/>
        <v>4.4038205783695101</v>
      </c>
    </row>
    <row r="108" spans="1:7" x14ac:dyDescent="0.25">
      <c r="A108" s="129">
        <v>2003</v>
      </c>
      <c r="B108" s="130" t="s">
        <v>13</v>
      </c>
      <c r="C108" s="131">
        <f t="shared" si="9"/>
        <v>276.57800000000009</v>
      </c>
      <c r="D108" s="132">
        <v>2.1744270240716235</v>
      </c>
      <c r="E108" s="133">
        <f>(C108/$C$107-1)*100</f>
        <v>2.1744270240716235</v>
      </c>
      <c r="F108" s="134">
        <f t="shared" si="12"/>
        <v>28.919756683058708</v>
      </c>
      <c r="G108" s="653">
        <f t="shared" si="11"/>
        <v>4.3101005864530064</v>
      </c>
    </row>
    <row r="109" spans="1:7" x14ac:dyDescent="0.25">
      <c r="A109" s="129">
        <v>2003</v>
      </c>
      <c r="B109" s="130" t="s">
        <v>14</v>
      </c>
      <c r="C109" s="131">
        <f t="shared" si="9"/>
        <v>280.98400000000009</v>
      </c>
      <c r="D109" s="132">
        <v>1.5930406612239656</v>
      </c>
      <c r="E109" s="133">
        <f t="shared" ref="E109:E119" si="15">(C109/$C$107-1)*100</f>
        <v>3.8021071919376981</v>
      </c>
      <c r="F109" s="134">
        <f t="shared" si="12"/>
        <v>30.734621522656536</v>
      </c>
      <c r="G109" s="653">
        <f t="shared" si="11"/>
        <v>4.2425155880761878</v>
      </c>
    </row>
    <row r="110" spans="1:7" x14ac:dyDescent="0.25">
      <c r="A110" s="129">
        <v>2003</v>
      </c>
      <c r="B110" s="130" t="s">
        <v>15</v>
      </c>
      <c r="C110" s="131">
        <f t="shared" si="9"/>
        <v>285.6400000000001</v>
      </c>
      <c r="D110" s="132">
        <v>1.6570338524613426</v>
      </c>
      <c r="E110" s="133">
        <f t="shared" si="15"/>
        <v>5.5221432476763255</v>
      </c>
      <c r="F110" s="134">
        <f t="shared" si="12"/>
        <v>32.750848166565973</v>
      </c>
      <c r="G110" s="653">
        <f t="shared" si="11"/>
        <v>4.1733615740092409</v>
      </c>
    </row>
    <row r="111" spans="1:7" x14ac:dyDescent="0.25">
      <c r="A111" s="129">
        <v>2003</v>
      </c>
      <c r="B111" s="130" t="s">
        <v>16</v>
      </c>
      <c r="C111" s="131">
        <f t="shared" si="9"/>
        <v>286.81500000000011</v>
      </c>
      <c r="D111" s="132">
        <v>0.41135695280773987</v>
      </c>
      <c r="E111" s="133">
        <f t="shared" si="15"/>
        <v>5.9562159206773657</v>
      </c>
      <c r="F111" s="134">
        <f t="shared" si="12"/>
        <v>32.372284502452999</v>
      </c>
      <c r="G111" s="653">
        <f t="shared" si="11"/>
        <v>4.1562644910482351</v>
      </c>
    </row>
    <row r="112" spans="1:7" x14ac:dyDescent="0.25">
      <c r="A112" s="129">
        <v>2003</v>
      </c>
      <c r="B112" s="130" t="s">
        <v>17</v>
      </c>
      <c r="C112" s="131">
        <f t="shared" si="9"/>
        <v>284.90000000000009</v>
      </c>
      <c r="D112" s="132">
        <v>-0.66767777138574402</v>
      </c>
      <c r="E112" s="133">
        <f t="shared" si="15"/>
        <v>5.2487698195735177</v>
      </c>
      <c r="F112" s="134">
        <f t="shared" si="12"/>
        <v>30.049755785821873</v>
      </c>
      <c r="G112" s="653">
        <f t="shared" si="11"/>
        <v>4.1842014742014726</v>
      </c>
    </row>
    <row r="113" spans="1:7" x14ac:dyDescent="0.25">
      <c r="A113" s="129">
        <v>2003</v>
      </c>
      <c r="B113" s="130" t="s">
        <v>18</v>
      </c>
      <c r="C113" s="131">
        <f t="shared" si="9"/>
        <v>282.91300000000012</v>
      </c>
      <c r="D113" s="132">
        <v>-0.69743769743768613</v>
      </c>
      <c r="E113" s="133">
        <f t="shared" si="15"/>
        <v>4.5147252227623946</v>
      </c>
      <c r="F113" s="134">
        <f t="shared" si="12"/>
        <v>26.939678380415664</v>
      </c>
      <c r="G113" s="653">
        <f t="shared" si="11"/>
        <v>4.2135886297200882</v>
      </c>
    </row>
    <row r="114" spans="1:7" x14ac:dyDescent="0.25">
      <c r="A114" s="129">
        <v>2003</v>
      </c>
      <c r="B114" s="130" t="s">
        <v>19</v>
      </c>
      <c r="C114" s="131">
        <f t="shared" si="9"/>
        <v>282.3490000000001</v>
      </c>
      <c r="D114" s="132">
        <v>-0.19935457190020101</v>
      </c>
      <c r="E114" s="133">
        <f t="shared" si="15"/>
        <v>4.3063703397218989</v>
      </c>
      <c r="F114" s="134">
        <f t="shared" si="12"/>
        <v>24.141645525652812</v>
      </c>
      <c r="G114" s="653">
        <f t="shared" si="11"/>
        <v>4.2220053904919075</v>
      </c>
    </row>
    <row r="115" spans="1:7" x14ac:dyDescent="0.25">
      <c r="A115" s="129">
        <v>2003</v>
      </c>
      <c r="B115" s="130" t="s">
        <v>20</v>
      </c>
      <c r="C115" s="131">
        <f t="shared" si="9"/>
        <v>284.10500000000013</v>
      </c>
      <c r="D115" s="132">
        <v>0.62192534770799668</v>
      </c>
      <c r="E115" s="133">
        <f t="shared" si="15"/>
        <v>4.9550780961387764</v>
      </c>
      <c r="F115" s="134">
        <f t="shared" si="12"/>
        <v>22.028795024439706</v>
      </c>
      <c r="G115" s="653">
        <f t="shared" si="11"/>
        <v>4.1959099628658398</v>
      </c>
    </row>
    <row r="116" spans="1:7" x14ac:dyDescent="0.25">
      <c r="A116" s="129">
        <v>2003</v>
      </c>
      <c r="B116" s="130" t="s">
        <v>21</v>
      </c>
      <c r="C116" s="131">
        <f t="shared" si="9"/>
        <v>287.08100000000007</v>
      </c>
      <c r="D116" s="132">
        <v>1.0475000439978066</v>
      </c>
      <c r="E116" s="133">
        <f t="shared" si="15"/>
        <v>6.0544825853737549</v>
      </c>
      <c r="F116" s="134">
        <f t="shared" si="12"/>
        <v>20.131144522602963</v>
      </c>
      <c r="G116" s="653">
        <f t="shared" si="11"/>
        <v>4.1524134303558915</v>
      </c>
    </row>
    <row r="117" spans="1:7" x14ac:dyDescent="0.25">
      <c r="A117" s="129">
        <v>2003</v>
      </c>
      <c r="B117" s="130" t="s">
        <v>22</v>
      </c>
      <c r="C117" s="131">
        <f t="shared" si="9"/>
        <v>288.33700000000005</v>
      </c>
      <c r="D117" s="132">
        <v>0.4375071843834899</v>
      </c>
      <c r="E117" s="133">
        <f t="shared" si="15"/>
        <v>6.5184785660455047</v>
      </c>
      <c r="F117" s="134">
        <f t="shared" si="12"/>
        <v>15.778463070486071</v>
      </c>
      <c r="G117" s="653">
        <f t="shared" si="11"/>
        <v>4.1343254594450238</v>
      </c>
    </row>
    <row r="118" spans="1:7" x14ac:dyDescent="0.25">
      <c r="A118" s="129">
        <v>2003</v>
      </c>
      <c r="B118" s="130" t="s">
        <v>23</v>
      </c>
      <c r="C118" s="131">
        <f t="shared" si="9"/>
        <v>289.71800000000007</v>
      </c>
      <c r="D118" s="132">
        <v>0.47895344683479557</v>
      </c>
      <c r="E118" s="133">
        <f t="shared" si="15"/>
        <v>7.0286524906535641</v>
      </c>
      <c r="F118" s="134">
        <f t="shared" si="12"/>
        <v>9.9165338796570079</v>
      </c>
      <c r="G118" s="653">
        <f t="shared" si="11"/>
        <v>4.1146183530191411</v>
      </c>
    </row>
    <row r="119" spans="1:7" x14ac:dyDescent="0.25">
      <c r="A119" s="129">
        <v>2003</v>
      </c>
      <c r="B119" s="130" t="s">
        <v>12</v>
      </c>
      <c r="C119" s="131">
        <f t="shared" si="9"/>
        <v>291.4620000000001</v>
      </c>
      <c r="D119" s="132">
        <v>0.6019646690920144</v>
      </c>
      <c r="E119" s="133">
        <f t="shared" si="15"/>
        <v>7.6729271644525809</v>
      </c>
      <c r="F119" s="134">
        <f t="shared" si="12"/>
        <v>7.6729271644525809</v>
      </c>
      <c r="G119" s="653">
        <f t="shared" si="11"/>
        <v>4.0899980100321809</v>
      </c>
    </row>
    <row r="120" spans="1:7" x14ac:dyDescent="0.25">
      <c r="A120" s="129">
        <v>2004</v>
      </c>
      <c r="B120" s="130" t="s">
        <v>13</v>
      </c>
      <c r="C120" s="131">
        <f t="shared" si="9"/>
        <v>293.79300000000012</v>
      </c>
      <c r="D120" s="132">
        <v>0.79976120386191507</v>
      </c>
      <c r="E120" s="133">
        <f>(C120/$C$119-1)*100</f>
        <v>0.79976120386191507</v>
      </c>
      <c r="F120" s="134">
        <f t="shared" si="12"/>
        <v>6.2242839271380968</v>
      </c>
      <c r="G120" s="653">
        <f t="shared" si="11"/>
        <v>4.0575473207326231</v>
      </c>
    </row>
    <row r="121" spans="1:7" x14ac:dyDescent="0.25">
      <c r="A121" s="129">
        <v>2004</v>
      </c>
      <c r="B121" s="130" t="s">
        <v>14</v>
      </c>
      <c r="C121" s="131">
        <f t="shared" si="9"/>
        <v>296.97600000000011</v>
      </c>
      <c r="D121" s="132">
        <v>1.0834158744422062</v>
      </c>
      <c r="E121" s="133">
        <f t="shared" ref="E121:E131" si="16">(C121/$C$119-1)*100</f>
        <v>1.8918418181443908</v>
      </c>
      <c r="F121" s="134">
        <f t="shared" si="12"/>
        <v>5.6914272698801449</v>
      </c>
      <c r="G121" s="653">
        <f t="shared" si="11"/>
        <v>4.0140583750875471</v>
      </c>
    </row>
    <row r="122" spans="1:7" x14ac:dyDescent="0.25">
      <c r="A122" s="129">
        <v>2004</v>
      </c>
      <c r="B122" s="130" t="s">
        <v>15</v>
      </c>
      <c r="C122" s="131">
        <f t="shared" si="9"/>
        <v>299.74600000000015</v>
      </c>
      <c r="D122" s="132">
        <v>0.93273530520985304</v>
      </c>
      <c r="E122" s="133">
        <f t="shared" si="16"/>
        <v>2.8422229999108151</v>
      </c>
      <c r="F122" s="134">
        <f t="shared" si="12"/>
        <v>4.9383839798347706</v>
      </c>
      <c r="G122" s="653">
        <f t="shared" si="11"/>
        <v>3.9769638293755358</v>
      </c>
    </row>
    <row r="123" spans="1:7" x14ac:dyDescent="0.25">
      <c r="A123" s="129">
        <v>2004</v>
      </c>
      <c r="B123" s="130" t="s">
        <v>16</v>
      </c>
      <c r="C123" s="131">
        <f t="shared" si="9"/>
        <v>303.1840000000002</v>
      </c>
      <c r="D123" s="132">
        <v>1.1469711021998785</v>
      </c>
      <c r="E123" s="133">
        <f t="shared" si="16"/>
        <v>4.0217935785797465</v>
      </c>
      <c r="F123" s="134">
        <f t="shared" si="12"/>
        <v>5.707163153949435</v>
      </c>
      <c r="G123" s="653">
        <f t="shared" si="11"/>
        <v>3.9318664573328381</v>
      </c>
    </row>
    <row r="124" spans="1:7" x14ac:dyDescent="0.25">
      <c r="A124" s="129">
        <v>2004</v>
      </c>
      <c r="B124" s="130" t="s">
        <v>17</v>
      </c>
      <c r="C124" s="131">
        <f t="shared" si="9"/>
        <v>307.61600000000016</v>
      </c>
      <c r="D124" s="132">
        <v>1.4618185656235072</v>
      </c>
      <c r="E124" s="133">
        <f t="shared" si="16"/>
        <v>5.5424034694059765</v>
      </c>
      <c r="F124" s="134">
        <f t="shared" si="12"/>
        <v>7.973323973323998</v>
      </c>
      <c r="G124" s="653">
        <f t="shared" si="11"/>
        <v>3.8752178040153935</v>
      </c>
    </row>
    <row r="125" spans="1:7" x14ac:dyDescent="0.25">
      <c r="A125" s="129">
        <v>2004</v>
      </c>
      <c r="B125" s="130" t="s">
        <v>18</v>
      </c>
      <c r="C125" s="131">
        <f t="shared" si="9"/>
        <v>311.57600000000019</v>
      </c>
      <c r="D125" s="132">
        <v>1.2873192551752899</v>
      </c>
      <c r="E125" s="133">
        <f t="shared" si="16"/>
        <v>6.9010711516424461</v>
      </c>
      <c r="F125" s="134">
        <f t="shared" si="12"/>
        <v>10.131383146055528</v>
      </c>
      <c r="G125" s="653">
        <f t="shared" si="11"/>
        <v>3.8259654145377024</v>
      </c>
    </row>
    <row r="126" spans="1:7" x14ac:dyDescent="0.25">
      <c r="A126" s="129">
        <v>2004</v>
      </c>
      <c r="B126" s="130" t="s">
        <v>19</v>
      </c>
      <c r="C126" s="131">
        <f t="shared" si="9"/>
        <v>315.11300000000023</v>
      </c>
      <c r="D126" s="132">
        <v>1.1351965491565474</v>
      </c>
      <c r="E126" s="133">
        <f t="shared" si="16"/>
        <v>8.1146084223672865</v>
      </c>
      <c r="F126" s="134">
        <f t="shared" si="12"/>
        <v>11.604078640264404</v>
      </c>
      <c r="G126" s="653">
        <f t="shared" si="11"/>
        <v>3.7830206941636781</v>
      </c>
    </row>
    <row r="127" spans="1:7" x14ac:dyDescent="0.25">
      <c r="A127" s="129">
        <v>2004</v>
      </c>
      <c r="B127" s="130" t="s">
        <v>20</v>
      </c>
      <c r="C127" s="131">
        <f t="shared" si="9"/>
        <v>319.24400000000026</v>
      </c>
      <c r="D127" s="132">
        <v>1.3109582911527085</v>
      </c>
      <c r="E127" s="133">
        <f t="shared" si="16"/>
        <v>9.5319458454275807</v>
      </c>
      <c r="F127" s="134">
        <f t="shared" si="12"/>
        <v>12.368314531599278</v>
      </c>
      <c r="G127" s="653">
        <f t="shared" si="11"/>
        <v>3.734068612096074</v>
      </c>
    </row>
    <row r="128" spans="1:7" x14ac:dyDescent="0.25">
      <c r="A128" s="129">
        <v>2004</v>
      </c>
      <c r="B128" s="130" t="s">
        <v>21</v>
      </c>
      <c r="C128" s="131">
        <f t="shared" si="9"/>
        <v>320.78800000000024</v>
      </c>
      <c r="D128" s="132">
        <v>0.48364260565585404</v>
      </c>
      <c r="E128" s="133">
        <f t="shared" si="16"/>
        <v>10.061689002339968</v>
      </c>
      <c r="F128" s="134">
        <f t="shared" si="12"/>
        <v>11.741285560521298</v>
      </c>
      <c r="G128" s="653">
        <f t="shared" si="11"/>
        <v>3.7160959886280005</v>
      </c>
    </row>
    <row r="129" spans="1:7" x14ac:dyDescent="0.25">
      <c r="A129" s="129">
        <v>2004</v>
      </c>
      <c r="B129" s="130" t="s">
        <v>22</v>
      </c>
      <c r="C129" s="131">
        <f t="shared" si="9"/>
        <v>322.49200000000025</v>
      </c>
      <c r="D129" s="132">
        <v>0.53119193984811908</v>
      </c>
      <c r="E129" s="133">
        <f t="shared" si="16"/>
        <v>10.646327823181112</v>
      </c>
      <c r="F129" s="134">
        <f t="shared" si="12"/>
        <v>11.845514103288934</v>
      </c>
      <c r="G129" s="653">
        <f t="shared" si="11"/>
        <v>3.6964606873968937</v>
      </c>
    </row>
    <row r="130" spans="1:7" x14ac:dyDescent="0.25">
      <c r="A130" s="129">
        <v>2004</v>
      </c>
      <c r="B130" s="130" t="s">
        <v>23</v>
      </c>
      <c r="C130" s="131">
        <f t="shared" si="9"/>
        <v>325.14800000000025</v>
      </c>
      <c r="D130" s="132">
        <v>0.82358632152115252</v>
      </c>
      <c r="E130" s="133">
        <f t="shared" si="16"/>
        <v>11.557595844398282</v>
      </c>
      <c r="F130" s="134">
        <f t="shared" si="12"/>
        <v>12.229133157070038</v>
      </c>
      <c r="G130" s="653">
        <f t="shared" si="11"/>
        <v>3.6662658235634202</v>
      </c>
    </row>
    <row r="131" spans="1:7" x14ac:dyDescent="0.25">
      <c r="A131" s="129">
        <v>2004</v>
      </c>
      <c r="B131" s="130" t="s">
        <v>12</v>
      </c>
      <c r="C131" s="131">
        <f t="shared" si="9"/>
        <v>326.83300000000025</v>
      </c>
      <c r="D131" s="132">
        <v>0.51822554652034558</v>
      </c>
      <c r="E131" s="133">
        <f t="shared" si="16"/>
        <v>12.135715805147896</v>
      </c>
      <c r="F131" s="134">
        <f t="shared" si="12"/>
        <v>12.135715805147896</v>
      </c>
      <c r="G131" s="653">
        <f t="shared" si="11"/>
        <v>3.6473642502440056</v>
      </c>
    </row>
    <row r="132" spans="1:7" x14ac:dyDescent="0.25">
      <c r="A132" s="129">
        <v>2005</v>
      </c>
      <c r="B132" s="130" t="s">
        <v>13</v>
      </c>
      <c r="C132" s="131">
        <f t="shared" si="9"/>
        <v>327.91500000000025</v>
      </c>
      <c r="D132" s="132">
        <v>0.33105592152566921</v>
      </c>
      <c r="E132" s="133">
        <f>(C132/$C$131-1)*100</f>
        <v>0.33105592152566921</v>
      </c>
      <c r="F132" s="134">
        <f t="shared" si="12"/>
        <v>11.614299864190137</v>
      </c>
      <c r="G132" s="653">
        <f t="shared" si="11"/>
        <v>3.6353292774042023</v>
      </c>
    </row>
    <row r="133" spans="1:7" x14ac:dyDescent="0.25">
      <c r="A133" s="129">
        <v>2005</v>
      </c>
      <c r="B133" s="130" t="s">
        <v>14</v>
      </c>
      <c r="C133" s="131">
        <f t="shared" si="9"/>
        <v>329.24100000000021</v>
      </c>
      <c r="D133" s="132">
        <v>0.40437308448835196</v>
      </c>
      <c r="E133" s="133">
        <f t="shared" ref="E133:E143" si="17">(C133/$C$131-1)*100</f>
        <v>0.73676770705526362</v>
      </c>
      <c r="F133" s="134">
        <f t="shared" si="12"/>
        <v>10.864514304186223</v>
      </c>
      <c r="G133" s="653">
        <f t="shared" si="11"/>
        <v>3.6206881888950622</v>
      </c>
    </row>
    <row r="134" spans="1:7" x14ac:dyDescent="0.25">
      <c r="A134" s="129">
        <v>2005</v>
      </c>
      <c r="B134" s="130" t="s">
        <v>15</v>
      </c>
      <c r="C134" s="131">
        <f t="shared" si="9"/>
        <v>332.49000000000024</v>
      </c>
      <c r="D134" s="132">
        <v>0.98681512934295501</v>
      </c>
      <c r="E134" s="133">
        <f t="shared" si="17"/>
        <v>1.73085337159955</v>
      </c>
      <c r="F134" s="134">
        <f t="shared" si="12"/>
        <v>10.923915581859323</v>
      </c>
      <c r="G134" s="653">
        <f t="shared" si="11"/>
        <v>3.5853078288068789</v>
      </c>
    </row>
    <row r="135" spans="1:7" x14ac:dyDescent="0.25">
      <c r="A135" s="129">
        <v>2005</v>
      </c>
      <c r="B135" s="130" t="s">
        <v>16</v>
      </c>
      <c r="C135" s="131">
        <f t="shared" si="9"/>
        <v>334.17000000000024</v>
      </c>
      <c r="D135" s="132">
        <v>0.50527835423621603</v>
      </c>
      <c r="E135" s="133">
        <f t="shared" si="17"/>
        <v>2.2448773532660393</v>
      </c>
      <c r="F135" s="134">
        <f t="shared" si="12"/>
        <v>10.220196316428321</v>
      </c>
      <c r="G135" s="653">
        <f t="shared" si="11"/>
        <v>3.5672831193703778</v>
      </c>
    </row>
    <row r="136" spans="1:7" x14ac:dyDescent="0.25">
      <c r="A136" s="129">
        <v>2005</v>
      </c>
      <c r="B136" s="130" t="s">
        <v>17</v>
      </c>
      <c r="C136" s="131">
        <f t="shared" ref="C136:C199" si="18">C135*(1+D136/100)</f>
        <v>333.32100000000025</v>
      </c>
      <c r="D136" s="132">
        <v>-0.25406230361791904</v>
      </c>
      <c r="E136" s="133">
        <f t="shared" si="17"/>
        <v>1.9851116625310139</v>
      </c>
      <c r="F136" s="134">
        <f t="shared" si="12"/>
        <v>8.3561973369395979</v>
      </c>
      <c r="G136" s="653">
        <f t="shared" si="11"/>
        <v>3.5763693256650466</v>
      </c>
    </row>
    <row r="137" spans="1:7" x14ac:dyDescent="0.25">
      <c r="A137" s="129">
        <v>2005</v>
      </c>
      <c r="B137" s="130" t="s">
        <v>18</v>
      </c>
      <c r="C137" s="131">
        <f t="shared" si="18"/>
        <v>331.82300000000021</v>
      </c>
      <c r="D137" s="132">
        <v>-0.44941662841526675</v>
      </c>
      <c r="E137" s="133">
        <f t="shared" si="17"/>
        <v>1.5267736122117181</v>
      </c>
      <c r="F137" s="134">
        <f t="shared" si="12"/>
        <v>6.498254037538187</v>
      </c>
      <c r="G137" s="653">
        <f t="shared" si="11"/>
        <v>3.5925146840333526</v>
      </c>
    </row>
    <row r="138" spans="1:7" x14ac:dyDescent="0.25">
      <c r="A138" s="129">
        <v>2005</v>
      </c>
      <c r="B138" s="130" t="s">
        <v>19</v>
      </c>
      <c r="C138" s="131">
        <f t="shared" si="18"/>
        <v>330.48400000000021</v>
      </c>
      <c r="D138" s="132">
        <v>-0.40352838712205408</v>
      </c>
      <c r="E138" s="133">
        <f t="shared" si="17"/>
        <v>1.1170842601573083</v>
      </c>
      <c r="F138" s="134">
        <f t="shared" si="12"/>
        <v>4.8779326781186239</v>
      </c>
      <c r="G138" s="653">
        <f t="shared" ref="G138:G201" si="19">$C$375/C138</f>
        <v>3.6070702363805789</v>
      </c>
    </row>
    <row r="139" spans="1:7" x14ac:dyDescent="0.25">
      <c r="A139" s="129">
        <v>2005</v>
      </c>
      <c r="B139" s="130" t="s">
        <v>20</v>
      </c>
      <c r="C139" s="131">
        <f t="shared" si="18"/>
        <v>327.88700000000023</v>
      </c>
      <c r="D139" s="132">
        <v>-0.78581716512750033</v>
      </c>
      <c r="E139" s="133">
        <f t="shared" si="17"/>
        <v>0.32248885516454884</v>
      </c>
      <c r="F139" s="134">
        <f t="shared" si="12"/>
        <v>2.7073335755722683</v>
      </c>
      <c r="G139" s="653">
        <f t="shared" si="19"/>
        <v>3.6356397173416424</v>
      </c>
    </row>
    <row r="140" spans="1:7" x14ac:dyDescent="0.25">
      <c r="A140" s="129">
        <v>2005</v>
      </c>
      <c r="B140" s="130" t="s">
        <v>21</v>
      </c>
      <c r="C140" s="131">
        <f t="shared" si="18"/>
        <v>327.45400000000024</v>
      </c>
      <c r="D140" s="132">
        <v>-0.13205769060682382</v>
      </c>
      <c r="E140" s="133">
        <f t="shared" si="17"/>
        <v>0.19000529322312776</v>
      </c>
      <c r="F140" s="134">
        <f t="shared" si="12"/>
        <v>2.0780079055326306</v>
      </c>
      <c r="G140" s="653">
        <f t="shared" si="19"/>
        <v>3.6404472078520924</v>
      </c>
    </row>
    <row r="141" spans="1:7" x14ac:dyDescent="0.25">
      <c r="A141" s="129">
        <v>2005</v>
      </c>
      <c r="B141" s="130" t="s">
        <v>22</v>
      </c>
      <c r="C141" s="131">
        <f t="shared" si="18"/>
        <v>329.52900000000022</v>
      </c>
      <c r="D141" s="132">
        <v>0.63367679124395337</v>
      </c>
      <c r="E141" s="133">
        <f t="shared" si="17"/>
        <v>0.82488610391238115</v>
      </c>
      <c r="F141" s="134">
        <f t="shared" si="12"/>
        <v>2.1820696327350619</v>
      </c>
      <c r="G141" s="653">
        <f t="shared" si="19"/>
        <v>3.6175237991193465</v>
      </c>
    </row>
    <row r="142" spans="1:7" x14ac:dyDescent="0.25">
      <c r="A142" s="129">
        <v>2005</v>
      </c>
      <c r="B142" s="130" t="s">
        <v>23</v>
      </c>
      <c r="C142" s="131">
        <f t="shared" si="18"/>
        <v>330.61900000000026</v>
      </c>
      <c r="D142" s="132">
        <v>0.33077513663442026</v>
      </c>
      <c r="E142" s="133">
        <f t="shared" si="17"/>
        <v>1.1583897586840974</v>
      </c>
      <c r="F142" s="134">
        <f t="shared" si="12"/>
        <v>1.6826183768622327</v>
      </c>
      <c r="G142" s="653">
        <f t="shared" si="19"/>
        <v>3.6055973794609475</v>
      </c>
    </row>
    <row r="143" spans="1:7" x14ac:dyDescent="0.25">
      <c r="A143" s="129">
        <v>2005</v>
      </c>
      <c r="B143" s="130" t="s">
        <v>12</v>
      </c>
      <c r="C143" s="131">
        <f t="shared" si="18"/>
        <v>330.83500000000021</v>
      </c>
      <c r="D143" s="132">
        <v>6.5331998463480367E-2</v>
      </c>
      <c r="E143" s="133">
        <f t="shared" si="17"/>
        <v>1.2244785563269245</v>
      </c>
      <c r="F143" s="134">
        <f t="shared" si="12"/>
        <v>1.2244785563269245</v>
      </c>
      <c r="G143" s="653">
        <f t="shared" si="19"/>
        <v>3.6032433085979392</v>
      </c>
    </row>
    <row r="144" spans="1:7" x14ac:dyDescent="0.25">
      <c r="A144" s="129">
        <v>2006</v>
      </c>
      <c r="B144" s="130" t="s">
        <v>13</v>
      </c>
      <c r="C144" s="131">
        <f t="shared" si="18"/>
        <v>333.22200000000015</v>
      </c>
      <c r="D144" s="132">
        <v>0.72150770021308652</v>
      </c>
      <c r="E144" s="133">
        <f>(C144/$C$143-1)*100</f>
        <v>0.72150770021308652</v>
      </c>
      <c r="F144" s="134">
        <f t="shared" si="12"/>
        <v>1.6184072091852686</v>
      </c>
      <c r="G144" s="653">
        <f t="shared" si="19"/>
        <v>3.5774318622419869</v>
      </c>
    </row>
    <row r="145" spans="1:7" x14ac:dyDescent="0.25">
      <c r="A145" s="129">
        <v>2006</v>
      </c>
      <c r="B145" s="130" t="s">
        <v>14</v>
      </c>
      <c r="C145" s="131">
        <f t="shared" si="18"/>
        <v>333.03000000000014</v>
      </c>
      <c r="D145" s="132">
        <v>-5.7619244827777916E-2</v>
      </c>
      <c r="E145" s="133">
        <f t="shared" ref="E145:E155" si="20">(C145/$C$143-1)*100</f>
        <v>0.66347272809705871</v>
      </c>
      <c r="F145" s="134">
        <f t="shared" si="12"/>
        <v>1.1508287242475657</v>
      </c>
      <c r="G145" s="653">
        <f t="shared" si="19"/>
        <v>3.5794943398492611</v>
      </c>
    </row>
    <row r="146" spans="1:7" x14ac:dyDescent="0.25">
      <c r="A146" s="129">
        <v>2006</v>
      </c>
      <c r="B146" s="130" t="s">
        <v>15</v>
      </c>
      <c r="C146" s="131">
        <f t="shared" si="18"/>
        <v>331.53100000000018</v>
      </c>
      <c r="D146" s="132">
        <v>-0.45010959973574849</v>
      </c>
      <c r="E146" s="133">
        <f t="shared" si="20"/>
        <v>0.21037677392052867</v>
      </c>
      <c r="F146" s="134">
        <f t="shared" si="12"/>
        <v>-0.28842972720986015</v>
      </c>
      <c r="G146" s="653">
        <f t="shared" si="19"/>
        <v>3.5956788354633482</v>
      </c>
    </row>
    <row r="147" spans="1:7" x14ac:dyDescent="0.25">
      <c r="A147" s="129">
        <v>2006</v>
      </c>
      <c r="B147" s="130" t="s">
        <v>30</v>
      </c>
      <c r="C147" s="131">
        <f t="shared" si="18"/>
        <v>331.6070000000002</v>
      </c>
      <c r="D147" s="132">
        <v>2.2923949796549437E-2</v>
      </c>
      <c r="E147" s="133">
        <f t="shared" si="20"/>
        <v>0.23334895038311654</v>
      </c>
      <c r="F147" s="134">
        <f t="shared" si="12"/>
        <v>-0.76697489301853494</v>
      </c>
      <c r="G147" s="653">
        <f t="shared" si="19"/>
        <v>3.5948547527645656</v>
      </c>
    </row>
    <row r="148" spans="1:7" x14ac:dyDescent="0.25">
      <c r="A148" s="129">
        <v>2006</v>
      </c>
      <c r="B148" s="130" t="s">
        <v>31</v>
      </c>
      <c r="C148" s="131">
        <f t="shared" si="18"/>
        <v>332.85100000000023</v>
      </c>
      <c r="D148" s="132">
        <v>0.37514286489730431</v>
      </c>
      <c r="E148" s="133">
        <f t="shared" si="20"/>
        <v>0.60936720721811444</v>
      </c>
      <c r="F148" s="134">
        <f t="shared" ref="F148:F211" si="21">100*(C148/C136-1)</f>
        <v>-0.14100521719304648</v>
      </c>
      <c r="G148" s="653">
        <f t="shared" si="19"/>
        <v>3.5814193137469892</v>
      </c>
    </row>
    <row r="149" spans="1:7" x14ac:dyDescent="0.25">
      <c r="A149" s="129">
        <v>2006</v>
      </c>
      <c r="B149" s="130" t="s">
        <v>32</v>
      </c>
      <c r="C149" s="131">
        <f t="shared" si="18"/>
        <v>335.06700000000018</v>
      </c>
      <c r="D149" s="132">
        <v>0.66576335958130617</v>
      </c>
      <c r="E149" s="133">
        <f t="shared" si="20"/>
        <v>1.2791875103903561</v>
      </c>
      <c r="F149" s="134">
        <f t="shared" si="21"/>
        <v>0.97762963989838081</v>
      </c>
      <c r="G149" s="653">
        <f t="shared" si="19"/>
        <v>3.5577332294735062</v>
      </c>
    </row>
    <row r="150" spans="1:7" x14ac:dyDescent="0.25">
      <c r="A150" s="129">
        <v>2006</v>
      </c>
      <c r="B150" s="130" t="s">
        <v>33</v>
      </c>
      <c r="C150" s="131">
        <f t="shared" si="18"/>
        <v>335.63700000000017</v>
      </c>
      <c r="D150" s="132">
        <v>0.17011523068519718</v>
      </c>
      <c r="E150" s="133">
        <f t="shared" si="20"/>
        <v>1.4514788338597651</v>
      </c>
      <c r="F150" s="134">
        <f t="shared" si="21"/>
        <v>1.5592282833662097</v>
      </c>
      <c r="G150" s="653">
        <f t="shared" si="19"/>
        <v>3.5516912616904555</v>
      </c>
    </row>
    <row r="151" spans="1:7" x14ac:dyDescent="0.25">
      <c r="A151" s="129">
        <v>2006</v>
      </c>
      <c r="B151" s="130" t="s">
        <v>20</v>
      </c>
      <c r="C151" s="131">
        <f t="shared" si="18"/>
        <v>337.01100000000019</v>
      </c>
      <c r="D151" s="132">
        <v>0.40937083813763486</v>
      </c>
      <c r="E151" s="133">
        <f t="shared" si="20"/>
        <v>1.8667916030649767</v>
      </c>
      <c r="F151" s="134">
        <f t="shared" si="21"/>
        <v>2.7826659794380371</v>
      </c>
      <c r="G151" s="653">
        <f t="shared" si="19"/>
        <v>3.5372109515713115</v>
      </c>
    </row>
    <row r="152" spans="1:7" x14ac:dyDescent="0.25">
      <c r="A152" s="129">
        <v>2006</v>
      </c>
      <c r="B152" s="130" t="s">
        <v>36</v>
      </c>
      <c r="C152" s="131">
        <f t="shared" si="18"/>
        <v>337.81700000000018</v>
      </c>
      <c r="D152" s="132">
        <v>0.23916133301287168</v>
      </c>
      <c r="E152" s="133">
        <f t="shared" si="20"/>
        <v>2.1104175797602931</v>
      </c>
      <c r="F152" s="134">
        <f t="shared" si="21"/>
        <v>3.1647193193547585</v>
      </c>
      <c r="G152" s="653">
        <f t="shared" si="19"/>
        <v>3.5287714946257864</v>
      </c>
    </row>
    <row r="153" spans="1:7" x14ac:dyDescent="0.25">
      <c r="A153" s="129">
        <v>2006</v>
      </c>
      <c r="B153" s="130" t="s">
        <v>22</v>
      </c>
      <c r="C153" s="131">
        <f t="shared" si="18"/>
        <v>340.54100000000022</v>
      </c>
      <c r="D153" s="132">
        <v>0.80635373589843518</v>
      </c>
      <c r="E153" s="133">
        <f t="shared" si="20"/>
        <v>2.9337887466561963</v>
      </c>
      <c r="F153" s="134">
        <f t="shared" si="21"/>
        <v>3.3417392702918436</v>
      </c>
      <c r="G153" s="653">
        <f t="shared" si="19"/>
        <v>3.500544721487278</v>
      </c>
    </row>
    <row r="154" spans="1:7" x14ac:dyDescent="0.25">
      <c r="A154" s="129">
        <v>2006</v>
      </c>
      <c r="B154" s="130" t="s">
        <v>23</v>
      </c>
      <c r="C154" s="131">
        <f t="shared" si="18"/>
        <v>342.4820000000002</v>
      </c>
      <c r="D154" s="132">
        <v>0.56997542146173252</v>
      </c>
      <c r="E154" s="133">
        <f t="shared" si="20"/>
        <v>3.5204860428914575</v>
      </c>
      <c r="F154" s="134">
        <f t="shared" si="21"/>
        <v>3.5881180452423944</v>
      </c>
      <c r="G154" s="653">
        <f t="shared" si="19"/>
        <v>3.4807055553284529</v>
      </c>
    </row>
    <row r="155" spans="1:7" x14ac:dyDescent="0.25">
      <c r="A155" s="129">
        <v>2006</v>
      </c>
      <c r="B155" s="130" t="s">
        <v>12</v>
      </c>
      <c r="C155" s="131">
        <f t="shared" si="18"/>
        <v>343.38400000000019</v>
      </c>
      <c r="D155" s="132">
        <v>0.26337150565576284</v>
      </c>
      <c r="E155" s="133">
        <f t="shared" si="20"/>
        <v>3.7931295056447878</v>
      </c>
      <c r="F155" s="134">
        <f t="shared" si="21"/>
        <v>3.7931295056447878</v>
      </c>
      <c r="G155" s="653">
        <f t="shared" si="19"/>
        <v>3.4715624490366448</v>
      </c>
    </row>
    <row r="156" spans="1:7" x14ac:dyDescent="0.25">
      <c r="A156" s="129">
        <v>2007</v>
      </c>
      <c r="B156" s="130" t="s">
        <v>27</v>
      </c>
      <c r="C156" s="131">
        <f t="shared" si="18"/>
        <v>344.85000000000025</v>
      </c>
      <c r="D156" s="132">
        <v>0.42692728840016958</v>
      </c>
      <c r="E156" s="133">
        <f>(C156/$C$155-1)*100</f>
        <v>0.42692728840016958</v>
      </c>
      <c r="F156" s="134">
        <f t="shared" si="21"/>
        <v>3.4895655148819982</v>
      </c>
      <c r="G156" s="653">
        <f t="shared" si="19"/>
        <v>3.4568044077134958</v>
      </c>
    </row>
    <row r="157" spans="1:7" x14ac:dyDescent="0.25">
      <c r="A157" s="129">
        <v>2007</v>
      </c>
      <c r="B157" s="130" t="s">
        <v>14</v>
      </c>
      <c r="C157" s="131">
        <f t="shared" si="18"/>
        <v>345.65200000000021</v>
      </c>
      <c r="D157" s="132">
        <v>0.23256488328258218</v>
      </c>
      <c r="E157" s="133">
        <f t="shared" ref="E157:E167" si="22">(C157/$C$155-1)*100</f>
        <v>0.66048505463272011</v>
      </c>
      <c r="F157" s="134">
        <f t="shared" si="21"/>
        <v>3.7900489445395591</v>
      </c>
      <c r="G157" s="653">
        <f t="shared" si="19"/>
        <v>3.4487837478157197</v>
      </c>
    </row>
    <row r="158" spans="1:7" x14ac:dyDescent="0.25">
      <c r="A158" s="129">
        <v>2007</v>
      </c>
      <c r="B158" s="130" t="s">
        <v>29</v>
      </c>
      <c r="C158" s="131">
        <f t="shared" si="18"/>
        <v>346.40700000000021</v>
      </c>
      <c r="D158" s="132">
        <v>0.21842778285674491</v>
      </c>
      <c r="E158" s="133">
        <f t="shared" si="22"/>
        <v>0.88035552035039544</v>
      </c>
      <c r="F158" s="134">
        <f t="shared" si="21"/>
        <v>4.4870615417562876</v>
      </c>
      <c r="G158" s="653">
        <f t="shared" si="19"/>
        <v>3.4412670644646304</v>
      </c>
    </row>
    <row r="159" spans="1:7" x14ac:dyDescent="0.25">
      <c r="A159" s="129">
        <v>2007</v>
      </c>
      <c r="B159" s="130" t="s">
        <v>30</v>
      </c>
      <c r="C159" s="131">
        <f t="shared" si="18"/>
        <v>346.87800000000027</v>
      </c>
      <c r="D159" s="132">
        <v>0.13596722929964944</v>
      </c>
      <c r="E159" s="133">
        <f t="shared" si="22"/>
        <v>1.0175197446590678</v>
      </c>
      <c r="F159" s="134">
        <f t="shared" si="21"/>
        <v>4.6051500722240624</v>
      </c>
      <c r="G159" s="653">
        <f t="shared" si="19"/>
        <v>3.4365944222464355</v>
      </c>
    </row>
    <row r="160" spans="1:7" x14ac:dyDescent="0.25">
      <c r="A160" s="129">
        <v>2007</v>
      </c>
      <c r="B160" s="130" t="s">
        <v>31</v>
      </c>
      <c r="C160" s="131">
        <f t="shared" si="18"/>
        <v>347.42100000000028</v>
      </c>
      <c r="D160" s="132">
        <v>0.1565391866881205</v>
      </c>
      <c r="E160" s="133">
        <f t="shared" si="22"/>
        <v>1.1756517484798668</v>
      </c>
      <c r="F160" s="134">
        <f t="shared" si="21"/>
        <v>4.3773340023013363</v>
      </c>
      <c r="G160" s="653">
        <f t="shared" si="19"/>
        <v>3.4312232133348273</v>
      </c>
    </row>
    <row r="161" spans="1:7" x14ac:dyDescent="0.25">
      <c r="A161" s="129">
        <v>2007</v>
      </c>
      <c r="B161" s="130" t="s">
        <v>32</v>
      </c>
      <c r="C161" s="131">
        <f t="shared" si="18"/>
        <v>348.32800000000026</v>
      </c>
      <c r="D161" s="132">
        <v>0.26106654462452195</v>
      </c>
      <c r="E161" s="133">
        <f t="shared" si="22"/>
        <v>1.4397875265009574</v>
      </c>
      <c r="F161" s="134">
        <f t="shared" si="21"/>
        <v>3.9577159195026912</v>
      </c>
      <c r="G161" s="653">
        <f t="shared" si="19"/>
        <v>3.4222887623159752</v>
      </c>
    </row>
    <row r="162" spans="1:7" x14ac:dyDescent="0.25">
      <c r="A162" s="129">
        <v>2007</v>
      </c>
      <c r="B162" s="130" t="s">
        <v>33</v>
      </c>
      <c r="C162" s="131">
        <f t="shared" si="18"/>
        <v>349.62800000000033</v>
      </c>
      <c r="D162" s="132">
        <v>0.37321145586919346</v>
      </c>
      <c r="E162" s="133">
        <f t="shared" si="22"/>
        <v>1.81837243435925</v>
      </c>
      <c r="F162" s="134">
        <f t="shared" si="21"/>
        <v>4.1684915548643842</v>
      </c>
      <c r="G162" s="653">
        <f t="shared" si="19"/>
        <v>3.4095638793231631</v>
      </c>
    </row>
    <row r="163" spans="1:7" x14ac:dyDescent="0.25">
      <c r="A163" s="129">
        <v>2007</v>
      </c>
      <c r="B163" s="130" t="s">
        <v>34</v>
      </c>
      <c r="C163" s="131">
        <f t="shared" si="18"/>
        <v>354.4950000000004</v>
      </c>
      <c r="D163" s="132">
        <v>1.3920509798986513</v>
      </c>
      <c r="E163" s="133">
        <f t="shared" si="22"/>
        <v>3.2357360855486128</v>
      </c>
      <c r="F163" s="134">
        <f t="shared" si="21"/>
        <v>5.1879612238176831</v>
      </c>
      <c r="G163" s="653">
        <f t="shared" si="19"/>
        <v>3.3627526481332559</v>
      </c>
    </row>
    <row r="164" spans="1:7" x14ac:dyDescent="0.25">
      <c r="A164" s="129">
        <v>2007</v>
      </c>
      <c r="B164" s="130" t="s">
        <v>36</v>
      </c>
      <c r="C164" s="131">
        <f t="shared" si="18"/>
        <v>358.63300000000038</v>
      </c>
      <c r="D164" s="132">
        <v>1.1672943200891295</v>
      </c>
      <c r="E164" s="133">
        <f t="shared" si="22"/>
        <v>4.4408009691774275</v>
      </c>
      <c r="F164" s="134">
        <f t="shared" si="21"/>
        <v>6.1619160669830642</v>
      </c>
      <c r="G164" s="653">
        <f t="shared" si="19"/>
        <v>3.323952341251359</v>
      </c>
    </row>
    <row r="165" spans="1:7" x14ac:dyDescent="0.25">
      <c r="A165" s="129">
        <v>2007</v>
      </c>
      <c r="B165" s="130" t="s">
        <v>35</v>
      </c>
      <c r="C165" s="131">
        <f t="shared" si="18"/>
        <v>361.30800000000039</v>
      </c>
      <c r="D165" s="132">
        <v>0.74588785750335784</v>
      </c>
      <c r="E165" s="133">
        <f t="shared" si="22"/>
        <v>5.2198122218857668</v>
      </c>
      <c r="F165" s="134">
        <f t="shared" si="21"/>
        <v>6.0982378039649232</v>
      </c>
      <c r="G165" s="653">
        <f t="shared" si="19"/>
        <v>3.2993429428631491</v>
      </c>
    </row>
    <row r="166" spans="1:7" x14ac:dyDescent="0.25">
      <c r="A166" s="129">
        <v>2007</v>
      </c>
      <c r="B166" s="130" t="s">
        <v>25</v>
      </c>
      <c r="C166" s="131">
        <f t="shared" si="18"/>
        <v>365.10000000000048</v>
      </c>
      <c r="D166" s="132">
        <v>1.0495200770533897</v>
      </c>
      <c r="E166" s="133">
        <f t="shared" si="22"/>
        <v>6.3241152761923436</v>
      </c>
      <c r="F166" s="134">
        <f t="shared" si="21"/>
        <v>6.6041426994704056</v>
      </c>
      <c r="G166" s="653">
        <f t="shared" si="19"/>
        <v>3.2650753218296313</v>
      </c>
    </row>
    <row r="167" spans="1:7" x14ac:dyDescent="0.25">
      <c r="A167" s="129">
        <v>2007</v>
      </c>
      <c r="B167" s="130" t="s">
        <v>26</v>
      </c>
      <c r="C167" s="131">
        <f t="shared" si="18"/>
        <v>370.48500000000053</v>
      </c>
      <c r="D167" s="132">
        <v>1.4749383730484844</v>
      </c>
      <c r="E167" s="133">
        <f t="shared" si="22"/>
        <v>7.8923304522052096</v>
      </c>
      <c r="F167" s="134">
        <f t="shared" si="21"/>
        <v>7.8923304522052096</v>
      </c>
      <c r="G167" s="653">
        <f t="shared" si="19"/>
        <v>3.2176174474000252</v>
      </c>
    </row>
    <row r="168" spans="1:7" x14ac:dyDescent="0.25">
      <c r="A168" s="129">
        <v>2008</v>
      </c>
      <c r="B168" s="130" t="s">
        <v>27</v>
      </c>
      <c r="C168" s="131">
        <f t="shared" si="18"/>
        <v>374.13900000000052</v>
      </c>
      <c r="D168" s="132">
        <v>0.98627474796550985</v>
      </c>
      <c r="E168" s="133">
        <f>(C168/$C$167-1)*100</f>
        <v>0.98627474796550985</v>
      </c>
      <c r="F168" s="134">
        <f t="shared" si="21"/>
        <v>8.4932579382340769</v>
      </c>
      <c r="G168" s="653">
        <f t="shared" si="19"/>
        <v>3.1861928320757746</v>
      </c>
    </row>
    <row r="169" spans="1:7" x14ac:dyDescent="0.25">
      <c r="A169" s="129">
        <v>2008</v>
      </c>
      <c r="B169" s="130" t="s">
        <v>28</v>
      </c>
      <c r="C169" s="131">
        <f t="shared" si="18"/>
        <v>375.5580000000005</v>
      </c>
      <c r="D169" s="132">
        <v>0.3792708057700489</v>
      </c>
      <c r="E169" s="133">
        <f t="shared" ref="E169:E179" si="23">(C169/$C$167-1)*100</f>
        <v>1.3692862059192512</v>
      </c>
      <c r="F169" s="134">
        <f t="shared" si="21"/>
        <v>8.6520546677005363</v>
      </c>
      <c r="G169" s="653">
        <f t="shared" si="19"/>
        <v>3.1741541918957878</v>
      </c>
    </row>
    <row r="170" spans="1:7" x14ac:dyDescent="0.25">
      <c r="A170" s="129">
        <v>2008</v>
      </c>
      <c r="B170" s="130" t="s">
        <v>29</v>
      </c>
      <c r="C170" s="131">
        <f t="shared" si="18"/>
        <v>378.19400000000053</v>
      </c>
      <c r="D170" s="132">
        <v>0.70188892261648927</v>
      </c>
      <c r="E170" s="133">
        <f t="shared" si="23"/>
        <v>2.0807859967340026</v>
      </c>
      <c r="F170" s="134">
        <f t="shared" si="21"/>
        <v>9.1762002499950377</v>
      </c>
      <c r="G170" s="653">
        <f t="shared" si="19"/>
        <v>3.1520304394041108</v>
      </c>
    </row>
    <row r="171" spans="1:7" x14ac:dyDescent="0.25">
      <c r="A171" s="129">
        <v>2008</v>
      </c>
      <c r="B171" s="130" t="s">
        <v>30</v>
      </c>
      <c r="C171" s="131">
        <f t="shared" si="18"/>
        <v>382.4140000000005</v>
      </c>
      <c r="D171" s="132">
        <v>1.11582944203239</v>
      </c>
      <c r="E171" s="133">
        <f t="shared" si="23"/>
        <v>3.2198334615436419</v>
      </c>
      <c r="F171" s="134">
        <f t="shared" si="21"/>
        <v>10.244524011323918</v>
      </c>
      <c r="G171" s="653">
        <f t="shared" si="19"/>
        <v>3.1172472765118391</v>
      </c>
    </row>
    <row r="172" spans="1:7" x14ac:dyDescent="0.25">
      <c r="A172" s="129">
        <v>2008</v>
      </c>
      <c r="B172" s="130" t="s">
        <v>31</v>
      </c>
      <c r="C172" s="131">
        <f t="shared" si="18"/>
        <v>389.58500000000055</v>
      </c>
      <c r="D172" s="132">
        <v>1.8751928538181195</v>
      </c>
      <c r="E172" s="133">
        <f t="shared" si="23"/>
        <v>5.1554044023374823</v>
      </c>
      <c r="F172" s="134">
        <f t="shared" si="21"/>
        <v>12.136284220009808</v>
      </c>
      <c r="G172" s="653">
        <f t="shared" si="19"/>
        <v>3.0598688347857292</v>
      </c>
    </row>
    <row r="173" spans="1:7" x14ac:dyDescent="0.25">
      <c r="A173" s="129">
        <v>2008</v>
      </c>
      <c r="B173" s="130" t="s">
        <v>32</v>
      </c>
      <c r="C173" s="131">
        <f t="shared" si="18"/>
        <v>396.95400000000058</v>
      </c>
      <c r="D173" s="132">
        <v>1.891499929412066</v>
      </c>
      <c r="E173" s="133">
        <f t="shared" si="23"/>
        <v>7.1444188023806587</v>
      </c>
      <c r="F173" s="134">
        <f t="shared" si="21"/>
        <v>13.959830963919151</v>
      </c>
      <c r="G173" s="653">
        <f t="shared" si="19"/>
        <v>3.0030658464204874</v>
      </c>
    </row>
    <row r="174" spans="1:7" x14ac:dyDescent="0.25">
      <c r="A174" s="129">
        <v>2008</v>
      </c>
      <c r="B174" s="130" t="s">
        <v>33</v>
      </c>
      <c r="C174" s="131">
        <f t="shared" si="18"/>
        <v>401.40600000000057</v>
      </c>
      <c r="D174" s="132">
        <v>1.1215405311446602</v>
      </c>
      <c r="E174" s="133">
        <f t="shared" si="23"/>
        <v>8.3460868861087611</v>
      </c>
      <c r="F174" s="134">
        <f t="shared" si="21"/>
        <v>14.80945462033938</v>
      </c>
      <c r="G174" s="653">
        <f t="shared" si="19"/>
        <v>2.9697587978256386</v>
      </c>
    </row>
    <row r="175" spans="1:7" x14ac:dyDescent="0.25">
      <c r="A175" s="129">
        <v>2008</v>
      </c>
      <c r="B175" s="130" t="s">
        <v>34</v>
      </c>
      <c r="C175" s="131">
        <f t="shared" si="18"/>
        <v>399.87000000000057</v>
      </c>
      <c r="D175" s="132">
        <v>-0.38265496778822072</v>
      </c>
      <c r="E175" s="133">
        <f t="shared" si="23"/>
        <v>7.9314952022349061</v>
      </c>
      <c r="F175" s="134">
        <f t="shared" si="21"/>
        <v>12.799898447086733</v>
      </c>
      <c r="G175" s="653">
        <f t="shared" si="19"/>
        <v>2.9811663790731946</v>
      </c>
    </row>
    <row r="176" spans="1:7" x14ac:dyDescent="0.25">
      <c r="A176" s="129">
        <v>2008</v>
      </c>
      <c r="B176" s="130" t="s">
        <v>36</v>
      </c>
      <c r="C176" s="131">
        <f t="shared" si="18"/>
        <v>401.32700000000057</v>
      </c>
      <c r="D176" s="132">
        <v>0.36436841973641609</v>
      </c>
      <c r="E176" s="133">
        <f t="shared" si="23"/>
        <v>8.324763485701169</v>
      </c>
      <c r="F176" s="134">
        <f t="shared" si="21"/>
        <v>11.904649042335791</v>
      </c>
      <c r="G176" s="653">
        <f t="shared" si="19"/>
        <v>2.9703433858175461</v>
      </c>
    </row>
    <row r="177" spans="1:7" x14ac:dyDescent="0.25">
      <c r="A177" s="129">
        <v>2008</v>
      </c>
      <c r="B177" s="130" t="s">
        <v>35</v>
      </c>
      <c r="C177" s="131">
        <f t="shared" si="18"/>
        <v>405.70700000000062</v>
      </c>
      <c r="D177" s="132">
        <v>1.091379349009669</v>
      </c>
      <c r="E177" s="133">
        <f t="shared" si="23"/>
        <v>9.5069975842476886</v>
      </c>
      <c r="F177" s="134">
        <f t="shared" si="21"/>
        <v>12.288407674338831</v>
      </c>
      <c r="G177" s="653">
        <f t="shared" si="19"/>
        <v>2.9382756521331852</v>
      </c>
    </row>
    <row r="178" spans="1:7" x14ac:dyDescent="0.25">
      <c r="A178" s="129">
        <v>2008</v>
      </c>
      <c r="B178" s="130" t="s">
        <v>25</v>
      </c>
      <c r="C178" s="131">
        <f t="shared" si="18"/>
        <v>405.98200000000071</v>
      </c>
      <c r="D178" s="132">
        <v>6.7782907369129397E-2</v>
      </c>
      <c r="E178" s="133">
        <f t="shared" si="23"/>
        <v>9.5812246109829413</v>
      </c>
      <c r="F178" s="134">
        <f t="shared" si="21"/>
        <v>11.197480142426786</v>
      </c>
      <c r="G178" s="653">
        <f t="shared" si="19"/>
        <v>2.9362853525525709</v>
      </c>
    </row>
    <row r="179" spans="1:7" x14ac:dyDescent="0.25">
      <c r="A179" s="129">
        <v>2008</v>
      </c>
      <c r="B179" s="130" t="s">
        <v>26</v>
      </c>
      <c r="C179" s="131">
        <f t="shared" si="18"/>
        <v>404.18500000000068</v>
      </c>
      <c r="D179" s="132">
        <v>-0.44263046144903395</v>
      </c>
      <c r="E179" s="133">
        <f t="shared" si="23"/>
        <v>9.0961847308258292</v>
      </c>
      <c r="F179" s="134">
        <f t="shared" si="21"/>
        <v>9.0961847308258292</v>
      </c>
      <c r="G179" s="653">
        <f t="shared" si="19"/>
        <v>2.9493400299367813</v>
      </c>
    </row>
    <row r="180" spans="1:7" x14ac:dyDescent="0.25">
      <c r="A180" s="129">
        <v>2009</v>
      </c>
      <c r="B180" s="130" t="s">
        <v>27</v>
      </c>
      <c r="C180" s="131">
        <f t="shared" si="18"/>
        <v>404.24400000000071</v>
      </c>
      <c r="D180" s="132">
        <v>1.4597275999861381E-2</v>
      </c>
      <c r="E180" s="133">
        <f>(C180/$C$179-1)*100</f>
        <v>1.4597275999861381E-2</v>
      </c>
      <c r="F180" s="134">
        <f t="shared" si="21"/>
        <v>8.0464747059248332</v>
      </c>
      <c r="G180" s="653">
        <f t="shared" si="19"/>
        <v>2.9489095694679399</v>
      </c>
    </row>
    <row r="181" spans="1:7" x14ac:dyDescent="0.25">
      <c r="A181" s="129">
        <v>2009</v>
      </c>
      <c r="B181" s="130" t="s">
        <v>28</v>
      </c>
      <c r="C181" s="131">
        <f t="shared" si="18"/>
        <v>403.73700000000071</v>
      </c>
      <c r="D181" s="132">
        <v>-0.1254193012141247</v>
      </c>
      <c r="E181" s="133">
        <f t="shared" ref="E181:E191" si="24">(C181/$C$179-1)*100</f>
        <v>-0.11084033301581586</v>
      </c>
      <c r="F181" s="134">
        <f t="shared" si="21"/>
        <v>7.5032351860432112</v>
      </c>
      <c r="G181" s="653">
        <f t="shared" si="19"/>
        <v>2.9526127157035345</v>
      </c>
    </row>
    <row r="182" spans="1:7" x14ac:dyDescent="0.25">
      <c r="A182" s="129">
        <v>2009</v>
      </c>
      <c r="B182" s="130" t="s">
        <v>29</v>
      </c>
      <c r="C182" s="131">
        <f t="shared" si="18"/>
        <v>400.35300000000069</v>
      </c>
      <c r="D182" s="132">
        <v>-0.83816940235846848</v>
      </c>
      <c r="E182" s="133">
        <f t="shared" si="24"/>
        <v>-0.94808070561747115</v>
      </c>
      <c r="F182" s="134">
        <f t="shared" si="21"/>
        <v>5.8591622289090095</v>
      </c>
      <c r="G182" s="653">
        <f t="shared" si="19"/>
        <v>2.9775697946562105</v>
      </c>
    </row>
    <row r="183" spans="1:7" x14ac:dyDescent="0.25">
      <c r="A183" s="129">
        <v>2009</v>
      </c>
      <c r="B183" s="130" t="s">
        <v>30</v>
      </c>
      <c r="C183" s="131">
        <f t="shared" si="18"/>
        <v>400.53000000000065</v>
      </c>
      <c r="D183" s="132">
        <v>4.4210983806780568E-2</v>
      </c>
      <c r="E183" s="133">
        <f t="shared" si="24"/>
        <v>-0.90428887761793142</v>
      </c>
      <c r="F183" s="134">
        <f t="shared" si="21"/>
        <v>4.7372742629715692</v>
      </c>
      <c r="G183" s="653">
        <f t="shared" si="19"/>
        <v>2.9762539634983596</v>
      </c>
    </row>
    <row r="184" spans="1:7" x14ac:dyDescent="0.25">
      <c r="A184" s="129">
        <v>2009</v>
      </c>
      <c r="B184" s="130" t="s">
        <v>31</v>
      </c>
      <c r="C184" s="131">
        <f t="shared" si="18"/>
        <v>401.23200000000071</v>
      </c>
      <c r="D184" s="132">
        <v>0.17526777020449025</v>
      </c>
      <c r="E184" s="133">
        <f t="shared" si="24"/>
        <v>-0.73060603436544413</v>
      </c>
      <c r="F184" s="134">
        <f t="shared" si="21"/>
        <v>2.9895914883786956</v>
      </c>
      <c r="G184" s="653">
        <f t="shared" si="19"/>
        <v>2.9710466762371839</v>
      </c>
    </row>
    <row r="185" spans="1:7" x14ac:dyDescent="0.25">
      <c r="A185" s="129">
        <v>2009</v>
      </c>
      <c r="B185" s="130" t="s">
        <v>32</v>
      </c>
      <c r="C185" s="131">
        <f t="shared" si="18"/>
        <v>399.96600000000069</v>
      </c>
      <c r="D185" s="132">
        <v>-0.31552817322646476</v>
      </c>
      <c r="E185" s="133">
        <f t="shared" si="24"/>
        <v>-1.0438289397181943</v>
      </c>
      <c r="F185" s="134">
        <f t="shared" si="21"/>
        <v>0.75877809519493411</v>
      </c>
      <c r="G185" s="653">
        <f t="shared" si="19"/>
        <v>2.9804508383212522</v>
      </c>
    </row>
    <row r="186" spans="1:7" x14ac:dyDescent="0.25">
      <c r="A186" s="129">
        <v>2009</v>
      </c>
      <c r="B186" s="130" t="s">
        <v>33</v>
      </c>
      <c r="C186" s="131">
        <f t="shared" si="18"/>
        <v>397.39300000000065</v>
      </c>
      <c r="D186" s="132">
        <v>-0.64330468089788262</v>
      </c>
      <c r="E186" s="133">
        <f t="shared" si="24"/>
        <v>-1.6804186201863081</v>
      </c>
      <c r="F186" s="134">
        <f t="shared" si="21"/>
        <v>-0.99973592821230861</v>
      </c>
      <c r="G186" s="653">
        <f t="shared" si="19"/>
        <v>2.999748359935877</v>
      </c>
    </row>
    <row r="187" spans="1:7" x14ac:dyDescent="0.25">
      <c r="A187" s="129">
        <v>2009</v>
      </c>
      <c r="B187" s="130" t="s">
        <v>34</v>
      </c>
      <c r="C187" s="131">
        <f t="shared" si="18"/>
        <v>397.75800000000066</v>
      </c>
      <c r="D187" s="132">
        <v>9.1848623403034679E-2</v>
      </c>
      <c r="E187" s="133">
        <f t="shared" si="24"/>
        <v>-1.5901134381533288</v>
      </c>
      <c r="F187" s="134">
        <f t="shared" si="21"/>
        <v>-0.5281716557881122</v>
      </c>
      <c r="G187" s="653">
        <f t="shared" si="19"/>
        <v>2.9969956606780954</v>
      </c>
    </row>
    <row r="188" spans="1:7" x14ac:dyDescent="0.25">
      <c r="A188" s="129">
        <v>2009</v>
      </c>
      <c r="B188" s="130" t="s">
        <v>21</v>
      </c>
      <c r="C188" s="131">
        <f t="shared" si="18"/>
        <v>398.73800000000074</v>
      </c>
      <c r="D188" s="132">
        <v>0.24638096531057752</v>
      </c>
      <c r="E188" s="133">
        <f t="shared" si="24"/>
        <v>-1.3476502096811949</v>
      </c>
      <c r="F188" s="134">
        <f t="shared" si="21"/>
        <v>-0.64510984807895078</v>
      </c>
      <c r="G188" s="653">
        <f t="shared" si="19"/>
        <v>2.9896297819620847</v>
      </c>
    </row>
    <row r="189" spans="1:7" x14ac:dyDescent="0.25">
      <c r="A189" s="129">
        <v>2009</v>
      </c>
      <c r="B189" s="130" t="s">
        <v>35</v>
      </c>
      <c r="C189" s="131">
        <f t="shared" si="18"/>
        <v>398.57500000000073</v>
      </c>
      <c r="D189" s="132">
        <v>-4.0878973160318743E-2</v>
      </c>
      <c r="E189" s="133">
        <f t="shared" si="24"/>
        <v>-1.3879782772740046</v>
      </c>
      <c r="F189" s="134">
        <f t="shared" si="21"/>
        <v>-1.7579188922054345</v>
      </c>
      <c r="G189" s="653">
        <f t="shared" si="19"/>
        <v>2.9908524117167352</v>
      </c>
    </row>
    <row r="190" spans="1:7" x14ac:dyDescent="0.25">
      <c r="A190" s="129">
        <v>2009</v>
      </c>
      <c r="B190" s="130" t="s">
        <v>25</v>
      </c>
      <c r="C190" s="131">
        <f t="shared" si="18"/>
        <v>398.85700000000077</v>
      </c>
      <c r="D190" s="132">
        <v>7.0752054193068403E-2</v>
      </c>
      <c r="E190" s="133">
        <f t="shared" si="24"/>
        <v>-1.318208246223862</v>
      </c>
      <c r="F190" s="134">
        <f t="shared" si="21"/>
        <v>-1.7550039164297759</v>
      </c>
      <c r="G190" s="653">
        <f t="shared" si="19"/>
        <v>2.9887378183158315</v>
      </c>
    </row>
    <row r="191" spans="1:7" x14ac:dyDescent="0.25">
      <c r="A191" s="129">
        <v>2009</v>
      </c>
      <c r="B191" s="130" t="s">
        <v>12</v>
      </c>
      <c r="C191" s="131">
        <f t="shared" si="18"/>
        <v>398.40700000000072</v>
      </c>
      <c r="D191" s="132">
        <v>-0.11282238997937233</v>
      </c>
      <c r="E191" s="133">
        <f t="shared" si="24"/>
        <v>-1.4295434021549425</v>
      </c>
      <c r="F191" s="134">
        <f t="shared" si="21"/>
        <v>-1.4295434021549425</v>
      </c>
      <c r="G191" s="653">
        <f t="shared" si="19"/>
        <v>2.9921135923816546</v>
      </c>
    </row>
    <row r="192" spans="1:7" x14ac:dyDescent="0.25">
      <c r="A192" s="129">
        <v>2010</v>
      </c>
      <c r="B192" s="130" t="s">
        <v>13</v>
      </c>
      <c r="C192" s="131">
        <f t="shared" si="18"/>
        <v>402.42500000000069</v>
      </c>
      <c r="D192" s="132">
        <v>1.0085164166292238</v>
      </c>
      <c r="E192" s="133">
        <f>(C192/$C$191-1)*100</f>
        <v>1.0085164166292238</v>
      </c>
      <c r="F192" s="134">
        <f t="shared" si="21"/>
        <v>-0.44997575721593686</v>
      </c>
      <c r="G192" s="653">
        <f t="shared" si="19"/>
        <v>2.9622389265080398</v>
      </c>
    </row>
    <row r="193" spans="1:7" x14ac:dyDescent="0.25">
      <c r="A193" s="129">
        <v>2010</v>
      </c>
      <c r="B193" s="130" t="s">
        <v>14</v>
      </c>
      <c r="C193" s="131">
        <f t="shared" si="18"/>
        <v>406.8260000000007</v>
      </c>
      <c r="D193" s="132">
        <v>1.0936199291793569</v>
      </c>
      <c r="E193" s="133">
        <f t="shared" ref="E193:E203" si="25">(C193/$C$191-1)*100</f>
        <v>2.113165682329865</v>
      </c>
      <c r="F193" s="134">
        <f t="shared" si="21"/>
        <v>0.76510203424506873</v>
      </c>
      <c r="G193" s="653">
        <f t="shared" si="19"/>
        <v>2.9301937437626844</v>
      </c>
    </row>
    <row r="194" spans="1:7" x14ac:dyDescent="0.25">
      <c r="A194" s="129">
        <v>2010</v>
      </c>
      <c r="B194" s="130" t="s">
        <v>15</v>
      </c>
      <c r="C194" s="131">
        <f t="shared" si="18"/>
        <v>409.39900000000074</v>
      </c>
      <c r="D194" s="132">
        <v>0.63245711925983272</v>
      </c>
      <c r="E194" s="133">
        <f t="shared" si="25"/>
        <v>2.7589876683893566</v>
      </c>
      <c r="F194" s="134">
        <f t="shared" si="21"/>
        <v>2.2595059859674027</v>
      </c>
      <c r="G194" s="653">
        <f t="shared" si="19"/>
        <v>2.9117779965266104</v>
      </c>
    </row>
    <row r="195" spans="1:7" x14ac:dyDescent="0.25">
      <c r="A195" s="129">
        <v>2010</v>
      </c>
      <c r="B195" s="130" t="s">
        <v>16</v>
      </c>
      <c r="C195" s="131">
        <f t="shared" si="18"/>
        <v>412.3410000000008</v>
      </c>
      <c r="D195" s="132">
        <v>0.71861435909712501</v>
      </c>
      <c r="E195" s="133">
        <f t="shared" si="25"/>
        <v>3.4974285090372481</v>
      </c>
      <c r="F195" s="134">
        <f t="shared" si="21"/>
        <v>2.9488427833121333</v>
      </c>
      <c r="G195" s="653">
        <f t="shared" si="19"/>
        <v>2.8910028350321642</v>
      </c>
    </row>
    <row r="196" spans="1:7" x14ac:dyDescent="0.25">
      <c r="A196" s="129">
        <v>2010</v>
      </c>
      <c r="B196" s="130" t="s">
        <v>17</v>
      </c>
      <c r="C196" s="131">
        <f t="shared" si="18"/>
        <v>418.81100000000083</v>
      </c>
      <c r="D196" s="132">
        <v>1.5690896612269967</v>
      </c>
      <c r="E196" s="133">
        <f t="shared" si="25"/>
        <v>5.1213959594083702</v>
      </c>
      <c r="F196" s="134">
        <f t="shared" si="21"/>
        <v>4.3812557323444024</v>
      </c>
      <c r="G196" s="653">
        <f t="shared" si="19"/>
        <v>2.8463411897013153</v>
      </c>
    </row>
    <row r="197" spans="1:7" x14ac:dyDescent="0.25">
      <c r="A197" s="129">
        <v>2010</v>
      </c>
      <c r="B197" s="130" t="s">
        <v>18</v>
      </c>
      <c r="C197" s="131">
        <f t="shared" si="18"/>
        <v>420.24100000000089</v>
      </c>
      <c r="D197" s="132">
        <v>0.34144279878036699</v>
      </c>
      <c r="E197" s="133">
        <f t="shared" si="25"/>
        <v>5.4803253958891629</v>
      </c>
      <c r="F197" s="134">
        <f t="shared" si="21"/>
        <v>5.0691808803748684</v>
      </c>
      <c r="G197" s="653">
        <f t="shared" si="19"/>
        <v>2.8366556333151629</v>
      </c>
    </row>
    <row r="198" spans="1:7" x14ac:dyDescent="0.25">
      <c r="A198" s="129">
        <v>2010</v>
      </c>
      <c r="B198" s="130" t="s">
        <v>19</v>
      </c>
      <c r="C198" s="131">
        <f t="shared" si="18"/>
        <v>421.15400000000091</v>
      </c>
      <c r="D198" s="132">
        <v>0.21725628865341129</v>
      </c>
      <c r="E198" s="133">
        <f t="shared" si="25"/>
        <v>5.7094880361038269</v>
      </c>
      <c r="F198" s="134">
        <f t="shared" si="21"/>
        <v>5.9792195635052003</v>
      </c>
      <c r="G198" s="653">
        <f t="shared" si="19"/>
        <v>2.8305061806370055</v>
      </c>
    </row>
    <row r="199" spans="1:7" x14ac:dyDescent="0.25">
      <c r="A199" s="129">
        <v>2010</v>
      </c>
      <c r="B199" s="130" t="s">
        <v>34</v>
      </c>
      <c r="C199" s="131">
        <f t="shared" si="18"/>
        <v>425.78800000000092</v>
      </c>
      <c r="D199" s="132">
        <v>1.1003101003433491</v>
      </c>
      <c r="E199" s="133">
        <f t="shared" si="25"/>
        <v>6.8726202099863132</v>
      </c>
      <c r="F199" s="134">
        <f t="shared" si="21"/>
        <v>7.0469984261787744</v>
      </c>
      <c r="G199" s="653">
        <f t="shared" si="19"/>
        <v>2.799700790064533</v>
      </c>
    </row>
    <row r="200" spans="1:7" x14ac:dyDescent="0.25">
      <c r="A200" s="129">
        <v>2010</v>
      </c>
      <c r="B200" s="130" t="s">
        <v>36</v>
      </c>
      <c r="C200" s="131">
        <f t="shared" ref="C200:C263" si="26">C199*(1+D200/100)</f>
        <v>430.45300000000094</v>
      </c>
      <c r="D200" s="132">
        <v>1.095615658496718</v>
      </c>
      <c r="E200" s="133">
        <f t="shared" si="25"/>
        <v>8.0435333716526447</v>
      </c>
      <c r="F200" s="134">
        <f t="shared" si="21"/>
        <v>7.9538443790158286</v>
      </c>
      <c r="G200" s="653">
        <f t="shared" si="19"/>
        <v>2.769359256411263</v>
      </c>
    </row>
    <row r="201" spans="1:7" x14ac:dyDescent="0.25">
      <c r="A201" s="129">
        <v>2010</v>
      </c>
      <c r="B201" s="130" t="s">
        <v>35</v>
      </c>
      <c r="C201" s="131">
        <f t="shared" si="26"/>
        <v>434.88200000000097</v>
      </c>
      <c r="D201" s="132">
        <v>1.0289160489066251</v>
      </c>
      <c r="E201" s="133">
        <f t="shared" si="25"/>
        <v>9.1552106263193664</v>
      </c>
      <c r="F201" s="134">
        <f t="shared" si="21"/>
        <v>9.1092015304522711</v>
      </c>
      <c r="G201" s="653">
        <f t="shared" si="19"/>
        <v>2.741155071950546</v>
      </c>
    </row>
    <row r="202" spans="1:7" x14ac:dyDescent="0.25">
      <c r="A202" s="129">
        <v>2010</v>
      </c>
      <c r="B202" s="130" t="s">
        <v>25</v>
      </c>
      <c r="C202" s="131">
        <f t="shared" si="26"/>
        <v>441.75400000000099</v>
      </c>
      <c r="D202" s="132">
        <v>1.5801987665619688</v>
      </c>
      <c r="E202" s="133">
        <f t="shared" si="25"/>
        <v>10.880079918274577</v>
      </c>
      <c r="F202" s="134">
        <f t="shared" si="21"/>
        <v>10.75498236209973</v>
      </c>
      <c r="G202" s="653">
        <f t="shared" ref="G202:G265" si="27">$C$375/C202</f>
        <v>2.6985131996541001</v>
      </c>
    </row>
    <row r="203" spans="1:7" x14ac:dyDescent="0.25">
      <c r="A203" s="129">
        <v>2010</v>
      </c>
      <c r="B203" s="130" t="s">
        <v>26</v>
      </c>
      <c r="C203" s="131">
        <f t="shared" si="26"/>
        <v>443.42700000000104</v>
      </c>
      <c r="D203" s="132">
        <v>0.37871756679057622</v>
      </c>
      <c r="E203" s="133">
        <f t="shared" si="25"/>
        <v>11.300002258996521</v>
      </c>
      <c r="F203" s="134">
        <f t="shared" si="21"/>
        <v>11.300002258996521</v>
      </c>
      <c r="G203" s="653">
        <f t="shared" si="27"/>
        <v>2.6883320140631879</v>
      </c>
    </row>
    <row r="204" spans="1:7" x14ac:dyDescent="0.25">
      <c r="A204" s="129">
        <v>2011</v>
      </c>
      <c r="B204" s="130" t="s">
        <v>27</v>
      </c>
      <c r="C204" s="131">
        <f t="shared" si="26"/>
        <v>447.76400000000098</v>
      </c>
      <c r="D204" s="132">
        <v>0.97806403308773326</v>
      </c>
      <c r="E204" s="133">
        <f>(C204/$C$203-1)*100</f>
        <v>0.97806403308773326</v>
      </c>
      <c r="F204" s="134">
        <f t="shared" si="21"/>
        <v>11.266447164067884</v>
      </c>
      <c r="G204" s="653">
        <f t="shared" si="27"/>
        <v>2.6622930829633407</v>
      </c>
    </row>
    <row r="205" spans="1:7" x14ac:dyDescent="0.25">
      <c r="A205" s="129">
        <v>2011</v>
      </c>
      <c r="B205" s="130" t="s">
        <v>28</v>
      </c>
      <c r="C205" s="131">
        <f t="shared" si="26"/>
        <v>452.04700000000105</v>
      </c>
      <c r="D205" s="132">
        <v>0.95653067240779599</v>
      </c>
      <c r="E205" s="133">
        <f t="shared" ref="E205:E215" si="28">(C205/$C$203-1)*100</f>
        <v>1.9439501879678023</v>
      </c>
      <c r="F205" s="134">
        <f t="shared" si="21"/>
        <v>11.1155629187909</v>
      </c>
      <c r="G205" s="653">
        <f t="shared" si="27"/>
        <v>2.6370687118817231</v>
      </c>
    </row>
    <row r="206" spans="1:7" x14ac:dyDescent="0.25">
      <c r="A206" s="129">
        <v>2011</v>
      </c>
      <c r="B206" s="130" t="s">
        <v>29</v>
      </c>
      <c r="C206" s="131">
        <f t="shared" si="26"/>
        <v>454.80500000000103</v>
      </c>
      <c r="D206" s="132">
        <v>0.61011355013969037</v>
      </c>
      <c r="E206" s="133">
        <f t="shared" si="28"/>
        <v>2.5659240416122442</v>
      </c>
      <c r="F206" s="134">
        <f t="shared" si="21"/>
        <v>11.090891770619905</v>
      </c>
      <c r="G206" s="653">
        <f t="shared" si="27"/>
        <v>2.6210771649388138</v>
      </c>
    </row>
    <row r="207" spans="1:7" x14ac:dyDescent="0.25">
      <c r="A207" s="129">
        <v>2011</v>
      </c>
      <c r="B207" s="130" t="s">
        <v>30</v>
      </c>
      <c r="C207" s="131">
        <f t="shared" si="26"/>
        <v>457.05900000000105</v>
      </c>
      <c r="D207" s="132">
        <v>0.49559701410495371</v>
      </c>
      <c r="E207" s="133">
        <f t="shared" si="28"/>
        <v>3.0742376986516273</v>
      </c>
      <c r="F207" s="134">
        <f t="shared" si="21"/>
        <v>10.844907491614997</v>
      </c>
      <c r="G207" s="653">
        <f t="shared" si="27"/>
        <v>2.6081512452440432</v>
      </c>
    </row>
    <row r="208" spans="1:7" x14ac:dyDescent="0.25">
      <c r="A208" s="129">
        <v>2011</v>
      </c>
      <c r="B208" s="130" t="s">
        <v>31</v>
      </c>
      <c r="C208" s="131">
        <f t="shared" si="26"/>
        <v>457.09000000000106</v>
      </c>
      <c r="D208" s="132">
        <v>6.782494163770636E-3</v>
      </c>
      <c r="E208" s="133">
        <f t="shared" si="28"/>
        <v>3.0812287028078922</v>
      </c>
      <c r="F208" s="134">
        <f t="shared" si="21"/>
        <v>9.1399223038554744</v>
      </c>
      <c r="G208" s="653">
        <f t="shared" si="27"/>
        <v>2.6079743595353153</v>
      </c>
    </row>
    <row r="209" spans="1:7" x14ac:dyDescent="0.25">
      <c r="A209" s="129">
        <v>2011</v>
      </c>
      <c r="B209" s="130" t="s">
        <v>32</v>
      </c>
      <c r="C209" s="131">
        <f t="shared" si="26"/>
        <v>456.49000000000109</v>
      </c>
      <c r="D209" s="132">
        <v>-0.13126517753614397</v>
      </c>
      <c r="E209" s="133">
        <f t="shared" si="28"/>
        <v>2.9459189449447143</v>
      </c>
      <c r="F209" s="134">
        <f t="shared" si="21"/>
        <v>8.6257647397564909</v>
      </c>
      <c r="G209" s="653">
        <f t="shared" si="27"/>
        <v>2.6114022212972841</v>
      </c>
    </row>
    <row r="210" spans="1:7" x14ac:dyDescent="0.25">
      <c r="A210" s="129">
        <v>2011</v>
      </c>
      <c r="B210" s="130" t="s">
        <v>33</v>
      </c>
      <c r="C210" s="131">
        <f t="shared" si="26"/>
        <v>456.25800000000106</v>
      </c>
      <c r="D210" s="132">
        <v>-5.0822580998499678E-2</v>
      </c>
      <c r="E210" s="133">
        <f t="shared" si="28"/>
        <v>2.893599171904282</v>
      </c>
      <c r="F210" s="134">
        <f t="shared" si="21"/>
        <v>8.335193302212506</v>
      </c>
      <c r="G210" s="653">
        <f t="shared" si="27"/>
        <v>2.6127300781575276</v>
      </c>
    </row>
    <row r="211" spans="1:7" x14ac:dyDescent="0.25">
      <c r="A211" s="129">
        <v>2011</v>
      </c>
      <c r="B211" s="130" t="s">
        <v>34</v>
      </c>
      <c r="C211" s="131">
        <f t="shared" si="26"/>
        <v>459.05500000000109</v>
      </c>
      <c r="D211" s="132">
        <v>0.61303034686515101</v>
      </c>
      <c r="E211" s="133">
        <f t="shared" si="28"/>
        <v>3.5243681598098542</v>
      </c>
      <c r="F211" s="134">
        <f t="shared" si="21"/>
        <v>7.8130431106560261</v>
      </c>
      <c r="G211" s="653">
        <f t="shared" si="27"/>
        <v>2.5968108396597294</v>
      </c>
    </row>
    <row r="212" spans="1:7" x14ac:dyDescent="0.25">
      <c r="A212" s="129">
        <v>2011</v>
      </c>
      <c r="B212" s="130" t="s">
        <v>36</v>
      </c>
      <c r="C212" s="131">
        <f t="shared" si="26"/>
        <v>462.50900000000109</v>
      </c>
      <c r="D212" s="132">
        <v>0.75241528792846513</v>
      </c>
      <c r="E212" s="133">
        <f t="shared" si="28"/>
        <v>4.3033013325755931</v>
      </c>
      <c r="F212" s="134">
        <f t="shared" ref="F212:F275" si="29">100*(C212/C200-1)</f>
        <v>7.4470383526192396</v>
      </c>
      <c r="G212" s="653">
        <f t="shared" si="27"/>
        <v>2.5774179529479366</v>
      </c>
    </row>
    <row r="213" spans="1:7" x14ac:dyDescent="0.25">
      <c r="A213" s="129">
        <v>2011</v>
      </c>
      <c r="B213" s="130" t="s">
        <v>35</v>
      </c>
      <c r="C213" s="131">
        <f t="shared" si="26"/>
        <v>464.34900000000107</v>
      </c>
      <c r="D213" s="132">
        <v>0.39783009627920585</v>
      </c>
      <c r="E213" s="133">
        <f t="shared" si="28"/>
        <v>4.7182512566893653</v>
      </c>
      <c r="F213" s="134">
        <f t="shared" si="29"/>
        <v>6.7758610381666751</v>
      </c>
      <c r="G213" s="653">
        <f t="shared" si="27"/>
        <v>2.5672048394634146</v>
      </c>
    </row>
    <row r="214" spans="1:7" x14ac:dyDescent="0.25">
      <c r="A214" s="129">
        <v>2011</v>
      </c>
      <c r="B214" s="130" t="s">
        <v>25</v>
      </c>
      <c r="C214" s="131">
        <f t="shared" si="26"/>
        <v>466.33100000000115</v>
      </c>
      <c r="D214" s="132">
        <v>0.42683412691748579</v>
      </c>
      <c r="E214" s="133">
        <f t="shared" si="28"/>
        <v>5.165224490164122</v>
      </c>
      <c r="F214" s="134">
        <f t="shared" si="29"/>
        <v>5.5635036694631212</v>
      </c>
      <c r="G214" s="653">
        <f t="shared" si="27"/>
        <v>2.5562937055439097</v>
      </c>
    </row>
    <row r="215" spans="1:7" x14ac:dyDescent="0.25">
      <c r="A215" s="129">
        <v>2011</v>
      </c>
      <c r="B215" s="130" t="s">
        <v>26</v>
      </c>
      <c r="C215" s="131">
        <f t="shared" si="26"/>
        <v>465.58600000000115</v>
      </c>
      <c r="D215" s="132">
        <v>-0.15975776862358071</v>
      </c>
      <c r="E215" s="133">
        <f t="shared" si="28"/>
        <v>4.9972148741506572</v>
      </c>
      <c r="F215" s="134">
        <f t="shared" si="29"/>
        <v>4.9972148741506572</v>
      </c>
      <c r="G215" s="653">
        <f t="shared" si="27"/>
        <v>2.5603841180791456</v>
      </c>
    </row>
    <row r="216" spans="1:7" x14ac:dyDescent="0.25">
      <c r="A216" s="129">
        <v>2012</v>
      </c>
      <c r="B216" s="130" t="s">
        <v>27</v>
      </c>
      <c r="C216" s="131">
        <f t="shared" si="26"/>
        <v>466.97900000000112</v>
      </c>
      <c r="D216" s="132">
        <v>0.29919284514567934</v>
      </c>
      <c r="E216" s="133">
        <f>(C216/$C$215-1)*100</f>
        <v>0.29919284514567934</v>
      </c>
      <c r="F216" s="134">
        <f t="shared" si="29"/>
        <v>4.2913231077085445</v>
      </c>
      <c r="G216" s="653">
        <f t="shared" si="27"/>
        <v>2.5527464832465636</v>
      </c>
    </row>
    <row r="217" spans="1:7" x14ac:dyDescent="0.25">
      <c r="A217" s="129">
        <v>2012</v>
      </c>
      <c r="B217" s="130" t="s">
        <v>28</v>
      </c>
      <c r="C217" s="131">
        <f t="shared" si="26"/>
        <v>467.30800000000113</v>
      </c>
      <c r="D217" s="132">
        <v>7.0452846916024825E-2</v>
      </c>
      <c r="E217" s="133">
        <f t="shared" ref="E217:E227" si="30">(C217/$C$215-1)*100</f>
        <v>0.36985648193887943</v>
      </c>
      <c r="F217" s="134">
        <f t="shared" si="29"/>
        <v>3.375976391835378</v>
      </c>
      <c r="G217" s="653">
        <f t="shared" si="27"/>
        <v>2.550949266864674</v>
      </c>
    </row>
    <row r="218" spans="1:7" x14ac:dyDescent="0.25">
      <c r="A218" s="129">
        <v>2012</v>
      </c>
      <c r="B218" s="130" t="s">
        <v>29</v>
      </c>
      <c r="C218" s="131">
        <f t="shared" si="26"/>
        <v>469.91000000000116</v>
      </c>
      <c r="D218" s="132">
        <v>0.55680621774076844</v>
      </c>
      <c r="E218" s="133">
        <f t="shared" si="30"/>
        <v>0.92872208356780117</v>
      </c>
      <c r="F218" s="134">
        <f t="shared" si="29"/>
        <v>3.3212035927485672</v>
      </c>
      <c r="G218" s="653">
        <f t="shared" si="27"/>
        <v>2.5368240726947651</v>
      </c>
    </row>
    <row r="219" spans="1:7" x14ac:dyDescent="0.25">
      <c r="A219" s="129">
        <v>2012</v>
      </c>
      <c r="B219" s="130" t="s">
        <v>30</v>
      </c>
      <c r="C219" s="131">
        <f t="shared" si="26"/>
        <v>474.68300000000107</v>
      </c>
      <c r="D219" s="132">
        <v>1.015726415696605</v>
      </c>
      <c r="E219" s="133">
        <f t="shared" si="30"/>
        <v>1.9538817747956072</v>
      </c>
      <c r="F219" s="134">
        <f t="shared" si="29"/>
        <v>3.8559573271722103</v>
      </c>
      <c r="G219" s="653">
        <f t="shared" si="27"/>
        <v>2.5113159729756434</v>
      </c>
    </row>
    <row r="220" spans="1:7" x14ac:dyDescent="0.25">
      <c r="A220" s="129">
        <v>2012</v>
      </c>
      <c r="B220" s="130" t="s">
        <v>31</v>
      </c>
      <c r="C220" s="131">
        <f t="shared" si="26"/>
        <v>479.01900000000109</v>
      </c>
      <c r="D220" s="132">
        <v>0.91345171409129566</v>
      </c>
      <c r="E220" s="133">
        <f t="shared" si="30"/>
        <v>2.8851812554500977</v>
      </c>
      <c r="F220" s="134">
        <f t="shared" si="29"/>
        <v>4.7975234636504771</v>
      </c>
      <c r="G220" s="653">
        <f t="shared" si="27"/>
        <v>2.4885839601351871</v>
      </c>
    </row>
    <row r="221" spans="1:7" x14ac:dyDescent="0.25">
      <c r="A221" s="129">
        <v>2012</v>
      </c>
      <c r="B221" s="130" t="s">
        <v>32</v>
      </c>
      <c r="C221" s="131">
        <f t="shared" si="26"/>
        <v>482.31100000000106</v>
      </c>
      <c r="D221" s="132">
        <v>0.68723787574187511</v>
      </c>
      <c r="E221" s="133">
        <f t="shared" si="30"/>
        <v>3.5922471895632357</v>
      </c>
      <c r="F221" s="134">
        <f t="shared" si="29"/>
        <v>5.6564218274222755</v>
      </c>
      <c r="G221" s="653">
        <f t="shared" si="27"/>
        <v>2.4715982011606563</v>
      </c>
    </row>
    <row r="222" spans="1:7" x14ac:dyDescent="0.25">
      <c r="A222" s="129">
        <v>2012</v>
      </c>
      <c r="B222" s="130" t="s">
        <v>33</v>
      </c>
      <c r="C222" s="131">
        <f t="shared" si="26"/>
        <v>489.621000000001</v>
      </c>
      <c r="D222" s="132">
        <v>1.5156195898496927</v>
      </c>
      <c r="E222" s="133">
        <f t="shared" si="30"/>
        <v>5.1623115815337739</v>
      </c>
      <c r="F222" s="134">
        <f t="shared" si="29"/>
        <v>7.3123101403153257</v>
      </c>
      <c r="G222" s="653">
        <f t="shared" si="27"/>
        <v>2.434697449660038</v>
      </c>
    </row>
    <row r="223" spans="1:7" x14ac:dyDescent="0.25">
      <c r="A223" s="129">
        <v>2012</v>
      </c>
      <c r="B223" s="130" t="s">
        <v>34</v>
      </c>
      <c r="C223" s="131">
        <f t="shared" si="26"/>
        <v>495.94900000000109</v>
      </c>
      <c r="D223" s="132">
        <v>1.2924282250965646</v>
      </c>
      <c r="E223" s="133">
        <f t="shared" si="30"/>
        <v>6.521458978577499</v>
      </c>
      <c r="F223" s="134">
        <f t="shared" si="29"/>
        <v>8.0369454640511364</v>
      </c>
      <c r="G223" s="653">
        <f t="shared" si="27"/>
        <v>2.4036322283137932</v>
      </c>
    </row>
    <row r="224" spans="1:7" x14ac:dyDescent="0.25">
      <c r="A224" s="129">
        <v>2012</v>
      </c>
      <c r="B224" s="130" t="s">
        <v>36</v>
      </c>
      <c r="C224" s="131">
        <f t="shared" si="26"/>
        <v>500.3140000000011</v>
      </c>
      <c r="D224" s="132">
        <v>0.88013081990285791</v>
      </c>
      <c r="E224" s="133">
        <f t="shared" si="30"/>
        <v>7.4589871688581333</v>
      </c>
      <c r="F224" s="134">
        <f t="shared" si="29"/>
        <v>8.1738949944757611</v>
      </c>
      <c r="G224" s="653">
        <f t="shared" si="27"/>
        <v>2.3826616884596419</v>
      </c>
    </row>
    <row r="225" spans="1:7" x14ac:dyDescent="0.25">
      <c r="A225" s="129">
        <v>2012</v>
      </c>
      <c r="B225" s="130" t="s">
        <v>35</v>
      </c>
      <c r="C225" s="131">
        <f t="shared" si="26"/>
        <v>498.73900000000106</v>
      </c>
      <c r="D225" s="132">
        <v>-0.3148023041530057</v>
      </c>
      <c r="E225" s="133">
        <f t="shared" si="30"/>
        <v>7.1207038012311097</v>
      </c>
      <c r="F225" s="134">
        <f t="shared" si="29"/>
        <v>7.4060674191179343</v>
      </c>
      <c r="G225" s="653">
        <f t="shared" si="27"/>
        <v>2.3901860492161178</v>
      </c>
    </row>
    <row r="226" spans="1:7" x14ac:dyDescent="0.25">
      <c r="A226" s="129">
        <v>2012</v>
      </c>
      <c r="B226" s="130" t="s">
        <v>25</v>
      </c>
      <c r="C226" s="131">
        <f t="shared" si="26"/>
        <v>499.98900000000106</v>
      </c>
      <c r="D226" s="132">
        <v>0.25063209414142307</v>
      </c>
      <c r="E226" s="133">
        <f t="shared" si="30"/>
        <v>7.389182664427163</v>
      </c>
      <c r="F226" s="134">
        <f t="shared" si="29"/>
        <v>7.2176201024593656</v>
      </c>
      <c r="G226" s="653">
        <f t="shared" si="27"/>
        <v>2.3842104526299526</v>
      </c>
    </row>
    <row r="227" spans="1:7" x14ac:dyDescent="0.25">
      <c r="A227" s="129">
        <v>2012</v>
      </c>
      <c r="B227" s="130" t="s">
        <v>26</v>
      </c>
      <c r="C227" s="131">
        <f t="shared" si="26"/>
        <v>503.2830000000011</v>
      </c>
      <c r="D227" s="132">
        <v>0.65881449391886893</v>
      </c>
      <c r="E227" s="133">
        <f t="shared" si="30"/>
        <v>8.0966781647214159</v>
      </c>
      <c r="F227" s="134">
        <f t="shared" si="29"/>
        <v>8.0966781647214159</v>
      </c>
      <c r="G227" s="653">
        <f t="shared" si="27"/>
        <v>2.3686057347456546</v>
      </c>
    </row>
    <row r="228" spans="1:7" x14ac:dyDescent="0.25">
      <c r="A228" s="129">
        <v>2013</v>
      </c>
      <c r="B228" s="130" t="s">
        <v>27</v>
      </c>
      <c r="C228" s="131">
        <f t="shared" si="26"/>
        <v>504.83000000000106</v>
      </c>
      <c r="D228" s="132">
        <v>0.30738173155062665</v>
      </c>
      <c r="E228" s="133">
        <f>(C228/$C$227-1)*100</f>
        <v>0.30738173155062665</v>
      </c>
      <c r="F228" s="134">
        <f t="shared" si="29"/>
        <v>8.1055036736126915</v>
      </c>
      <c r="G228" s="653">
        <f t="shared" si="27"/>
        <v>2.3613473842679662</v>
      </c>
    </row>
    <row r="229" spans="1:7" x14ac:dyDescent="0.25">
      <c r="A229" s="129">
        <v>2013</v>
      </c>
      <c r="B229" s="130" t="s">
        <v>28</v>
      </c>
      <c r="C229" s="131">
        <f t="shared" si="26"/>
        <v>505.83200000000113</v>
      </c>
      <c r="D229" s="132">
        <v>0.1984826575282872</v>
      </c>
      <c r="E229" s="133">
        <f t="shared" ref="E229:E239" si="31">(C229/$C$227-1)*100</f>
        <v>0.50647448850846821</v>
      </c>
      <c r="F229" s="134">
        <f t="shared" si="29"/>
        <v>8.2438135020157723</v>
      </c>
      <c r="G229" s="653">
        <f t="shared" si="27"/>
        <v>2.3566698034129856</v>
      </c>
    </row>
    <row r="230" spans="1:7" x14ac:dyDescent="0.25">
      <c r="A230" s="129">
        <v>2013</v>
      </c>
      <c r="B230" s="130" t="s">
        <v>29</v>
      </c>
      <c r="C230" s="131">
        <f t="shared" si="26"/>
        <v>507.37500000000114</v>
      </c>
      <c r="D230" s="132">
        <v>0.30504199022600709</v>
      </c>
      <c r="E230" s="133">
        <f t="shared" si="31"/>
        <v>0.813061438594187</v>
      </c>
      <c r="F230" s="134">
        <f t="shared" si="29"/>
        <v>7.9728033027600675</v>
      </c>
      <c r="G230" s="653">
        <f t="shared" si="27"/>
        <v>2.3495028332101451</v>
      </c>
    </row>
    <row r="231" spans="1:7" x14ac:dyDescent="0.25">
      <c r="A231" s="129">
        <v>2013</v>
      </c>
      <c r="B231" s="130" t="s">
        <v>30</v>
      </c>
      <c r="C231" s="131">
        <f t="shared" si="26"/>
        <v>507.08700000000113</v>
      </c>
      <c r="D231" s="132">
        <v>-5.6762749445682381E-2</v>
      </c>
      <c r="E231" s="133">
        <f t="shared" si="31"/>
        <v>0.75583717312128762</v>
      </c>
      <c r="F231" s="134">
        <f t="shared" si="29"/>
        <v>6.8264504943299054</v>
      </c>
      <c r="G231" s="653">
        <f t="shared" si="27"/>
        <v>2.3508372330586216</v>
      </c>
    </row>
    <row r="232" spans="1:7" x14ac:dyDescent="0.25">
      <c r="A232" s="129">
        <v>2013</v>
      </c>
      <c r="B232" s="130" t="s">
        <v>31</v>
      </c>
      <c r="C232" s="131">
        <f t="shared" si="26"/>
        <v>508.71500000000117</v>
      </c>
      <c r="D232" s="132">
        <v>0.32104944516424538</v>
      </c>
      <c r="E232" s="133">
        <f t="shared" si="31"/>
        <v>1.0793132293361873</v>
      </c>
      <c r="F232" s="134">
        <f t="shared" si="29"/>
        <v>6.1993365607627249</v>
      </c>
      <c r="G232" s="653">
        <f t="shared" si="27"/>
        <v>2.3433140363464755</v>
      </c>
    </row>
    <row r="233" spans="1:7" x14ac:dyDescent="0.25">
      <c r="A233" s="129">
        <v>2013</v>
      </c>
      <c r="B233" s="130" t="s">
        <v>32</v>
      </c>
      <c r="C233" s="131">
        <f t="shared" si="26"/>
        <v>512.59800000000109</v>
      </c>
      <c r="D233" s="132">
        <v>0.76329575499050062</v>
      </c>
      <c r="E233" s="133">
        <f t="shared" si="31"/>
        <v>1.8508473363892719</v>
      </c>
      <c r="F233" s="134">
        <f t="shared" si="29"/>
        <v>6.2795582103663428</v>
      </c>
      <c r="G233" s="653">
        <f t="shared" si="27"/>
        <v>2.3255631118342199</v>
      </c>
    </row>
    <row r="234" spans="1:7" x14ac:dyDescent="0.25">
      <c r="A234" s="129">
        <v>2013</v>
      </c>
      <c r="B234" s="130" t="s">
        <v>33</v>
      </c>
      <c r="C234" s="131">
        <f t="shared" si="26"/>
        <v>513.31300000000113</v>
      </c>
      <c r="D234" s="132">
        <v>0.13948552276834558</v>
      </c>
      <c r="E234" s="133">
        <f t="shared" si="31"/>
        <v>1.9929145232403966</v>
      </c>
      <c r="F234" s="134">
        <f t="shared" si="29"/>
        <v>4.838844739094128</v>
      </c>
      <c r="G234" s="653">
        <f t="shared" si="27"/>
        <v>2.3223238063325833</v>
      </c>
    </row>
    <row r="235" spans="1:7" x14ac:dyDescent="0.25">
      <c r="A235" s="129">
        <v>2013</v>
      </c>
      <c r="B235" s="130" t="s">
        <v>34</v>
      </c>
      <c r="C235" s="131">
        <f t="shared" si="26"/>
        <v>515.68800000000113</v>
      </c>
      <c r="D235" s="132">
        <v>0.46268066462373802</v>
      </c>
      <c r="E235" s="133">
        <f t="shared" si="31"/>
        <v>2.4648160180256395</v>
      </c>
      <c r="F235" s="134">
        <f t="shared" si="29"/>
        <v>3.9800463354094928</v>
      </c>
      <c r="G235" s="653">
        <f t="shared" si="27"/>
        <v>2.3116283489241507</v>
      </c>
    </row>
    <row r="236" spans="1:7" x14ac:dyDescent="0.25">
      <c r="A236" s="129">
        <v>2013</v>
      </c>
      <c r="B236" s="130" t="s">
        <v>36</v>
      </c>
      <c r="C236" s="131">
        <f t="shared" si="26"/>
        <v>522.69000000000131</v>
      </c>
      <c r="D236" s="132">
        <v>1.3577977381672879</v>
      </c>
      <c r="E236" s="133">
        <f t="shared" si="31"/>
        <v>3.8560809723356737</v>
      </c>
      <c r="F236" s="134">
        <f t="shared" si="29"/>
        <v>4.472391338239623</v>
      </c>
      <c r="G236" s="653">
        <f t="shared" si="27"/>
        <v>2.2806615776081367</v>
      </c>
    </row>
    <row r="237" spans="1:7" x14ac:dyDescent="0.25">
      <c r="A237" s="129">
        <v>2013</v>
      </c>
      <c r="B237" s="130" t="s">
        <v>35</v>
      </c>
      <c r="C237" s="131">
        <f t="shared" si="26"/>
        <v>525.96600000000126</v>
      </c>
      <c r="D237" s="132">
        <v>0.6267577340297148</v>
      </c>
      <c r="E237" s="133">
        <f t="shared" si="31"/>
        <v>4.507006992089968</v>
      </c>
      <c r="F237" s="134">
        <f t="shared" si="29"/>
        <v>5.459168021750882</v>
      </c>
      <c r="G237" s="653">
        <f t="shared" si="27"/>
        <v>2.2664563869147378</v>
      </c>
    </row>
    <row r="238" spans="1:7" x14ac:dyDescent="0.25">
      <c r="A238" s="129">
        <v>2013</v>
      </c>
      <c r="B238" s="130" t="s">
        <v>25</v>
      </c>
      <c r="C238" s="131">
        <f t="shared" si="26"/>
        <v>527.42200000000128</v>
      </c>
      <c r="D238" s="132">
        <v>0.27682397721526808</v>
      </c>
      <c r="E238" s="133">
        <f t="shared" si="31"/>
        <v>4.7963074453140964</v>
      </c>
      <c r="F238" s="134">
        <f t="shared" si="29"/>
        <v>5.4867207078556079</v>
      </c>
      <c r="G238" s="653">
        <f t="shared" si="27"/>
        <v>2.2601996124545374</v>
      </c>
    </row>
    <row r="239" spans="1:7" x14ac:dyDescent="0.25">
      <c r="A239" s="129">
        <v>2013</v>
      </c>
      <c r="B239" s="130" t="s">
        <v>26</v>
      </c>
      <c r="C239" s="131">
        <f t="shared" si="26"/>
        <v>531.05600000000129</v>
      </c>
      <c r="D239" s="132">
        <v>0.68901183492535711</v>
      </c>
      <c r="E239" s="133">
        <f t="shared" si="31"/>
        <v>5.5183664061770665</v>
      </c>
      <c r="F239" s="134">
        <f t="shared" si="29"/>
        <v>5.5183664061770665</v>
      </c>
      <c r="G239" s="653">
        <f t="shared" si="27"/>
        <v>2.2447331354885307</v>
      </c>
    </row>
    <row r="240" spans="1:7" x14ac:dyDescent="0.25">
      <c r="A240" s="129">
        <v>2014</v>
      </c>
      <c r="B240" s="130" t="s">
        <v>27</v>
      </c>
      <c r="C240" s="131">
        <f t="shared" si="26"/>
        <v>533.19700000000125</v>
      </c>
      <c r="D240" s="132">
        <v>0.40315898888252377</v>
      </c>
      <c r="E240" s="133">
        <f>(C240/$C$239-1)*100</f>
        <v>0.40315898888252377</v>
      </c>
      <c r="F240" s="134">
        <f t="shared" si="29"/>
        <v>5.6191193074896839</v>
      </c>
      <c r="G240" s="653">
        <f t="shared" si="27"/>
        <v>2.2357196308306255</v>
      </c>
    </row>
    <row r="241" spans="1:7" x14ac:dyDescent="0.25">
      <c r="A241" s="129">
        <v>2014</v>
      </c>
      <c r="B241" s="130" t="s">
        <v>28</v>
      </c>
      <c r="C241" s="131">
        <f t="shared" si="26"/>
        <v>537.70300000000123</v>
      </c>
      <c r="D241" s="132">
        <v>0.84509102639360734</v>
      </c>
      <c r="E241" s="133">
        <f t="shared" ref="E241:E251" si="32">(C241/$C$239-1)*100</f>
        <v>1.2516570757132861</v>
      </c>
      <c r="F241" s="134">
        <f t="shared" si="29"/>
        <v>6.300708535640287</v>
      </c>
      <c r="G241" s="653">
        <f t="shared" si="27"/>
        <v>2.2169840971688779</v>
      </c>
    </row>
    <row r="242" spans="1:7" x14ac:dyDescent="0.25">
      <c r="A242" s="129">
        <v>2014</v>
      </c>
      <c r="B242" s="130" t="s">
        <v>29</v>
      </c>
      <c r="C242" s="131">
        <f t="shared" si="26"/>
        <v>545.68400000000122</v>
      </c>
      <c r="D242" s="132">
        <v>1.4842766359867809</v>
      </c>
      <c r="E242" s="133">
        <f t="shared" si="32"/>
        <v>2.754511765237555</v>
      </c>
      <c r="F242" s="134">
        <f t="shared" si="29"/>
        <v>7.5504311406750402</v>
      </c>
      <c r="G242" s="653">
        <f t="shared" si="27"/>
        <v>2.1845591954317833</v>
      </c>
    </row>
    <row r="243" spans="1:7" x14ac:dyDescent="0.25">
      <c r="A243" s="129">
        <v>2014</v>
      </c>
      <c r="B243" s="130" t="s">
        <v>30</v>
      </c>
      <c r="C243" s="131">
        <f t="shared" si="26"/>
        <v>548.14500000000123</v>
      </c>
      <c r="D243" s="132">
        <v>0.45099361535247962</v>
      </c>
      <c r="E243" s="133">
        <f t="shared" si="32"/>
        <v>3.2179280527853793</v>
      </c>
      <c r="F243" s="134">
        <f t="shared" si="29"/>
        <v>8.0968354542711563</v>
      </c>
      <c r="G243" s="653">
        <f t="shared" si="27"/>
        <v>2.1747512063413827</v>
      </c>
    </row>
    <row r="244" spans="1:7" x14ac:dyDescent="0.25">
      <c r="A244" s="129">
        <v>2014</v>
      </c>
      <c r="B244" s="130" t="s">
        <v>31</v>
      </c>
      <c r="C244" s="131">
        <f t="shared" si="26"/>
        <v>545.65200000000129</v>
      </c>
      <c r="D244" s="132">
        <v>-0.45480666611935616</v>
      </c>
      <c r="E244" s="133">
        <f t="shared" si="32"/>
        <v>2.7484860353710339</v>
      </c>
      <c r="F244" s="134">
        <f t="shared" si="29"/>
        <v>7.2608434978327807</v>
      </c>
      <c r="G244" s="653">
        <f t="shared" si="27"/>
        <v>2.1846873098604918</v>
      </c>
    </row>
    <row r="245" spans="1:7" x14ac:dyDescent="0.25">
      <c r="A245" s="129">
        <v>2014</v>
      </c>
      <c r="B245" s="130" t="s">
        <v>32</v>
      </c>
      <c r="C245" s="131">
        <f t="shared" si="26"/>
        <v>542.19400000000121</v>
      </c>
      <c r="D245" s="132">
        <v>-0.63373725378080836</v>
      </c>
      <c r="E245" s="133">
        <f t="shared" si="32"/>
        <v>2.0973306016691007</v>
      </c>
      <c r="F245" s="134">
        <f t="shared" si="29"/>
        <v>5.773725219372694</v>
      </c>
      <c r="G245" s="653">
        <f t="shared" si="27"/>
        <v>2.198620788868924</v>
      </c>
    </row>
    <row r="246" spans="1:7" x14ac:dyDescent="0.25">
      <c r="A246" s="129">
        <v>2014</v>
      </c>
      <c r="B246" s="130" t="s">
        <v>33</v>
      </c>
      <c r="C246" s="131">
        <f t="shared" si="26"/>
        <v>539.21000000000129</v>
      </c>
      <c r="D246" s="132">
        <v>-0.5503565144579059</v>
      </c>
      <c r="E246" s="133">
        <f t="shared" si="32"/>
        <v>1.5354312916151969</v>
      </c>
      <c r="F246" s="134">
        <f t="shared" si="29"/>
        <v>5.0450699670571586</v>
      </c>
      <c r="G246" s="653">
        <f t="shared" si="27"/>
        <v>2.2107880046734985</v>
      </c>
    </row>
    <row r="247" spans="1:7" x14ac:dyDescent="0.25">
      <c r="A247" s="129">
        <v>2014</v>
      </c>
      <c r="B247" s="130" t="s">
        <v>34</v>
      </c>
      <c r="C247" s="131">
        <f t="shared" si="26"/>
        <v>539.55000000000121</v>
      </c>
      <c r="D247" s="132">
        <v>6.305521040037565E-2</v>
      </c>
      <c r="E247" s="133">
        <f t="shared" si="32"/>
        <v>1.5994546714470648</v>
      </c>
      <c r="F247" s="134">
        <f t="shared" si="29"/>
        <v>4.6272164564620466</v>
      </c>
      <c r="G247" s="653">
        <f t="shared" si="27"/>
        <v>2.2093948660921088</v>
      </c>
    </row>
    <row r="248" spans="1:7" x14ac:dyDescent="0.25">
      <c r="A248" s="129">
        <v>2014</v>
      </c>
      <c r="B248" s="130" t="s">
        <v>36</v>
      </c>
      <c r="C248" s="131">
        <f t="shared" si="26"/>
        <v>539.64900000000125</v>
      </c>
      <c r="D248" s="132">
        <v>1.8348623853214896E-2</v>
      </c>
      <c r="E248" s="133">
        <f t="shared" si="32"/>
        <v>1.6180967732216445</v>
      </c>
      <c r="F248" s="134">
        <f t="shared" si="29"/>
        <v>3.2445617861447396</v>
      </c>
      <c r="G248" s="653">
        <f t="shared" si="27"/>
        <v>2.2089895469091894</v>
      </c>
    </row>
    <row r="249" spans="1:7" x14ac:dyDescent="0.25">
      <c r="A249" s="129">
        <v>2014</v>
      </c>
      <c r="B249" s="130" t="s">
        <v>35</v>
      </c>
      <c r="C249" s="131">
        <f t="shared" si="26"/>
        <v>542.8530000000012</v>
      </c>
      <c r="D249" s="132">
        <v>0.59371925084636956</v>
      </c>
      <c r="E249" s="133">
        <f t="shared" si="32"/>
        <v>2.2214229761079674</v>
      </c>
      <c r="F249" s="134">
        <f t="shared" si="29"/>
        <v>3.2106638071662141</v>
      </c>
      <c r="G249" s="653">
        <f t="shared" si="27"/>
        <v>2.1959517585792052</v>
      </c>
    </row>
    <row r="250" spans="1:7" x14ac:dyDescent="0.25">
      <c r="A250" s="129">
        <v>2014</v>
      </c>
      <c r="B250" s="130" t="s">
        <v>25</v>
      </c>
      <c r="C250" s="131">
        <f t="shared" si="26"/>
        <v>549.04000000000121</v>
      </c>
      <c r="D250" s="132">
        <v>1.1397192241730192</v>
      </c>
      <c r="E250" s="133">
        <f t="shared" si="32"/>
        <v>3.3864601849898923</v>
      </c>
      <c r="F250" s="134">
        <f t="shared" si="29"/>
        <v>4.0988051313748608</v>
      </c>
      <c r="G250" s="653">
        <f t="shared" si="27"/>
        <v>2.1712061052018017</v>
      </c>
    </row>
    <row r="251" spans="1:7" x14ac:dyDescent="0.25">
      <c r="A251" s="129">
        <v>2014</v>
      </c>
      <c r="B251" s="130" t="s">
        <v>26</v>
      </c>
      <c r="C251" s="131">
        <f t="shared" si="26"/>
        <v>551.14900000000125</v>
      </c>
      <c r="D251" s="132">
        <v>0.38412501821361023</v>
      </c>
      <c r="E251" s="133">
        <f t="shared" si="32"/>
        <v>3.7835934440058949</v>
      </c>
      <c r="F251" s="134">
        <f t="shared" si="29"/>
        <v>3.7835934440058949</v>
      </c>
      <c r="G251" s="653">
        <f t="shared" si="27"/>
        <v>2.1628978733518474</v>
      </c>
    </row>
    <row r="252" spans="1:7" x14ac:dyDescent="0.25">
      <c r="A252" s="129">
        <v>2015</v>
      </c>
      <c r="B252" s="130" t="s">
        <v>27</v>
      </c>
      <c r="C252" s="131">
        <f t="shared" si="26"/>
        <v>554.83500000000129</v>
      </c>
      <c r="D252" s="132">
        <v>0.66878466621549393</v>
      </c>
      <c r="E252" s="133">
        <f>(C252/$C$251-1)*100</f>
        <v>0.66878466621549393</v>
      </c>
      <c r="F252" s="134">
        <f t="shared" si="29"/>
        <v>4.058162367755247</v>
      </c>
      <c r="G252" s="653">
        <f t="shared" si="27"/>
        <v>2.1485288419079493</v>
      </c>
    </row>
    <row r="253" spans="1:7" x14ac:dyDescent="0.25">
      <c r="A253" s="129">
        <v>2015</v>
      </c>
      <c r="B253" s="130" t="s">
        <v>28</v>
      </c>
      <c r="C253" s="131">
        <f t="shared" si="26"/>
        <v>557.80300000000125</v>
      </c>
      <c r="D253" s="132">
        <v>0.53493380915046185</v>
      </c>
      <c r="E253" s="133">
        <f t="shared" ref="E253:E263" si="33">(C253/$C$251-1)*100</f>
        <v>1.2072960306559466</v>
      </c>
      <c r="F253" s="134">
        <f t="shared" si="29"/>
        <v>3.7381230902561402</v>
      </c>
      <c r="G253" s="653">
        <f t="shared" si="27"/>
        <v>2.1370967886511858</v>
      </c>
    </row>
    <row r="254" spans="1:7" x14ac:dyDescent="0.25">
      <c r="A254" s="129">
        <v>2015</v>
      </c>
      <c r="B254" s="130" t="s">
        <v>29</v>
      </c>
      <c r="C254" s="131">
        <f t="shared" si="26"/>
        <v>564.56800000000123</v>
      </c>
      <c r="D254" s="132">
        <v>1.2127937641066788</v>
      </c>
      <c r="E254" s="133">
        <f t="shared" si="33"/>
        <v>2.4347318057367451</v>
      </c>
      <c r="F254" s="134">
        <f t="shared" si="29"/>
        <v>3.4606109030134613</v>
      </c>
      <c r="G254" s="653">
        <f t="shared" si="27"/>
        <v>2.1114887843448393</v>
      </c>
    </row>
    <row r="255" spans="1:7" x14ac:dyDescent="0.25">
      <c r="A255" s="129">
        <v>2015</v>
      </c>
      <c r="B255" s="130" t="s">
        <v>30</v>
      </c>
      <c r="C255" s="131">
        <f t="shared" si="26"/>
        <v>569.73800000000131</v>
      </c>
      <c r="D255" s="132">
        <v>0.91574442759774222</v>
      </c>
      <c r="E255" s="133">
        <f t="shared" si="33"/>
        <v>3.3727721541724653</v>
      </c>
      <c r="F255" s="134">
        <f t="shared" si="29"/>
        <v>3.9392861377920196</v>
      </c>
      <c r="G255" s="653">
        <f t="shared" si="27"/>
        <v>2.0923284035819925</v>
      </c>
    </row>
    <row r="256" spans="1:7" x14ac:dyDescent="0.25">
      <c r="A256" s="129">
        <v>2015</v>
      </c>
      <c r="B256" s="130" t="s">
        <v>31</v>
      </c>
      <c r="C256" s="131">
        <f t="shared" si="26"/>
        <v>572.03400000000124</v>
      </c>
      <c r="D256" s="132">
        <v>0.40299225257924842</v>
      </c>
      <c r="E256" s="133">
        <f t="shared" si="33"/>
        <v>3.7893564172301719</v>
      </c>
      <c r="F256" s="134">
        <f t="shared" si="29"/>
        <v>4.8349497481911419</v>
      </c>
      <c r="G256" s="653">
        <f t="shared" si="27"/>
        <v>2.0839303258197894</v>
      </c>
    </row>
    <row r="257" spans="1:7" x14ac:dyDescent="0.25">
      <c r="A257" s="129">
        <v>2015</v>
      </c>
      <c r="B257" s="130" t="s">
        <v>32</v>
      </c>
      <c r="C257" s="131">
        <f t="shared" si="26"/>
        <v>575.93800000000124</v>
      </c>
      <c r="D257" s="132">
        <v>0.682476915707797</v>
      </c>
      <c r="E257" s="133">
        <f t="shared" si="33"/>
        <v>4.4976948157394725</v>
      </c>
      <c r="F257" s="134">
        <f t="shared" si="29"/>
        <v>6.22360262193975</v>
      </c>
      <c r="G257" s="653">
        <f t="shared" si="27"/>
        <v>2.0698043886668311</v>
      </c>
    </row>
    <row r="258" spans="1:7" x14ac:dyDescent="0.25">
      <c r="A258" s="129">
        <v>2015</v>
      </c>
      <c r="B258" s="130" t="s">
        <v>33</v>
      </c>
      <c r="C258" s="131">
        <f t="shared" si="26"/>
        <v>579.29300000000126</v>
      </c>
      <c r="D258" s="132">
        <v>0.58252798044233778</v>
      </c>
      <c r="E258" s="133">
        <f t="shared" si="33"/>
        <v>5.1064231269583926</v>
      </c>
      <c r="F258" s="134">
        <f t="shared" si="29"/>
        <v>7.433652936703683</v>
      </c>
      <c r="G258" s="653">
        <f t="shared" si="27"/>
        <v>2.0578170286884139</v>
      </c>
    </row>
    <row r="259" spans="1:7" x14ac:dyDescent="0.25">
      <c r="A259" s="129">
        <v>2015</v>
      </c>
      <c r="B259" s="130" t="s">
        <v>34</v>
      </c>
      <c r="C259" s="131">
        <f t="shared" si="26"/>
        <v>581.6180000000013</v>
      </c>
      <c r="D259" s="132">
        <v>0.40135130236340633</v>
      </c>
      <c r="E259" s="133">
        <f t="shared" si="33"/>
        <v>5.5282691250460259</v>
      </c>
      <c r="F259" s="134">
        <f t="shared" si="29"/>
        <v>7.7968677601705227</v>
      </c>
      <c r="G259" s="653">
        <f t="shared" si="27"/>
        <v>2.0495909686426441</v>
      </c>
    </row>
    <row r="260" spans="1:7" x14ac:dyDescent="0.25">
      <c r="A260" s="129">
        <v>2015</v>
      </c>
      <c r="B260" s="130" t="s">
        <v>36</v>
      </c>
      <c r="C260" s="131">
        <f t="shared" si="26"/>
        <v>589.89700000000141</v>
      </c>
      <c r="D260" s="132">
        <v>1.4234428783153286</v>
      </c>
      <c r="E260" s="133">
        <f t="shared" si="33"/>
        <v>7.0304037565159572</v>
      </c>
      <c r="F260" s="134">
        <f t="shared" si="29"/>
        <v>9.3112374895534025</v>
      </c>
      <c r="G260" s="653">
        <f t="shared" si="27"/>
        <v>2.020825669566038</v>
      </c>
    </row>
    <row r="261" spans="1:7" x14ac:dyDescent="0.25">
      <c r="A261" s="129">
        <v>2015</v>
      </c>
      <c r="B261" s="130" t="s">
        <v>35</v>
      </c>
      <c r="C261" s="131">
        <f t="shared" si="26"/>
        <v>600.26900000000148</v>
      </c>
      <c r="D261" s="132">
        <v>1.7582730544484892</v>
      </c>
      <c r="E261" s="133">
        <f t="shared" si="33"/>
        <v>8.9122905058341964</v>
      </c>
      <c r="F261" s="134">
        <f t="shared" si="29"/>
        <v>10.576712295962288</v>
      </c>
      <c r="G261" s="653">
        <f t="shared" si="27"/>
        <v>1.9859079845869052</v>
      </c>
    </row>
    <row r="262" spans="1:7" x14ac:dyDescent="0.25">
      <c r="A262" s="129">
        <v>2015</v>
      </c>
      <c r="B262" s="130" t="s">
        <v>25</v>
      </c>
      <c r="C262" s="131">
        <f t="shared" si="26"/>
        <v>607.44100000000151</v>
      </c>
      <c r="D262" s="132">
        <v>1.1947976657131987</v>
      </c>
      <c r="E262" s="133">
        <f t="shared" si="33"/>
        <v>10.213572010472681</v>
      </c>
      <c r="F262" s="134">
        <f t="shared" si="29"/>
        <v>10.6369299140318</v>
      </c>
      <c r="G262" s="653">
        <f t="shared" si="27"/>
        <v>1.9624605517243601</v>
      </c>
    </row>
    <row r="263" spans="1:7" x14ac:dyDescent="0.25">
      <c r="A263" s="129">
        <v>2015</v>
      </c>
      <c r="B263" s="130" t="s">
        <v>26</v>
      </c>
      <c r="C263" s="131">
        <f t="shared" si="26"/>
        <v>610.12800000000152</v>
      </c>
      <c r="D263" s="132">
        <v>0.44234748724567563</v>
      </c>
      <c r="E263" s="133">
        <f t="shared" si="33"/>
        <v>10.70109897686471</v>
      </c>
      <c r="F263" s="134">
        <f t="shared" si="29"/>
        <v>10.70109897686471</v>
      </c>
      <c r="G263" s="653">
        <f t="shared" si="27"/>
        <v>1.9538178873941157</v>
      </c>
    </row>
    <row r="264" spans="1:7" x14ac:dyDescent="0.25">
      <c r="A264" s="129">
        <v>2016</v>
      </c>
      <c r="B264" s="130" t="s">
        <v>27</v>
      </c>
      <c r="C264" s="131">
        <f t="shared" ref="C264:C327" si="34">C263*(1+D264/100)</f>
        <v>619.47600000000148</v>
      </c>
      <c r="D264" s="132">
        <v>1.5321375186845954</v>
      </c>
      <c r="E264" s="133">
        <f>(C264/$C$263-1)*100</f>
        <v>1.5321375186845954</v>
      </c>
      <c r="F264" s="134">
        <f t="shared" si="29"/>
        <v>11.650490686420302</v>
      </c>
      <c r="G264" s="653">
        <f t="shared" si="27"/>
        <v>1.9243344374923275</v>
      </c>
    </row>
    <row r="265" spans="1:7" x14ac:dyDescent="0.25">
      <c r="A265" s="129">
        <v>2016</v>
      </c>
      <c r="B265" s="130" t="s">
        <v>28</v>
      </c>
      <c r="C265" s="131">
        <f t="shared" si="34"/>
        <v>624.36600000000146</v>
      </c>
      <c r="D265" s="132">
        <v>0.78937682815798382</v>
      </c>
      <c r="E265" s="133">
        <f t="shared" ref="E265:E275" si="35">(C265/$C$263-1)*100</f>
        <v>2.3336086853905869</v>
      </c>
      <c r="F265" s="134">
        <f t="shared" si="29"/>
        <v>11.933065974905134</v>
      </c>
      <c r="G265" s="653">
        <f t="shared" si="27"/>
        <v>1.9092631565459957</v>
      </c>
    </row>
    <row r="266" spans="1:7" x14ac:dyDescent="0.25">
      <c r="A266" s="129">
        <v>2016</v>
      </c>
      <c r="B266" s="130" t="s">
        <v>29</v>
      </c>
      <c r="C266" s="131">
        <f t="shared" si="34"/>
        <v>627.06000000000142</v>
      </c>
      <c r="D266" s="132">
        <v>0.43147769096971711</v>
      </c>
      <c r="E266" s="133">
        <f t="shared" si="35"/>
        <v>2.7751553772322968</v>
      </c>
      <c r="F266" s="134">
        <f t="shared" si="29"/>
        <v>11.068994346119521</v>
      </c>
      <c r="G266" s="653">
        <f t="shared" ref="G266:G329" si="36">$C$375/C266</f>
        <v>1.90106050457691</v>
      </c>
    </row>
    <row r="267" spans="1:7" x14ac:dyDescent="0.25">
      <c r="A267" s="129">
        <v>2016</v>
      </c>
      <c r="B267" s="130" t="s">
        <v>30</v>
      </c>
      <c r="C267" s="131">
        <f t="shared" si="34"/>
        <v>629.34500000000151</v>
      </c>
      <c r="D267" s="132">
        <v>0.36439894109017157</v>
      </c>
      <c r="E267" s="133">
        <f t="shared" si="35"/>
        <v>3.1496669551307255</v>
      </c>
      <c r="F267" s="134">
        <f t="shared" si="29"/>
        <v>10.46217735169499</v>
      </c>
      <c r="G267" s="653">
        <f t="shared" si="36"/>
        <v>1.8941582121094107</v>
      </c>
    </row>
    <row r="268" spans="1:7" x14ac:dyDescent="0.25">
      <c r="A268" s="129">
        <v>2016</v>
      </c>
      <c r="B268" s="130" t="s">
        <v>31</v>
      </c>
      <c r="C268" s="131">
        <f t="shared" si="34"/>
        <v>636.46800000000155</v>
      </c>
      <c r="D268" s="132">
        <v>1.1318116454408944</v>
      </c>
      <c r="E268" s="133">
        <f t="shared" si="35"/>
        <v>4.3171268979623978</v>
      </c>
      <c r="F268" s="134">
        <f t="shared" si="29"/>
        <v>11.264015775286108</v>
      </c>
      <c r="G268" s="653">
        <f t="shared" si="36"/>
        <v>1.872959834587123</v>
      </c>
    </row>
    <row r="269" spans="1:7" x14ac:dyDescent="0.25">
      <c r="A269" s="129">
        <v>2016</v>
      </c>
      <c r="B269" s="130" t="s">
        <v>32</v>
      </c>
      <c r="C269" s="131">
        <f t="shared" si="34"/>
        <v>646.86800000000164</v>
      </c>
      <c r="D269" s="132">
        <v>1.6340177353771246</v>
      </c>
      <c r="E269" s="133">
        <f t="shared" si="35"/>
        <v>6.0216872525109544</v>
      </c>
      <c r="F269" s="134">
        <f t="shared" si="29"/>
        <v>12.315561744493376</v>
      </c>
      <c r="G269" s="653">
        <f t="shared" si="36"/>
        <v>1.8428473815368775</v>
      </c>
    </row>
    <row r="270" spans="1:7" x14ac:dyDescent="0.25">
      <c r="A270" s="129">
        <v>2016</v>
      </c>
      <c r="B270" s="130" t="s">
        <v>33</v>
      </c>
      <c r="C270" s="131">
        <f t="shared" si="34"/>
        <v>644.35600000000159</v>
      </c>
      <c r="D270" s="132">
        <v>-0.38833270466309688</v>
      </c>
      <c r="E270" s="133">
        <f t="shared" si="35"/>
        <v>5.6099703668738288</v>
      </c>
      <c r="F270" s="134">
        <f t="shared" si="29"/>
        <v>11.231449370180592</v>
      </c>
      <c r="G270" s="653">
        <f t="shared" si="36"/>
        <v>1.8500316595174049</v>
      </c>
    </row>
    <row r="271" spans="1:7" x14ac:dyDescent="0.25">
      <c r="A271" s="129">
        <v>2016</v>
      </c>
      <c r="B271" s="130" t="s">
        <v>34</v>
      </c>
      <c r="C271" s="131">
        <f t="shared" si="34"/>
        <v>647.15300000000161</v>
      </c>
      <c r="D271" s="132">
        <v>0.43407681468008441</v>
      </c>
      <c r="E271" s="133">
        <f t="shared" si="35"/>
        <v>6.0683987622269342</v>
      </c>
      <c r="F271" s="134">
        <f t="shared" si="29"/>
        <v>11.267704919723975</v>
      </c>
      <c r="G271" s="653">
        <f t="shared" si="36"/>
        <v>1.8420358091517723</v>
      </c>
    </row>
    <row r="272" spans="1:7" x14ac:dyDescent="0.25">
      <c r="A272" s="129">
        <v>2016</v>
      </c>
      <c r="B272" s="130" t="s">
        <v>36</v>
      </c>
      <c r="C272" s="131">
        <f t="shared" si="34"/>
        <v>647.36000000000149</v>
      </c>
      <c r="D272" s="132">
        <v>3.198625363707297E-2</v>
      </c>
      <c r="E272" s="133">
        <f t="shared" si="35"/>
        <v>6.1023260692838033</v>
      </c>
      <c r="F272" s="134">
        <f t="shared" si="29"/>
        <v>9.7411921064185734</v>
      </c>
      <c r="G272" s="653">
        <f t="shared" si="36"/>
        <v>1.8414467993079542</v>
      </c>
    </row>
    <row r="273" spans="1:7" x14ac:dyDescent="0.25">
      <c r="A273" s="129">
        <v>2016</v>
      </c>
      <c r="B273" s="130" t="s">
        <v>35</v>
      </c>
      <c r="C273" s="131">
        <f t="shared" si="34"/>
        <v>648.21300000000144</v>
      </c>
      <c r="D273" s="132">
        <v>0.13176594167076949</v>
      </c>
      <c r="E273" s="133">
        <f t="shared" si="35"/>
        <v>6.2421327983635866</v>
      </c>
      <c r="F273" s="134">
        <f t="shared" si="29"/>
        <v>7.9870857898708403</v>
      </c>
      <c r="G273" s="653">
        <f t="shared" si="36"/>
        <v>1.839023592553678</v>
      </c>
    </row>
    <row r="274" spans="1:7" x14ac:dyDescent="0.25">
      <c r="A274" s="129">
        <v>2016</v>
      </c>
      <c r="B274" s="130" t="s">
        <v>25</v>
      </c>
      <c r="C274" s="131">
        <f t="shared" si="34"/>
        <v>648.56100000000151</v>
      </c>
      <c r="D274" s="132">
        <v>5.3686056897972456E-2</v>
      </c>
      <c r="E274" s="133">
        <f t="shared" si="35"/>
        <v>6.2991700102273507</v>
      </c>
      <c r="F274" s="134">
        <f t="shared" si="29"/>
        <v>6.7693817177306048</v>
      </c>
      <c r="G274" s="653">
        <f t="shared" si="36"/>
        <v>1.8380368230590449</v>
      </c>
    </row>
    <row r="275" spans="1:7" x14ac:dyDescent="0.25">
      <c r="A275" s="129">
        <v>2016</v>
      </c>
      <c r="B275" s="130" t="s">
        <v>26</v>
      </c>
      <c r="C275" s="131">
        <f t="shared" si="34"/>
        <v>653.9510000000015</v>
      </c>
      <c r="D275" s="132">
        <v>0.83107063175245077</v>
      </c>
      <c r="E275" s="133">
        <f t="shared" si="35"/>
        <v>7.1825911939789489</v>
      </c>
      <c r="F275" s="134">
        <f t="shared" si="29"/>
        <v>7.1825911939789489</v>
      </c>
      <c r="G275" s="653">
        <f t="shared" si="36"/>
        <v>1.8228873417121423</v>
      </c>
    </row>
    <row r="276" spans="1:7" x14ac:dyDescent="0.25">
      <c r="A276" s="129">
        <v>2017</v>
      </c>
      <c r="B276" s="130" t="s">
        <v>27</v>
      </c>
      <c r="C276" s="131">
        <f t="shared" si="34"/>
        <v>656.7780000000015</v>
      </c>
      <c r="D276" s="132">
        <v>0.43229538604574458</v>
      </c>
      <c r="E276" s="133">
        <f>(C276/$C$275-1)*100</f>
        <v>0.43229538604574458</v>
      </c>
      <c r="F276" s="134">
        <f t="shared" ref="F276:F339" si="37">100*(C276/C264-1)</f>
        <v>6.0215407860837011</v>
      </c>
      <c r="G276" s="653">
        <f t="shared" si="36"/>
        <v>1.8150410032004685</v>
      </c>
    </row>
    <row r="277" spans="1:7" x14ac:dyDescent="0.25">
      <c r="A277" s="129">
        <v>2017</v>
      </c>
      <c r="B277" s="130" t="s">
        <v>28</v>
      </c>
      <c r="C277" s="131">
        <f t="shared" si="34"/>
        <v>657.19100000000162</v>
      </c>
      <c r="D277" s="132">
        <v>6.2882739677649901E-2</v>
      </c>
      <c r="E277" s="133">
        <f t="shared" ref="E277:E287" si="38">(C277/$C$275-1)*100</f>
        <v>0.49544996490564763</v>
      </c>
      <c r="F277" s="134">
        <f t="shared" si="37"/>
        <v>5.2573330386344042</v>
      </c>
      <c r="G277" s="653">
        <f t="shared" si="36"/>
        <v>1.8139003729509335</v>
      </c>
    </row>
    <row r="278" spans="1:7" x14ac:dyDescent="0.25">
      <c r="A278" s="129">
        <v>2017</v>
      </c>
      <c r="B278" s="130" t="s">
        <v>29</v>
      </c>
      <c r="C278" s="131">
        <f t="shared" si="34"/>
        <v>654.70900000000154</v>
      </c>
      <c r="D278" s="132">
        <v>-0.37766798388901845</v>
      </c>
      <c r="E278" s="133">
        <f t="shared" si="38"/>
        <v>0.115910825122989</v>
      </c>
      <c r="F278" s="134">
        <f t="shared" si="37"/>
        <v>4.4093069243772653</v>
      </c>
      <c r="G278" s="653">
        <f t="shared" si="36"/>
        <v>1.8207768642251705</v>
      </c>
    </row>
    <row r="279" spans="1:7" x14ac:dyDescent="0.25">
      <c r="A279" s="129">
        <v>2017</v>
      </c>
      <c r="B279" s="130" t="s">
        <v>30</v>
      </c>
      <c r="C279" s="131">
        <f t="shared" si="34"/>
        <v>646.57300000000157</v>
      </c>
      <c r="D279" s="132">
        <v>-1.2426895002207061</v>
      </c>
      <c r="E279" s="133">
        <f t="shared" si="38"/>
        <v>-1.1282190867511366</v>
      </c>
      <c r="F279" s="134">
        <f t="shared" si="37"/>
        <v>2.7374492527945771</v>
      </c>
      <c r="G279" s="653">
        <f t="shared" si="36"/>
        <v>1.8436881837008305</v>
      </c>
    </row>
    <row r="280" spans="1:7" x14ac:dyDescent="0.25">
      <c r="A280" s="129">
        <v>2017</v>
      </c>
      <c r="B280" s="130" t="s">
        <v>31</v>
      </c>
      <c r="C280" s="131">
        <f t="shared" si="34"/>
        <v>643.26000000000158</v>
      </c>
      <c r="D280" s="132">
        <v>-0.51239380549450431</v>
      </c>
      <c r="E280" s="133">
        <f t="shared" si="38"/>
        <v>-1.6348319675327239</v>
      </c>
      <c r="F280" s="134">
        <f t="shared" si="37"/>
        <v>1.0671392748732078</v>
      </c>
      <c r="G280" s="653">
        <f t="shared" si="36"/>
        <v>1.8531837826073392</v>
      </c>
    </row>
    <row r="281" spans="1:7" x14ac:dyDescent="0.25">
      <c r="A281" s="129">
        <v>2017</v>
      </c>
      <c r="B281" s="130" t="s">
        <v>32</v>
      </c>
      <c r="C281" s="131">
        <f t="shared" si="34"/>
        <v>637.07900000000154</v>
      </c>
      <c r="D281" s="132">
        <v>-0.9608867332027593</v>
      </c>
      <c r="E281" s="133">
        <f t="shared" si="38"/>
        <v>-2.5800098172492958</v>
      </c>
      <c r="F281" s="134">
        <f t="shared" si="37"/>
        <v>-1.5132917380362154</v>
      </c>
      <c r="G281" s="653">
        <f t="shared" si="36"/>
        <v>1.8711635448664876</v>
      </c>
    </row>
    <row r="282" spans="1:7" x14ac:dyDescent="0.25">
      <c r="A282" s="129">
        <v>2017</v>
      </c>
      <c r="B282" s="130" t="s">
        <v>33</v>
      </c>
      <c r="C282" s="131">
        <f t="shared" si="34"/>
        <v>635.19800000000157</v>
      </c>
      <c r="D282" s="132">
        <v>-0.29525380682772218</v>
      </c>
      <c r="E282" s="133">
        <f t="shared" si="38"/>
        <v>-2.8676460468750498</v>
      </c>
      <c r="F282" s="134">
        <f t="shared" si="37"/>
        <v>-1.4212640217519446</v>
      </c>
      <c r="G282" s="653">
        <f t="shared" si="36"/>
        <v>1.8767045866013385</v>
      </c>
    </row>
    <row r="283" spans="1:7" x14ac:dyDescent="0.25">
      <c r="A283" s="129">
        <v>2017</v>
      </c>
      <c r="B283" s="130" t="s">
        <v>34</v>
      </c>
      <c r="C283" s="131">
        <f t="shared" si="34"/>
        <v>636.71400000000165</v>
      </c>
      <c r="D283" s="132">
        <v>0.23866573887199038</v>
      </c>
      <c r="E283" s="133">
        <f t="shared" si="38"/>
        <v>-2.6358243966290718</v>
      </c>
      <c r="F283" s="134">
        <f t="shared" si="37"/>
        <v>-1.6130652256885036</v>
      </c>
      <c r="G283" s="653">
        <f t="shared" si="36"/>
        <v>1.8722362002406054</v>
      </c>
    </row>
    <row r="284" spans="1:7" x14ac:dyDescent="0.25">
      <c r="A284" s="129">
        <v>2017</v>
      </c>
      <c r="B284" s="130" t="s">
        <v>36</v>
      </c>
      <c r="C284" s="131">
        <f t="shared" si="34"/>
        <v>640.6540000000017</v>
      </c>
      <c r="D284" s="132">
        <v>0.61880216235232766</v>
      </c>
      <c r="E284" s="133">
        <f t="shared" si="38"/>
        <v>-2.0333327726388961</v>
      </c>
      <c r="F284" s="134">
        <f t="shared" si="37"/>
        <v>-1.0358996539791998</v>
      </c>
      <c r="G284" s="653">
        <f t="shared" si="36"/>
        <v>1.8607220121937844</v>
      </c>
    </row>
    <row r="285" spans="1:7" x14ac:dyDescent="0.25">
      <c r="A285" s="129">
        <v>2017</v>
      </c>
      <c r="B285" s="130" t="s">
        <v>35</v>
      </c>
      <c r="C285" s="131">
        <f t="shared" si="34"/>
        <v>641.2790000000017</v>
      </c>
      <c r="D285" s="132">
        <v>9.7556559390876707E-2</v>
      </c>
      <c r="E285" s="133">
        <f t="shared" si="38"/>
        <v>-1.9377598627419723</v>
      </c>
      <c r="F285" s="134">
        <f t="shared" si="37"/>
        <v>-1.0697101107197349</v>
      </c>
      <c r="G285" s="653">
        <f t="shared" si="36"/>
        <v>1.858908524994576</v>
      </c>
    </row>
    <row r="286" spans="1:7" x14ac:dyDescent="0.25">
      <c r="A286" s="129">
        <v>2017</v>
      </c>
      <c r="B286" s="130" t="s">
        <v>25</v>
      </c>
      <c r="C286" s="131">
        <f t="shared" si="34"/>
        <v>646.42200000000173</v>
      </c>
      <c r="D286" s="132">
        <v>0.80199102106883746</v>
      </c>
      <c r="E286" s="133">
        <f t="shared" si="38"/>
        <v>-1.151309501782205</v>
      </c>
      <c r="F286" s="134">
        <f t="shared" si="37"/>
        <v>-0.32980706517964364</v>
      </c>
      <c r="G286" s="653">
        <f t="shared" si="36"/>
        <v>1.8441188573408651</v>
      </c>
    </row>
    <row r="287" spans="1:7" x14ac:dyDescent="0.25">
      <c r="A287" s="129">
        <v>2017</v>
      </c>
      <c r="B287" s="130" t="s">
        <v>26</v>
      </c>
      <c r="C287" s="131">
        <f t="shared" si="34"/>
        <v>651.21400000000176</v>
      </c>
      <c r="D287" s="132">
        <v>0.74131140338664636</v>
      </c>
      <c r="E287" s="133">
        <f t="shared" si="38"/>
        <v>-0.41853288702055069</v>
      </c>
      <c r="F287" s="134">
        <f t="shared" si="37"/>
        <v>-0.41853288702055069</v>
      </c>
      <c r="G287" s="653">
        <f t="shared" si="36"/>
        <v>1.8305487904129776</v>
      </c>
    </row>
    <row r="288" spans="1:7" x14ac:dyDescent="0.25">
      <c r="A288" s="129">
        <v>2018</v>
      </c>
      <c r="B288" s="130" t="s">
        <v>27</v>
      </c>
      <c r="C288" s="131">
        <f t="shared" si="34"/>
        <v>654.96800000000178</v>
      </c>
      <c r="D288" s="132">
        <v>0.57646180825350335</v>
      </c>
      <c r="E288" s="133">
        <f>(C288/$C$287-1)*100</f>
        <v>0.57646180825350335</v>
      </c>
      <c r="F288" s="134">
        <f t="shared" si="37"/>
        <v>-0.27558779374456943</v>
      </c>
      <c r="G288" s="653">
        <f t="shared" si="36"/>
        <v>1.8200568577396097</v>
      </c>
    </row>
    <row r="289" spans="1:7" x14ac:dyDescent="0.25">
      <c r="A289" s="129">
        <v>2018</v>
      </c>
      <c r="B289" s="130" t="s">
        <v>28</v>
      </c>
      <c r="C289" s="131">
        <f t="shared" si="34"/>
        <v>655.97500000000184</v>
      </c>
      <c r="D289" s="132">
        <v>0.15374796936644675</v>
      </c>
      <c r="E289" s="133">
        <f t="shared" ref="E289:E299" si="39">(C289/$C$287-1)*100</f>
        <v>0.73109607594432635</v>
      </c>
      <c r="F289" s="134">
        <f t="shared" si="37"/>
        <v>-0.18502992280780006</v>
      </c>
      <c r="G289" s="653">
        <f t="shared" si="36"/>
        <v>1.8172628530050636</v>
      </c>
    </row>
    <row r="290" spans="1:7" x14ac:dyDescent="0.25">
      <c r="A290" s="129">
        <v>2018</v>
      </c>
      <c r="B290" s="130" t="s">
        <v>29</v>
      </c>
      <c r="C290" s="131">
        <f t="shared" si="34"/>
        <v>659.66500000000178</v>
      </c>
      <c r="D290" s="132">
        <v>0.56252143755477491</v>
      </c>
      <c r="E290" s="133">
        <f t="shared" si="39"/>
        <v>1.297730085655413</v>
      </c>
      <c r="F290" s="134">
        <f t="shared" si="37"/>
        <v>0.75697752742061031</v>
      </c>
      <c r="G290" s="653">
        <f t="shared" si="36"/>
        <v>1.8070975419341586</v>
      </c>
    </row>
    <row r="291" spans="1:7" x14ac:dyDescent="0.25">
      <c r="A291" s="129">
        <v>2018</v>
      </c>
      <c r="B291" s="130" t="s">
        <v>30</v>
      </c>
      <c r="C291" s="131">
        <f t="shared" si="34"/>
        <v>665.7700000000018</v>
      </c>
      <c r="D291" s="132">
        <v>0.92546974600744569</v>
      </c>
      <c r="E291" s="133">
        <f t="shared" si="39"/>
        <v>2.2352099309904228</v>
      </c>
      <c r="F291" s="134">
        <f t="shared" si="37"/>
        <v>2.9690382988464048</v>
      </c>
      <c r="G291" s="653">
        <f t="shared" si="36"/>
        <v>1.7905267584901643</v>
      </c>
    </row>
    <row r="292" spans="1:7" x14ac:dyDescent="0.25">
      <c r="A292" s="129">
        <v>2018</v>
      </c>
      <c r="B292" s="130" t="s">
        <v>31</v>
      </c>
      <c r="C292" s="131">
        <f t="shared" si="34"/>
        <v>676.69500000000187</v>
      </c>
      <c r="D292" s="132">
        <v>1.640957087282402</v>
      </c>
      <c r="E292" s="133">
        <f t="shared" si="39"/>
        <v>3.9128458540510502</v>
      </c>
      <c r="F292" s="134">
        <f t="shared" si="37"/>
        <v>5.1977427478780314</v>
      </c>
      <c r="G292" s="653">
        <f t="shared" si="36"/>
        <v>1.7616193410620689</v>
      </c>
    </row>
    <row r="293" spans="1:7" x14ac:dyDescent="0.25">
      <c r="A293" s="129">
        <v>2018</v>
      </c>
      <c r="B293" s="130" t="s">
        <v>32</v>
      </c>
      <c r="C293" s="131">
        <f t="shared" si="34"/>
        <v>686.69600000000185</v>
      </c>
      <c r="D293" s="132">
        <v>1.477918412283219</v>
      </c>
      <c r="E293" s="133">
        <f t="shared" si="39"/>
        <v>5.4485929356555607</v>
      </c>
      <c r="F293" s="134">
        <f t="shared" si="37"/>
        <v>7.7882020911064664</v>
      </c>
      <c r="G293" s="653">
        <f t="shared" si="36"/>
        <v>1.7359632209886133</v>
      </c>
    </row>
    <row r="294" spans="1:7" x14ac:dyDescent="0.25">
      <c r="A294" s="129">
        <v>2018</v>
      </c>
      <c r="B294" s="130" t="s">
        <v>33</v>
      </c>
      <c r="C294" s="131">
        <f t="shared" si="34"/>
        <v>689.7460000000018</v>
      </c>
      <c r="D294" s="132">
        <v>0.44415578363641295</v>
      </c>
      <c r="E294" s="133">
        <f t="shared" si="39"/>
        <v>5.9169489599425029</v>
      </c>
      <c r="F294" s="134">
        <f t="shared" si="37"/>
        <v>8.5875585250583484</v>
      </c>
      <c r="G294" s="653">
        <f t="shared" si="36"/>
        <v>1.7282869346107073</v>
      </c>
    </row>
    <row r="295" spans="1:7" x14ac:dyDescent="0.25">
      <c r="A295" s="129">
        <v>2018</v>
      </c>
      <c r="B295" s="130" t="s">
        <v>34</v>
      </c>
      <c r="C295" s="131">
        <f t="shared" si="34"/>
        <v>694.41400000000181</v>
      </c>
      <c r="D295" s="132">
        <v>0.67677086927651064</v>
      </c>
      <c r="E295" s="133">
        <f t="shared" si="39"/>
        <v>6.6337640161298728</v>
      </c>
      <c r="F295" s="134">
        <f t="shared" si="37"/>
        <v>9.0621534943475357</v>
      </c>
      <c r="G295" s="653">
        <f t="shared" si="36"/>
        <v>1.7166690187697784</v>
      </c>
    </row>
    <row r="296" spans="1:7" x14ac:dyDescent="0.25">
      <c r="A296" s="129">
        <v>2018</v>
      </c>
      <c r="B296" s="130" t="s">
        <v>36</v>
      </c>
      <c r="C296" s="131">
        <f t="shared" si="34"/>
        <v>706.83400000000177</v>
      </c>
      <c r="D296" s="132">
        <v>1.7885584104007091</v>
      </c>
      <c r="E296" s="133">
        <f t="shared" si="39"/>
        <v>8.5409711707671967</v>
      </c>
      <c r="F296" s="134">
        <f t="shared" si="37"/>
        <v>10.330068960780681</v>
      </c>
      <c r="G296" s="653">
        <f t="shared" si="36"/>
        <v>1.6865048936525364</v>
      </c>
    </row>
    <row r="297" spans="1:7" x14ac:dyDescent="0.25">
      <c r="A297" s="129">
        <v>2018</v>
      </c>
      <c r="B297" s="130" t="s">
        <v>35</v>
      </c>
      <c r="C297" s="131">
        <f t="shared" si="34"/>
        <v>708.69400000000178</v>
      </c>
      <c r="D297" s="132">
        <v>0.26314523636383758</v>
      </c>
      <c r="E297" s="133">
        <f t="shared" si="39"/>
        <v>8.8265915659061278</v>
      </c>
      <c r="F297" s="134">
        <f t="shared" si="37"/>
        <v>10.512585005902242</v>
      </c>
      <c r="G297" s="653">
        <f t="shared" si="36"/>
        <v>1.6820785839868786</v>
      </c>
    </row>
    <row r="298" spans="1:7" x14ac:dyDescent="0.25">
      <c r="A298" s="129">
        <v>2018</v>
      </c>
      <c r="B298" s="130" t="s">
        <v>25</v>
      </c>
      <c r="C298" s="131">
        <f t="shared" si="34"/>
        <v>700.60100000000182</v>
      </c>
      <c r="D298" s="132">
        <v>-1.1419597174521012</v>
      </c>
      <c r="E298" s="133">
        <f t="shared" si="39"/>
        <v>7.5838357283473545</v>
      </c>
      <c r="F298" s="134">
        <f t="shared" si="37"/>
        <v>8.3813669708023397</v>
      </c>
      <c r="G298" s="653">
        <f t="shared" si="36"/>
        <v>1.7015091328730574</v>
      </c>
    </row>
    <row r="299" spans="1:7" x14ac:dyDescent="0.25">
      <c r="A299" s="129">
        <v>2018</v>
      </c>
      <c r="B299" s="130" t="s">
        <v>26</v>
      </c>
      <c r="C299" s="131">
        <f t="shared" si="34"/>
        <v>697.44600000000185</v>
      </c>
      <c r="D299" s="132">
        <v>-0.45032764726284924</v>
      </c>
      <c r="E299" s="133">
        <f t="shared" si="39"/>
        <v>7.0993559720767596</v>
      </c>
      <c r="F299" s="134">
        <f t="shared" si="37"/>
        <v>7.0993559720767596</v>
      </c>
      <c r="G299" s="653">
        <f t="shared" si="36"/>
        <v>1.7092061607636961</v>
      </c>
    </row>
    <row r="300" spans="1:7" x14ac:dyDescent="0.25">
      <c r="A300" s="129">
        <v>2019</v>
      </c>
      <c r="B300" s="130" t="s">
        <v>27</v>
      </c>
      <c r="C300" s="131">
        <f t="shared" si="34"/>
        <v>697.92300000000182</v>
      </c>
      <c r="D300" s="132">
        <v>6.8392391669025443E-2</v>
      </c>
      <c r="E300" s="133">
        <f>(C300/$C$299-1)*100</f>
        <v>6.8392391669025443E-2</v>
      </c>
      <c r="F300" s="134">
        <f t="shared" si="37"/>
        <v>6.5583356744146171</v>
      </c>
      <c r="G300" s="653">
        <f t="shared" si="36"/>
        <v>1.7080379927298526</v>
      </c>
    </row>
    <row r="301" spans="1:7" x14ac:dyDescent="0.25">
      <c r="A301" s="129">
        <v>2019</v>
      </c>
      <c r="B301" s="130" t="s">
        <v>28</v>
      </c>
      <c r="C301" s="131">
        <f t="shared" si="34"/>
        <v>706.66000000000179</v>
      </c>
      <c r="D301" s="132">
        <v>1.2518572965785513</v>
      </c>
      <c r="E301" s="133">
        <f t="shared" ref="E301:E311" si="40">(C301/$C$299-1)*100</f>
        <v>1.3211058633930017</v>
      </c>
      <c r="F301" s="134">
        <f t="shared" si="37"/>
        <v>7.7266664125919204</v>
      </c>
      <c r="G301" s="653">
        <f t="shared" si="36"/>
        <v>1.686920159624143</v>
      </c>
    </row>
    <row r="302" spans="1:7" x14ac:dyDescent="0.25">
      <c r="A302" s="129">
        <v>2019</v>
      </c>
      <c r="B302" s="130" t="s">
        <v>29</v>
      </c>
      <c r="C302" s="131">
        <f t="shared" si="34"/>
        <v>714.24300000000187</v>
      </c>
      <c r="D302" s="132">
        <v>1.073076161095865</v>
      </c>
      <c r="E302" s="133">
        <f t="shared" si="40"/>
        <v>2.4083584965717719</v>
      </c>
      <c r="F302" s="134">
        <f t="shared" si="37"/>
        <v>8.2735934148393309</v>
      </c>
      <c r="G302" s="653">
        <f t="shared" si="36"/>
        <v>1.6690104068223235</v>
      </c>
    </row>
    <row r="303" spans="1:7" x14ac:dyDescent="0.25">
      <c r="A303" s="129">
        <v>2019</v>
      </c>
      <c r="B303" s="130" t="s">
        <v>30</v>
      </c>
      <c r="C303" s="131">
        <f t="shared" si="34"/>
        <v>720.69500000000198</v>
      </c>
      <c r="D303" s="132">
        <v>0.90333401937436886</v>
      </c>
      <c r="E303" s="133">
        <f t="shared" si="40"/>
        <v>3.3334480375541764</v>
      </c>
      <c r="F303" s="134">
        <f t="shared" si="37"/>
        <v>8.2498460429277323</v>
      </c>
      <c r="G303" s="653">
        <f t="shared" si="36"/>
        <v>1.6540686420746593</v>
      </c>
    </row>
    <row r="304" spans="1:7" x14ac:dyDescent="0.25">
      <c r="A304" s="129">
        <v>2019</v>
      </c>
      <c r="B304" s="130" t="s">
        <v>31</v>
      </c>
      <c r="C304" s="131">
        <f t="shared" si="34"/>
        <v>723.57700000000193</v>
      </c>
      <c r="D304" s="132">
        <v>0.39989177113757268</v>
      </c>
      <c r="E304" s="133">
        <f t="shared" si="40"/>
        <v>3.7466699930890801</v>
      </c>
      <c r="F304" s="134">
        <f t="shared" si="37"/>
        <v>6.9280842920370178</v>
      </c>
      <c r="G304" s="653">
        <f t="shared" si="36"/>
        <v>1.6474805031116202</v>
      </c>
    </row>
    <row r="305" spans="1:7" x14ac:dyDescent="0.25">
      <c r="A305" s="129">
        <v>2019</v>
      </c>
      <c r="B305" s="130" t="s">
        <v>32</v>
      </c>
      <c r="C305" s="131">
        <f t="shared" si="34"/>
        <v>728.14200000000199</v>
      </c>
      <c r="D305" s="132">
        <v>0.63089346399900492</v>
      </c>
      <c r="E305" s="133">
        <f t="shared" si="40"/>
        <v>4.4012009531920748</v>
      </c>
      <c r="F305" s="134">
        <f t="shared" si="37"/>
        <v>6.0355674126542302</v>
      </c>
      <c r="G305" s="653">
        <f t="shared" si="36"/>
        <v>1.6371518192879915</v>
      </c>
    </row>
    <row r="306" spans="1:7" x14ac:dyDescent="0.25">
      <c r="A306" s="129">
        <v>2019</v>
      </c>
      <c r="B306" s="130" t="s">
        <v>33</v>
      </c>
      <c r="C306" s="131">
        <f t="shared" si="34"/>
        <v>728.08400000000188</v>
      </c>
      <c r="D306" s="132">
        <v>-7.9654792609296088E-3</v>
      </c>
      <c r="E306" s="133">
        <f t="shared" si="40"/>
        <v>4.3928848971819923</v>
      </c>
      <c r="F306" s="134">
        <f t="shared" si="37"/>
        <v>5.5582779747907152</v>
      </c>
      <c r="G306" s="653">
        <f t="shared" si="36"/>
        <v>1.6372822366649959</v>
      </c>
    </row>
    <row r="307" spans="1:7" x14ac:dyDescent="0.25">
      <c r="A307" s="129">
        <v>2019</v>
      </c>
      <c r="B307" s="130" t="s">
        <v>34</v>
      </c>
      <c r="C307" s="131">
        <f t="shared" si="34"/>
        <v>724.39500000000191</v>
      </c>
      <c r="D307" s="132">
        <v>-0.50667230704148913</v>
      </c>
      <c r="E307" s="133">
        <f t="shared" si="40"/>
        <v>3.8639550588862814</v>
      </c>
      <c r="F307" s="134">
        <f t="shared" si="37"/>
        <v>4.3174532771516727</v>
      </c>
      <c r="G307" s="653">
        <f t="shared" si="36"/>
        <v>1.6456201381842734</v>
      </c>
    </row>
    <row r="308" spans="1:7" x14ac:dyDescent="0.25">
      <c r="A308" s="129">
        <v>2019</v>
      </c>
      <c r="B308" s="130" t="s">
        <v>36</v>
      </c>
      <c r="C308" s="131">
        <f t="shared" si="34"/>
        <v>728.0400000000019</v>
      </c>
      <c r="D308" s="132">
        <v>0.50317851448449247</v>
      </c>
      <c r="E308" s="133">
        <f t="shared" si="40"/>
        <v>4.3865761650364377</v>
      </c>
      <c r="F308" s="134">
        <f t="shared" si="37"/>
        <v>3.0001386464148627</v>
      </c>
      <c r="G308" s="653">
        <f t="shared" si="36"/>
        <v>1.6373811878468172</v>
      </c>
    </row>
    <row r="309" spans="1:7" x14ac:dyDescent="0.25">
      <c r="A309" s="129">
        <v>2019</v>
      </c>
      <c r="B309" s="130" t="s">
        <v>35</v>
      </c>
      <c r="C309" s="131">
        <f t="shared" si="34"/>
        <v>732.04100000000199</v>
      </c>
      <c r="D309" s="132">
        <v>0.54955771660898378</v>
      </c>
      <c r="E309" s="133">
        <f t="shared" si="40"/>
        <v>4.9602406494553053</v>
      </c>
      <c r="F309" s="134">
        <f t="shared" si="37"/>
        <v>3.2943696433157532</v>
      </c>
      <c r="G309" s="653">
        <f t="shared" si="36"/>
        <v>1.6284320140538531</v>
      </c>
    </row>
    <row r="310" spans="1:7" x14ac:dyDescent="0.25">
      <c r="A310" s="129">
        <v>2019</v>
      </c>
      <c r="B310" s="130" t="s">
        <v>25</v>
      </c>
      <c r="C310" s="131">
        <f t="shared" si="34"/>
        <v>738.26400000000194</v>
      </c>
      <c r="D310" s="132">
        <v>0.85008899774738911</v>
      </c>
      <c r="E310" s="133">
        <f t="shared" si="40"/>
        <v>5.8524961072255133</v>
      </c>
      <c r="F310" s="134">
        <f t="shared" si="37"/>
        <v>5.3758130519368397</v>
      </c>
      <c r="G310" s="653">
        <f t="shared" si="36"/>
        <v>1.6147055795758656</v>
      </c>
    </row>
    <row r="311" spans="1:7" x14ac:dyDescent="0.25">
      <c r="A311" s="129">
        <v>2019</v>
      </c>
      <c r="B311" s="130" t="s">
        <v>26</v>
      </c>
      <c r="C311" s="131">
        <f t="shared" si="34"/>
        <v>751.12100000000191</v>
      </c>
      <c r="D311" s="132">
        <v>1.741517939382109</v>
      </c>
      <c r="E311" s="133">
        <f t="shared" si="40"/>
        <v>7.6959363162165895</v>
      </c>
      <c r="F311" s="134">
        <f t="shared" si="37"/>
        <v>7.6959363162165895</v>
      </c>
      <c r="G311" s="653">
        <f t="shared" si="36"/>
        <v>1.5870665312246588</v>
      </c>
    </row>
    <row r="312" spans="1:7" x14ac:dyDescent="0.25">
      <c r="A312" s="129">
        <v>2020</v>
      </c>
      <c r="B312" s="130" t="s">
        <v>27</v>
      </c>
      <c r="C312" s="131">
        <f t="shared" si="34"/>
        <v>751.82000000000198</v>
      </c>
      <c r="D312" s="132">
        <v>9.3060904967390279E-2</v>
      </c>
      <c r="E312" s="133">
        <f>(C312/$C$311-1)*100</f>
        <v>9.3060904967390279E-2</v>
      </c>
      <c r="F312" s="134">
        <f t="shared" si="37"/>
        <v>7.7224851452094345</v>
      </c>
      <c r="G312" s="653">
        <f t="shared" si="36"/>
        <v>1.5855909659226901</v>
      </c>
    </row>
    <row r="313" spans="1:7" x14ac:dyDescent="0.25">
      <c r="A313" s="129">
        <v>2020</v>
      </c>
      <c r="B313" s="130" t="s">
        <v>28</v>
      </c>
      <c r="C313" s="131">
        <f t="shared" si="34"/>
        <v>751.9100000000019</v>
      </c>
      <c r="D313" s="132">
        <v>1.1970950493456201E-2</v>
      </c>
      <c r="E313" s="133">
        <f t="shared" ref="E313:E323" si="41">(C313/$C$311-1)*100</f>
        <v>0.10504299573570464</v>
      </c>
      <c r="F313" s="134">
        <f t="shared" si="37"/>
        <v>6.403362295870707</v>
      </c>
      <c r="G313" s="653">
        <f t="shared" si="36"/>
        <v>1.585401178332509</v>
      </c>
    </row>
    <row r="314" spans="1:7" x14ac:dyDescent="0.25">
      <c r="A314" s="129">
        <v>2020</v>
      </c>
      <c r="B314" s="130" t="s">
        <v>29</v>
      </c>
      <c r="C314" s="131">
        <f t="shared" si="34"/>
        <v>764.276000000002</v>
      </c>
      <c r="D314" s="132">
        <v>1.6446117221476042</v>
      </c>
      <c r="E314" s="133">
        <f t="shared" si="41"/>
        <v>1.7513822673044688</v>
      </c>
      <c r="F314" s="134">
        <f t="shared" si="37"/>
        <v>7.0050389013262881</v>
      </c>
      <c r="G314" s="653">
        <f t="shared" si="36"/>
        <v>1.5597493575619237</v>
      </c>
    </row>
    <row r="315" spans="1:7" x14ac:dyDescent="0.25">
      <c r="A315" s="129">
        <v>2020</v>
      </c>
      <c r="B315" s="130" t="s">
        <v>30</v>
      </c>
      <c r="C315" s="131">
        <f t="shared" si="34"/>
        <v>764.656000000002</v>
      </c>
      <c r="D315" s="132">
        <v>4.9720258126639827E-2</v>
      </c>
      <c r="E315" s="133">
        <f t="shared" si="41"/>
        <v>1.8019733172152108</v>
      </c>
      <c r="F315" s="134">
        <f t="shared" si="37"/>
        <v>6.0998064368422034</v>
      </c>
      <c r="G315" s="653">
        <f t="shared" si="36"/>
        <v>1.5589742315498694</v>
      </c>
    </row>
    <row r="316" spans="1:7" x14ac:dyDescent="0.25">
      <c r="A316" s="129">
        <v>2020</v>
      </c>
      <c r="B316" s="130" t="s">
        <v>31</v>
      </c>
      <c r="C316" s="131">
        <f t="shared" si="34"/>
        <v>772.84300000000201</v>
      </c>
      <c r="D316" s="132">
        <v>1.0706775334268004</v>
      </c>
      <c r="E316" s="133">
        <f t="shared" si="41"/>
        <v>2.8919441741077634</v>
      </c>
      <c r="F316" s="134">
        <f t="shared" si="37"/>
        <v>6.808674128669101</v>
      </c>
      <c r="G316" s="653">
        <f t="shared" si="36"/>
        <v>1.5424594646001799</v>
      </c>
    </row>
    <row r="317" spans="1:7" x14ac:dyDescent="0.25">
      <c r="A317" s="129">
        <v>2020</v>
      </c>
      <c r="B317" s="130" t="s">
        <v>32</v>
      </c>
      <c r="C317" s="131">
        <f t="shared" si="34"/>
        <v>785.22100000000205</v>
      </c>
      <c r="D317" s="132">
        <v>1.6016189575372985</v>
      </c>
      <c r="E317" s="133">
        <f t="shared" si="41"/>
        <v>4.5398810577789828</v>
      </c>
      <c r="F317" s="134">
        <f t="shared" si="37"/>
        <v>7.8389929436840422</v>
      </c>
      <c r="G317" s="653">
        <f t="shared" si="36"/>
        <v>1.518144573311204</v>
      </c>
    </row>
    <row r="318" spans="1:7" x14ac:dyDescent="0.25">
      <c r="A318" s="129">
        <v>2020</v>
      </c>
      <c r="B318" s="130" t="s">
        <v>33</v>
      </c>
      <c r="C318" s="131">
        <f t="shared" si="34"/>
        <v>803.58400000000211</v>
      </c>
      <c r="D318" s="132">
        <v>2.3385772922527526</v>
      </c>
      <c r="E318" s="133">
        <f t="shared" si="41"/>
        <v>6.9846269775442282</v>
      </c>
      <c r="F318" s="134">
        <f t="shared" si="37"/>
        <v>10.369682619038457</v>
      </c>
      <c r="G318" s="653">
        <f t="shared" si="36"/>
        <v>1.4834528810927008</v>
      </c>
    </row>
    <row r="319" spans="1:7" x14ac:dyDescent="0.25">
      <c r="A319" s="129">
        <v>2020</v>
      </c>
      <c r="B319" s="130" t="s">
        <v>34</v>
      </c>
      <c r="C319" s="131">
        <f t="shared" si="34"/>
        <v>834.71300000000224</v>
      </c>
      <c r="D319" s="132">
        <v>3.8737705081236085</v>
      </c>
      <c r="E319" s="133">
        <f t="shared" si="41"/>
        <v>11.128965905626398</v>
      </c>
      <c r="F319" s="134">
        <f t="shared" si="37"/>
        <v>15.228984186804162</v>
      </c>
      <c r="G319" s="653">
        <f t="shared" si="36"/>
        <v>1.4281303873307314</v>
      </c>
    </row>
    <row r="320" spans="1:7" x14ac:dyDescent="0.25">
      <c r="A320" s="129">
        <v>2020</v>
      </c>
      <c r="B320" s="130" t="s">
        <v>36</v>
      </c>
      <c r="C320" s="131">
        <f t="shared" si="34"/>
        <v>862.25900000000229</v>
      </c>
      <c r="D320" s="132">
        <v>3.3000564265801557</v>
      </c>
      <c r="E320" s="133">
        <f t="shared" si="41"/>
        <v>14.796284486787092</v>
      </c>
      <c r="F320" s="134">
        <f t="shared" si="37"/>
        <v>18.435662875666182</v>
      </c>
      <c r="G320" s="653">
        <f t="shared" si="36"/>
        <v>1.3825068801833287</v>
      </c>
    </row>
    <row r="321" spans="1:7" x14ac:dyDescent="0.25">
      <c r="A321" s="129">
        <v>2020</v>
      </c>
      <c r="B321" s="130" t="s">
        <v>35</v>
      </c>
      <c r="C321" s="131">
        <f t="shared" si="34"/>
        <v>893.97700000000236</v>
      </c>
      <c r="D321" s="132">
        <v>3.6784771165044416</v>
      </c>
      <c r="E321" s="133">
        <f t="shared" si="41"/>
        <v>19.0190395422309</v>
      </c>
      <c r="F321" s="134">
        <f t="shared" si="37"/>
        <v>22.12116534456403</v>
      </c>
      <c r="G321" s="653">
        <f t="shared" si="36"/>
        <v>1.3334560061388567</v>
      </c>
    </row>
    <row r="322" spans="1:7" x14ac:dyDescent="0.25">
      <c r="A322" s="129">
        <v>2020</v>
      </c>
      <c r="B322" s="130" t="s">
        <v>25</v>
      </c>
      <c r="C322" s="131">
        <f t="shared" si="34"/>
        <v>917.5380000000024</v>
      </c>
      <c r="D322" s="132">
        <v>2.6355264173463011</v>
      </c>
      <c r="E322" s="133">
        <f t="shared" si="41"/>
        <v>22.155817771038233</v>
      </c>
      <c r="F322" s="134">
        <f t="shared" si="37"/>
        <v>24.28318325151977</v>
      </c>
      <c r="G322" s="653">
        <f t="shared" si="36"/>
        <v>1.2992148554065301</v>
      </c>
    </row>
    <row r="323" spans="1:7" x14ac:dyDescent="0.25">
      <c r="A323" s="129">
        <v>2020</v>
      </c>
      <c r="B323" s="130" t="s">
        <v>26</v>
      </c>
      <c r="C323" s="131">
        <f t="shared" si="34"/>
        <v>924.50400000000252</v>
      </c>
      <c r="D323" s="132">
        <v>0.75920561328250979</v>
      </c>
      <c r="E323" s="133">
        <f t="shared" si="41"/>
        <v>23.083231596507115</v>
      </c>
      <c r="F323" s="134">
        <f t="shared" si="37"/>
        <v>23.083231596507115</v>
      </c>
      <c r="G323" s="653">
        <f t="shared" si="36"/>
        <v>1.2894254648979309</v>
      </c>
    </row>
    <row r="324" spans="1:7" x14ac:dyDescent="0.25">
      <c r="A324" s="129">
        <v>2021</v>
      </c>
      <c r="B324" s="130" t="s">
        <v>27</v>
      </c>
      <c r="C324" s="131">
        <f t="shared" si="34"/>
        <v>951.39500000000248</v>
      </c>
      <c r="D324" s="132">
        <v>2.9086948244680277</v>
      </c>
      <c r="E324" s="133">
        <f>(C324/$C$323-1)*100</f>
        <v>2.9086948244680277</v>
      </c>
      <c r="F324" s="134">
        <f t="shared" si="37"/>
        <v>26.545582719267902</v>
      </c>
      <c r="G324" s="653">
        <f t="shared" si="36"/>
        <v>1.2529800976460848</v>
      </c>
    </row>
    <row r="325" spans="1:7" x14ac:dyDescent="0.25">
      <c r="A325" s="129">
        <v>2021</v>
      </c>
      <c r="B325" s="130" t="s">
        <v>28</v>
      </c>
      <c r="C325" s="131">
        <f t="shared" si="34"/>
        <v>977.13300000000254</v>
      </c>
      <c r="D325" s="132">
        <v>2.7052906521476405</v>
      </c>
      <c r="E325" s="133">
        <f t="shared" ref="E325:E335" si="42">(C325/$C$323-1)*100</f>
        <v>5.6926741258015001</v>
      </c>
      <c r="F325" s="134">
        <f t="shared" si="37"/>
        <v>29.953451875889403</v>
      </c>
      <c r="G325" s="653">
        <f t="shared" si="36"/>
        <v>1.219976195666298</v>
      </c>
    </row>
    <row r="326" spans="1:7" x14ac:dyDescent="0.25">
      <c r="A326" s="129">
        <v>2021</v>
      </c>
      <c r="B326" s="130" t="s">
        <v>29</v>
      </c>
      <c r="C326" s="131">
        <f t="shared" si="34"/>
        <v>998.34400000000267</v>
      </c>
      <c r="D326" s="132">
        <v>2.170738272067374</v>
      </c>
      <c r="E326" s="133">
        <f t="shared" si="42"/>
        <v>7.9869854538217266</v>
      </c>
      <c r="F326" s="134">
        <f t="shared" si="37"/>
        <v>30.626108892599024</v>
      </c>
      <c r="G326" s="653">
        <f t="shared" si="36"/>
        <v>1.1940563573277314</v>
      </c>
    </row>
    <row r="327" spans="1:7" x14ac:dyDescent="0.25">
      <c r="A327" s="129">
        <v>2021</v>
      </c>
      <c r="B327" s="130" t="s">
        <v>30</v>
      </c>
      <c r="C327" s="131">
        <f t="shared" si="34"/>
        <v>1020.4950000000027</v>
      </c>
      <c r="D327" s="132">
        <v>2.2187742902246121</v>
      </c>
      <c r="E327" s="133">
        <f t="shared" si="42"/>
        <v>10.3829729238597</v>
      </c>
      <c r="F327" s="134">
        <f t="shared" si="37"/>
        <v>33.45805172522023</v>
      </c>
      <c r="G327" s="653">
        <f t="shared" si="36"/>
        <v>1.168138011455222</v>
      </c>
    </row>
    <row r="328" spans="1:7" x14ac:dyDescent="0.25">
      <c r="A328" s="129">
        <v>2021</v>
      </c>
      <c r="B328" s="130" t="s">
        <v>31</v>
      </c>
      <c r="C328" s="131">
        <f t="shared" ref="C328:C372" si="43">C327*(1+D328/100)</f>
        <v>1055.1670000000029</v>
      </c>
      <c r="D328" s="132">
        <v>3.3975668670596093</v>
      </c>
      <c r="E328" s="133">
        <f t="shared" si="42"/>
        <v>14.13330823879615</v>
      </c>
      <c r="F328" s="134">
        <f t="shared" si="37"/>
        <v>36.530576067843022</v>
      </c>
      <c r="G328" s="653">
        <f t="shared" si="36"/>
        <v>1.1297538683450077</v>
      </c>
    </row>
    <row r="329" spans="1:7" x14ac:dyDescent="0.25">
      <c r="A329" s="129">
        <v>2021</v>
      </c>
      <c r="B329" s="130" t="s">
        <v>32</v>
      </c>
      <c r="C329" s="131">
        <f t="shared" si="43"/>
        <v>1056.343000000003</v>
      </c>
      <c r="D329" s="132">
        <v>0.11145155221876646</v>
      </c>
      <c r="E329" s="133">
        <f t="shared" si="42"/>
        <v>14.260511582426915</v>
      </c>
      <c r="F329" s="134">
        <f t="shared" si="37"/>
        <v>34.528113741227017</v>
      </c>
      <c r="G329" s="653">
        <f t="shared" si="36"/>
        <v>1.1284961418781556</v>
      </c>
    </row>
    <row r="330" spans="1:7" x14ac:dyDescent="0.25">
      <c r="A330" s="129">
        <v>2021</v>
      </c>
      <c r="B330" s="130" t="s">
        <v>33</v>
      </c>
      <c r="C330" s="131">
        <f t="shared" si="43"/>
        <v>1071.615000000003</v>
      </c>
      <c r="D330" s="132">
        <v>1.4457425287051517</v>
      </c>
      <c r="E330" s="133">
        <f t="shared" si="42"/>
        <v>15.912424391890134</v>
      </c>
      <c r="F330" s="134">
        <f t="shared" si="37"/>
        <v>33.354447077094626</v>
      </c>
      <c r="G330" s="653">
        <f t="shared" ref="G330:G375" si="44">$C$375/C330</f>
        <v>1.1124135067164949</v>
      </c>
    </row>
    <row r="331" spans="1:7" x14ac:dyDescent="0.25">
      <c r="A331" s="129">
        <v>2021</v>
      </c>
      <c r="B331" s="130" t="s">
        <v>34</v>
      </c>
      <c r="C331" s="131">
        <f t="shared" si="43"/>
        <v>1070.1470000000029</v>
      </c>
      <c r="D331" s="132">
        <v>-0.1369894971608332</v>
      </c>
      <c r="E331" s="133">
        <f t="shared" si="42"/>
        <v>15.75363654456876</v>
      </c>
      <c r="F331" s="134">
        <f t="shared" si="37"/>
        <v>28.205383167627684</v>
      </c>
      <c r="G331" s="653">
        <f t="shared" si="44"/>
        <v>1.1139394868181631</v>
      </c>
    </row>
    <row r="332" spans="1:7" x14ac:dyDescent="0.25">
      <c r="A332" s="129">
        <v>2021</v>
      </c>
      <c r="B332" s="130" t="s">
        <v>36</v>
      </c>
      <c r="C332" s="131">
        <f t="shared" si="43"/>
        <v>1064.3100000000029</v>
      </c>
      <c r="D332" s="132">
        <v>-0.54543908453698053</v>
      </c>
      <c r="E332" s="133">
        <f t="shared" si="42"/>
        <v>15.122270969081807</v>
      </c>
      <c r="F332" s="134">
        <f t="shared" si="37"/>
        <v>23.432750484483211</v>
      </c>
      <c r="G332" s="653">
        <f t="shared" si="44"/>
        <v>1.1200486700303451</v>
      </c>
    </row>
    <row r="333" spans="1:7" x14ac:dyDescent="0.25">
      <c r="A333" s="129">
        <v>2021</v>
      </c>
      <c r="B333" s="130" t="s">
        <v>35</v>
      </c>
      <c r="C333" s="131">
        <f t="shared" si="43"/>
        <v>1081.3010000000029</v>
      </c>
      <c r="D333" s="132">
        <v>1.5964333699767908</v>
      </c>
      <c r="E333" s="133">
        <f t="shared" si="42"/>
        <v>16.960121319107312</v>
      </c>
      <c r="F333" s="134">
        <f t="shared" si="37"/>
        <v>20.954006646703437</v>
      </c>
      <c r="G333" s="653">
        <f t="shared" si="44"/>
        <v>1.1024488093509548</v>
      </c>
    </row>
    <row r="334" spans="1:7" x14ac:dyDescent="0.25">
      <c r="A334" s="129">
        <v>2021</v>
      </c>
      <c r="B334" s="130" t="s">
        <v>25</v>
      </c>
      <c r="C334" s="131">
        <f t="shared" si="43"/>
        <v>1075.0220000000029</v>
      </c>
      <c r="D334" s="132">
        <v>-0.58068937326424264</v>
      </c>
      <c r="E334" s="133">
        <f t="shared" si="42"/>
        <v>16.280946323650291</v>
      </c>
      <c r="F334" s="134">
        <f t="shared" si="37"/>
        <v>17.163757795317469</v>
      </c>
      <c r="G334" s="653">
        <f t="shared" si="44"/>
        <v>1.1088880041524702</v>
      </c>
    </row>
    <row r="335" spans="1:7" x14ac:dyDescent="0.25">
      <c r="A335" s="129">
        <v>2021</v>
      </c>
      <c r="B335" s="130" t="s">
        <v>26</v>
      </c>
      <c r="C335" s="131">
        <f t="shared" si="43"/>
        <v>1088.489000000003</v>
      </c>
      <c r="D335" s="132">
        <v>1.2527185490157411</v>
      </c>
      <c r="E335" s="133">
        <f t="shared" si="42"/>
        <v>17.737619307217713</v>
      </c>
      <c r="F335" s="134">
        <f t="shared" si="37"/>
        <v>17.737619307217713</v>
      </c>
      <c r="G335" s="653">
        <f t="shared" si="44"/>
        <v>1.09516862366087</v>
      </c>
    </row>
    <row r="336" spans="1:7" x14ac:dyDescent="0.25">
      <c r="A336" s="129">
        <v>2022</v>
      </c>
      <c r="B336" s="130" t="s">
        <v>27</v>
      </c>
      <c r="C336" s="131">
        <f t="shared" si="43"/>
        <v>1110.3980000000029</v>
      </c>
      <c r="D336" s="132">
        <v>2.0127902073424631</v>
      </c>
      <c r="E336" s="133">
        <f>(C336/$C$335-1)*100</f>
        <v>2.0127902073424631</v>
      </c>
      <c r="F336" s="134">
        <f t="shared" si="37"/>
        <v>16.712616736476438</v>
      </c>
      <c r="G336" s="653">
        <f t="shared" si="44"/>
        <v>1.0735601108791595</v>
      </c>
    </row>
    <row r="337" spans="1:7" x14ac:dyDescent="0.25">
      <c r="A337" s="129">
        <v>2022</v>
      </c>
      <c r="B337" s="130" t="s">
        <v>28</v>
      </c>
      <c r="C337" s="131">
        <f t="shared" si="43"/>
        <v>1127.077000000003</v>
      </c>
      <c r="D337" s="132">
        <v>1.5020740311131764</v>
      </c>
      <c r="E337" s="133">
        <f t="shared" ref="E337:E347" si="45">(C337/$C$335-1)*100</f>
        <v>3.5450978374609088</v>
      </c>
      <c r="F337" s="134">
        <f t="shared" si="37"/>
        <v>15.34530099791942</v>
      </c>
      <c r="G337" s="653">
        <f t="shared" si="44"/>
        <v>1.0576730782368879</v>
      </c>
    </row>
    <row r="338" spans="1:7" x14ac:dyDescent="0.25">
      <c r="A338" s="129">
        <v>2022</v>
      </c>
      <c r="B338" s="130" t="s">
        <v>29</v>
      </c>
      <c r="C338" s="131">
        <f t="shared" si="43"/>
        <v>1153.7770000000032</v>
      </c>
      <c r="D338" s="132">
        <v>2.3689597072782176</v>
      </c>
      <c r="E338" s="133">
        <f t="shared" si="45"/>
        <v>5.9980394840921658</v>
      </c>
      <c r="F338" s="134">
        <f t="shared" si="37"/>
        <v>15.569082400455159</v>
      </c>
      <c r="G338" s="653">
        <f t="shared" si="44"/>
        <v>1.0331970562769033</v>
      </c>
    </row>
    <row r="339" spans="1:7" x14ac:dyDescent="0.25">
      <c r="A339" s="129">
        <v>2022</v>
      </c>
      <c r="B339" s="130" t="s">
        <v>30</v>
      </c>
      <c r="C339" s="131">
        <f t="shared" si="43"/>
        <v>1158.5460000000032</v>
      </c>
      <c r="D339" s="132">
        <v>0.41333810606383192</v>
      </c>
      <c r="E339" s="133">
        <f t="shared" si="45"/>
        <v>6.4361697729605094</v>
      </c>
      <c r="F339" s="134">
        <f t="shared" si="37"/>
        <v>13.527846780239017</v>
      </c>
      <c r="G339" s="653">
        <f t="shared" si="44"/>
        <v>1.0289440384758108</v>
      </c>
    </row>
    <row r="340" spans="1:7" x14ac:dyDescent="0.25">
      <c r="A340" s="129">
        <v>2022</v>
      </c>
      <c r="B340" s="130" t="s">
        <v>31</v>
      </c>
      <c r="C340" s="131">
        <f t="shared" si="43"/>
        <v>1166.5420000000033</v>
      </c>
      <c r="D340" s="132">
        <v>0.69017544404796904</v>
      </c>
      <c r="E340" s="133">
        <f t="shared" si="45"/>
        <v>7.1707660803187023</v>
      </c>
      <c r="F340" s="134">
        <f t="shared" ref="F340:F372" si="46">100*(C340/C328-1)</f>
        <v>10.555201214594479</v>
      </c>
      <c r="G340" s="653">
        <f t="shared" si="44"/>
        <v>1.0218911963735524</v>
      </c>
    </row>
    <row r="341" spans="1:7" x14ac:dyDescent="0.25">
      <c r="A341" s="129">
        <v>2022</v>
      </c>
      <c r="B341" s="130" t="s">
        <v>32</v>
      </c>
      <c r="C341" s="131">
        <f t="shared" si="43"/>
        <v>1173.8310000000033</v>
      </c>
      <c r="D341" s="132">
        <v>0.62483819699590271</v>
      </c>
      <c r="E341" s="133">
        <f t="shared" si="45"/>
        <v>7.8404099628016644</v>
      </c>
      <c r="F341" s="103">
        <f t="shared" si="46"/>
        <v>11.122144985104265</v>
      </c>
      <c r="G341" s="653">
        <f t="shared" si="44"/>
        <v>1.0155456790628263</v>
      </c>
    </row>
    <row r="342" spans="1:7" x14ac:dyDescent="0.25">
      <c r="A342" s="129">
        <v>2022</v>
      </c>
      <c r="B342" s="130" t="s">
        <v>33</v>
      </c>
      <c r="C342" s="131">
        <f t="shared" si="43"/>
        <v>1169.4260000000033</v>
      </c>
      <c r="D342" s="102">
        <v>-0.37526696773214629</v>
      </c>
      <c r="E342" s="133">
        <f t="shared" si="45"/>
        <v>7.435720526344336</v>
      </c>
      <c r="F342" s="103">
        <f t="shared" si="46"/>
        <v>9.1274384923690111</v>
      </c>
      <c r="G342" s="653">
        <f t="shared" si="44"/>
        <v>1.0193710418615598</v>
      </c>
    </row>
    <row r="343" spans="1:7" x14ac:dyDescent="0.25">
      <c r="A343" s="129">
        <v>2022</v>
      </c>
      <c r="B343" s="130" t="s">
        <v>34</v>
      </c>
      <c r="C343" s="131">
        <f t="shared" si="43"/>
        <v>1162.9560000000033</v>
      </c>
      <c r="D343" s="102">
        <v>-0.5532628828160191</v>
      </c>
      <c r="E343" s="133">
        <f t="shared" si="45"/>
        <v>6.8413185617861139</v>
      </c>
      <c r="F343" s="103">
        <f t="shared" si="46"/>
        <v>8.6725468557123708</v>
      </c>
      <c r="G343" s="653">
        <f t="shared" si="44"/>
        <v>1.025042219998002</v>
      </c>
    </row>
    <row r="344" spans="1:7" x14ac:dyDescent="0.25">
      <c r="A344" s="129">
        <v>2022</v>
      </c>
      <c r="B344" s="130" t="s">
        <v>36</v>
      </c>
      <c r="C344" s="131">
        <f t="shared" si="43"/>
        <v>1148.8110000000033</v>
      </c>
      <c r="D344" s="102">
        <v>-1.2162970912055093</v>
      </c>
      <c r="E344" s="133">
        <f t="shared" si="45"/>
        <v>5.5418107119135085</v>
      </c>
      <c r="F344" s="103">
        <f t="shared" si="46"/>
        <v>7.9395101051385586</v>
      </c>
      <c r="G344" s="653">
        <f t="shared" si="44"/>
        <v>1.0376632883912118</v>
      </c>
    </row>
    <row r="345" spans="1:7" x14ac:dyDescent="0.25">
      <c r="A345" s="129">
        <v>2022</v>
      </c>
      <c r="B345" s="130" t="s">
        <v>35</v>
      </c>
      <c r="C345" s="131">
        <f t="shared" si="43"/>
        <v>1141.7330000000034</v>
      </c>
      <c r="D345" s="102">
        <v>-0.61611527048400783</v>
      </c>
      <c r="E345" s="133">
        <f t="shared" si="45"/>
        <v>4.8915514993720821</v>
      </c>
      <c r="F345" s="103">
        <f t="shared" si="46"/>
        <v>5.5888230936621985</v>
      </c>
      <c r="G345" s="653">
        <f t="shared" si="44"/>
        <v>1.0440961240500155</v>
      </c>
    </row>
    <row r="346" spans="1:7" x14ac:dyDescent="0.25">
      <c r="A346" s="129">
        <v>2022</v>
      </c>
      <c r="B346" s="130" t="s">
        <v>25</v>
      </c>
      <c r="C346" s="131">
        <f t="shared" si="43"/>
        <v>1139.7340000000033</v>
      </c>
      <c r="D346" s="102">
        <v>-0.17508471770545375</v>
      </c>
      <c r="E346" s="133">
        <f t="shared" si="45"/>
        <v>4.7079024225325394</v>
      </c>
      <c r="F346" s="103">
        <f t="shared" si="46"/>
        <v>6.0195977384649213</v>
      </c>
      <c r="G346" s="653">
        <f t="shared" si="44"/>
        <v>1.0459273830560434</v>
      </c>
    </row>
    <row r="347" spans="1:7" x14ac:dyDescent="0.25">
      <c r="A347" s="129">
        <v>2022</v>
      </c>
      <c r="B347" s="130" t="s">
        <v>26</v>
      </c>
      <c r="C347" s="131">
        <f t="shared" si="43"/>
        <v>1143.2250000000033</v>
      </c>
      <c r="D347" s="102">
        <v>0.30629954006811122</v>
      </c>
      <c r="E347" s="133">
        <f t="shared" si="45"/>
        <v>5.0286222460677266</v>
      </c>
      <c r="F347" s="103">
        <f t="shared" si="46"/>
        <v>5.0286222460677266</v>
      </c>
      <c r="G347" s="653">
        <f t="shared" si="44"/>
        <v>1.0427334951562435</v>
      </c>
    </row>
    <row r="348" spans="1:7" x14ac:dyDescent="0.25">
      <c r="A348" s="129">
        <v>2023</v>
      </c>
      <c r="B348" s="130" t="s">
        <v>27</v>
      </c>
      <c r="C348" s="131">
        <f t="shared" si="43"/>
        <v>1143.8610000000035</v>
      </c>
      <c r="D348" s="102">
        <v>5.5632093419943907E-2</v>
      </c>
      <c r="E348" s="133">
        <f>(C348/$C$347-1)*100</f>
        <v>5.5632093419943907E-2</v>
      </c>
      <c r="F348" s="103">
        <f t="shared" si="46"/>
        <v>3.0136041311314088</v>
      </c>
      <c r="G348" s="653">
        <f t="shared" si="44"/>
        <v>1.0421537232233604</v>
      </c>
    </row>
    <row r="349" spans="1:7" x14ac:dyDescent="0.25">
      <c r="A349" s="129">
        <v>2023</v>
      </c>
      <c r="B349" s="130" t="s">
        <v>28</v>
      </c>
      <c r="C349" s="131">
        <f t="shared" si="43"/>
        <v>1144.2710000000034</v>
      </c>
      <c r="D349" s="102">
        <v>3.5843515951672344E-2</v>
      </c>
      <c r="E349" s="133">
        <f t="shared" ref="E349:E359" si="47">(C349/$C$347-1)*100</f>
        <v>9.1495549869891057E-2</v>
      </c>
      <c r="F349" s="103">
        <f t="shared" si="46"/>
        <v>1.5255390714210559</v>
      </c>
      <c r="G349" s="653">
        <f t="shared" si="44"/>
        <v>1.0417803125308571</v>
      </c>
    </row>
    <row r="350" spans="1:7" x14ac:dyDescent="0.25">
      <c r="A350" s="135">
        <v>2023</v>
      </c>
      <c r="B350" s="136" t="s">
        <v>29</v>
      </c>
      <c r="C350" s="131">
        <f t="shared" si="43"/>
        <v>1140.3570000000034</v>
      </c>
      <c r="D350" s="102">
        <v>-0.34205183911852899</v>
      </c>
      <c r="E350" s="137">
        <f t="shared" si="47"/>
        <v>-0.25086925145968442</v>
      </c>
      <c r="F350" s="103">
        <f t="shared" si="46"/>
        <v>-1.1631363773068615</v>
      </c>
      <c r="G350" s="653">
        <f t="shared" si="44"/>
        <v>1.0453559718579326</v>
      </c>
    </row>
    <row r="351" spans="1:7" x14ac:dyDescent="0.25">
      <c r="A351" s="135">
        <f>2023</f>
        <v>2023</v>
      </c>
      <c r="B351" s="136" t="s">
        <v>30</v>
      </c>
      <c r="C351" s="131">
        <f t="shared" si="43"/>
        <v>1128.8050000000035</v>
      </c>
      <c r="D351" s="102">
        <v>-1.0130160993443216</v>
      </c>
      <c r="E351" s="137">
        <f t="shared" si="47"/>
        <v>-1.2613440048984015</v>
      </c>
      <c r="F351" s="103">
        <f t="shared" si="46"/>
        <v>-2.5670970336956533</v>
      </c>
      <c r="G351" s="653">
        <f t="shared" si="44"/>
        <v>1.056053968577386</v>
      </c>
    </row>
    <row r="352" spans="1:7" x14ac:dyDescent="0.25">
      <c r="A352" s="135">
        <f>2023</f>
        <v>2023</v>
      </c>
      <c r="B352" s="136" t="s">
        <v>31</v>
      </c>
      <c r="C352" s="131">
        <f t="shared" si="43"/>
        <v>1102.5060000000035</v>
      </c>
      <c r="D352" s="102">
        <v>-2.3298089572601044</v>
      </c>
      <c r="E352" s="137">
        <f t="shared" si="47"/>
        <v>-3.5617660565505194</v>
      </c>
      <c r="F352" s="103">
        <f t="shared" si="46"/>
        <v>-5.4893865801659665</v>
      </c>
      <c r="G352" s="653">
        <f t="shared" si="44"/>
        <v>1.0812449093247531</v>
      </c>
    </row>
    <row r="353" spans="1:7" x14ac:dyDescent="0.25">
      <c r="A353" s="135">
        <f>2023</f>
        <v>2023</v>
      </c>
      <c r="B353" s="136" t="s">
        <v>32</v>
      </c>
      <c r="C353" s="138">
        <f t="shared" si="43"/>
        <v>1086.4740000000033</v>
      </c>
      <c r="D353" s="102">
        <v>-1.4541417461673811</v>
      </c>
      <c r="E353" s="137">
        <f t="shared" si="47"/>
        <v>-4.9641146755887817</v>
      </c>
      <c r="F353" s="103">
        <f t="shared" si="46"/>
        <v>-7.4420423382922873</v>
      </c>
      <c r="G353" s="653">
        <f t="shared" si="44"/>
        <v>1.0971997489125338</v>
      </c>
    </row>
    <row r="354" spans="1:7" x14ac:dyDescent="0.25">
      <c r="A354" s="135">
        <f>2023</f>
        <v>2023</v>
      </c>
      <c r="B354" s="136" t="s">
        <v>33</v>
      </c>
      <c r="C354" s="138">
        <f t="shared" si="43"/>
        <v>1082.1050000000034</v>
      </c>
      <c r="D354" s="102">
        <v>-0.40212651200119964</v>
      </c>
      <c r="E354" s="137">
        <f t="shared" si="47"/>
        <v>-5.3462791663932974</v>
      </c>
      <c r="F354" s="103">
        <f t="shared" si="46"/>
        <v>-7.4669966291154521</v>
      </c>
      <c r="G354" s="653">
        <f t="shared" si="44"/>
        <v>1.1016296939760895</v>
      </c>
    </row>
    <row r="355" spans="1:7" x14ac:dyDescent="0.25">
      <c r="A355" s="135">
        <f>2023</f>
        <v>2023</v>
      </c>
      <c r="B355" s="136" t="s">
        <v>34</v>
      </c>
      <c r="C355" s="138">
        <f t="shared" si="43"/>
        <v>1082.5930000000035</v>
      </c>
      <c r="D355" s="102">
        <v>4.5097287231832262E-2</v>
      </c>
      <c r="E355" s="137">
        <f t="shared" si="47"/>
        <v>-5.3035929060333391</v>
      </c>
      <c r="F355" s="103">
        <f t="shared" si="46"/>
        <v>-6.9102356409012522</v>
      </c>
      <c r="G355" s="653">
        <f t="shared" si="44"/>
        <v>1.101133112813399</v>
      </c>
    </row>
    <row r="356" spans="1:7" x14ac:dyDescent="0.25">
      <c r="A356" s="135">
        <f>2023</f>
        <v>2023</v>
      </c>
      <c r="B356" s="136" t="s">
        <v>36</v>
      </c>
      <c r="C356" s="138">
        <f t="shared" si="43"/>
        <v>1087.4190000000037</v>
      </c>
      <c r="D356" s="102">
        <v>0.44578156333914265</v>
      </c>
      <c r="E356" s="137">
        <f t="shared" si="47"/>
        <v>-4.8814537820638488</v>
      </c>
      <c r="F356" s="103">
        <f t="shared" si="46"/>
        <v>-5.3439599725280669</v>
      </c>
      <c r="G356" s="653">
        <f t="shared" si="44"/>
        <v>1.0962462491459095</v>
      </c>
    </row>
    <row r="357" spans="1:7" x14ac:dyDescent="0.25">
      <c r="A357" s="135">
        <f>2023</f>
        <v>2023</v>
      </c>
      <c r="B357" s="136" t="s">
        <v>35</v>
      </c>
      <c r="C357" s="138">
        <f t="shared" si="43"/>
        <v>1092.9740000000036</v>
      </c>
      <c r="D357" s="102">
        <v>0.51084264667067281</v>
      </c>
      <c r="E357" s="137">
        <f t="shared" si="47"/>
        <v>-4.3955476830894735</v>
      </c>
      <c r="F357" s="103">
        <f t="shared" si="46"/>
        <v>-4.2706131818910027</v>
      </c>
      <c r="G357" s="653">
        <f t="shared" si="44"/>
        <v>1.0906746180604443</v>
      </c>
    </row>
    <row r="358" spans="1:7" x14ac:dyDescent="0.25">
      <c r="A358" s="135">
        <f>2023</f>
        <v>2023</v>
      </c>
      <c r="B358" s="136" t="s">
        <v>25</v>
      </c>
      <c r="C358" s="138">
        <f t="shared" si="43"/>
        <v>1098.4800000000037</v>
      </c>
      <c r="D358" s="102">
        <v>0.50376312702773429</v>
      </c>
      <c r="E358" s="137">
        <f t="shared" si="47"/>
        <v>-3.9139277045200704</v>
      </c>
      <c r="F358" s="103">
        <f t="shared" si="46"/>
        <v>-3.6196165070094932</v>
      </c>
      <c r="G358" s="653">
        <f t="shared" si="44"/>
        <v>1.08520774160658</v>
      </c>
    </row>
    <row r="359" spans="1:7" x14ac:dyDescent="0.25">
      <c r="A359" s="135">
        <f>2023</f>
        <v>2023</v>
      </c>
      <c r="B359" s="136" t="s">
        <v>26</v>
      </c>
      <c r="C359" s="138">
        <f t="shared" si="43"/>
        <v>1105.5410000000036</v>
      </c>
      <c r="D359" s="102">
        <v>0.64279731993299727</v>
      </c>
      <c r="E359" s="137">
        <f t="shared" si="47"/>
        <v>-3.2962890069758499</v>
      </c>
      <c r="F359" s="103">
        <f t="shared" si="46"/>
        <v>-3.2962890069758499</v>
      </c>
      <c r="G359" s="653">
        <f t="shared" si="44"/>
        <v>1.0782766084658968</v>
      </c>
    </row>
    <row r="360" spans="1:7" x14ac:dyDescent="0.25">
      <c r="A360" s="135">
        <f>2024</f>
        <v>2024</v>
      </c>
      <c r="B360" s="136" t="s">
        <v>27</v>
      </c>
      <c r="C360" s="138">
        <f t="shared" si="43"/>
        <v>1102.5710000000036</v>
      </c>
      <c r="D360" s="102">
        <v>-0.26864675303766017</v>
      </c>
      <c r="E360" s="137">
        <f t="shared" ref="E360:E371" si="48">(C360/$C$359-1)*100</f>
        <v>-0.26864675303766017</v>
      </c>
      <c r="F360" s="103">
        <f t="shared" si="46"/>
        <v>-3.6097043259626704</v>
      </c>
      <c r="G360" s="653">
        <f t="shared" si="44"/>
        <v>1.0811811665643265</v>
      </c>
    </row>
    <row r="361" spans="1:7" x14ac:dyDescent="0.25">
      <c r="A361" s="135">
        <f>2024</f>
        <v>2024</v>
      </c>
      <c r="B361" s="136" t="s">
        <v>28</v>
      </c>
      <c r="C361" s="138">
        <f t="shared" si="43"/>
        <v>1098.0950000000037</v>
      </c>
      <c r="D361" s="102">
        <v>-0.40596025108585732</v>
      </c>
      <c r="E361" s="137">
        <f t="shared" si="48"/>
        <v>-0.67351640509034638</v>
      </c>
      <c r="F361" s="103">
        <f t="shared" si="46"/>
        <v>-4.0354076962537349</v>
      </c>
      <c r="G361" s="653">
        <f t="shared" si="44"/>
        <v>1.0855882232411549</v>
      </c>
    </row>
    <row r="362" spans="1:7" x14ac:dyDescent="0.25">
      <c r="A362" s="135">
        <f>2024</f>
        <v>2024</v>
      </c>
      <c r="B362" s="136" t="s">
        <v>29</v>
      </c>
      <c r="C362" s="138">
        <f t="shared" si="43"/>
        <v>1094.7630000000036</v>
      </c>
      <c r="D362" s="102">
        <v>-0.30343458443942151</v>
      </c>
      <c r="E362" s="137">
        <f t="shared" si="48"/>
        <v>-0.97490730782485713</v>
      </c>
      <c r="F362" s="103">
        <f t="shared" si="46"/>
        <v>-3.9982216095485579</v>
      </c>
      <c r="G362" s="653">
        <f t="shared" si="44"/>
        <v>1.0888922990638121</v>
      </c>
    </row>
    <row r="363" spans="1:7" x14ac:dyDescent="0.25">
      <c r="A363" s="135">
        <f>2024</f>
        <v>2024</v>
      </c>
      <c r="B363" s="136" t="s">
        <v>30</v>
      </c>
      <c r="C363" s="138">
        <f t="shared" si="43"/>
        <v>1102.6600000000037</v>
      </c>
      <c r="D363" s="102">
        <v>0.72134334097884167</v>
      </c>
      <c r="E363" s="137">
        <f t="shared" si="48"/>
        <v>-0.26059639579173455</v>
      </c>
      <c r="F363" s="103">
        <f t="shared" si="46"/>
        <v>-2.3161662111701897</v>
      </c>
      <c r="G363" s="653">
        <f t="shared" si="44"/>
        <v>1.0810939002049553</v>
      </c>
    </row>
    <row r="364" spans="1:7" x14ac:dyDescent="0.25">
      <c r="A364" s="135">
        <f>2024</f>
        <v>2024</v>
      </c>
      <c r="B364" s="136" t="s">
        <v>31</v>
      </c>
      <c r="C364" s="138">
        <f t="shared" si="43"/>
        <v>1112.2600000000036</v>
      </c>
      <c r="D364" s="102">
        <v>0.87062195055591651</v>
      </c>
      <c r="E364" s="137">
        <f t="shared" si="48"/>
        <v>0.60775674534006008</v>
      </c>
      <c r="F364" s="103">
        <f t="shared" si="46"/>
        <v>0.88471173853021945</v>
      </c>
      <c r="G364" s="653">
        <f t="shared" si="44"/>
        <v>1.0717628971643285</v>
      </c>
    </row>
    <row r="365" spans="1:7" x14ac:dyDescent="0.25">
      <c r="A365" s="135">
        <f>2024</f>
        <v>2024</v>
      </c>
      <c r="B365" s="136" t="s">
        <v>32</v>
      </c>
      <c r="C365" s="138">
        <f t="shared" si="43"/>
        <v>1117.7870000000037</v>
      </c>
      <c r="D365" s="102">
        <v>0.49691618866092302</v>
      </c>
      <c r="E365" s="137">
        <f t="shared" si="48"/>
        <v>1.1076929756562715</v>
      </c>
      <c r="F365" s="103">
        <f t="shared" si="46"/>
        <v>2.8820754109164293</v>
      </c>
      <c r="G365" s="653">
        <f t="shared" si="44"/>
        <v>1.0664634675479283</v>
      </c>
    </row>
    <row r="366" spans="1:7" x14ac:dyDescent="0.25">
      <c r="A366" s="135">
        <f>2024</f>
        <v>2024</v>
      </c>
      <c r="B366" s="136" t="s">
        <v>33</v>
      </c>
      <c r="C366" s="138">
        <f t="shared" si="43"/>
        <v>1127.1010000000038</v>
      </c>
      <c r="D366" s="102">
        <v>0.83325356261971795</v>
      </c>
      <c r="E366" s="137">
        <f t="shared" si="48"/>
        <v>1.9501764294585389</v>
      </c>
      <c r="F366" s="103">
        <f t="shared" si="46"/>
        <v>4.1581916727120083</v>
      </c>
      <c r="G366" s="653">
        <f t="shared" si="44"/>
        <v>1.0576505566049501</v>
      </c>
    </row>
    <row r="367" spans="1:7" x14ac:dyDescent="0.25">
      <c r="A367" s="135">
        <f>2024</f>
        <v>2024</v>
      </c>
      <c r="B367" s="136" t="s">
        <v>34</v>
      </c>
      <c r="C367" s="138">
        <f t="shared" si="43"/>
        <v>1128.4080000000035</v>
      </c>
      <c r="D367" s="102">
        <v>0.11596121376875601</v>
      </c>
      <c r="E367" s="137">
        <f t="shared" si="48"/>
        <v>2.0683990914855066</v>
      </c>
      <c r="F367" s="103">
        <f t="shared" si="46"/>
        <v>4.2319689855744302</v>
      </c>
      <c r="G367" s="653">
        <f t="shared" si="44"/>
        <v>1.0564255127577935</v>
      </c>
    </row>
    <row r="368" spans="1:7" x14ac:dyDescent="0.25">
      <c r="A368" s="135">
        <f>2024</f>
        <v>2024</v>
      </c>
      <c r="B368" s="136" t="s">
        <v>36</v>
      </c>
      <c r="C368" s="138">
        <f t="shared" si="43"/>
        <v>1139.9810000000036</v>
      </c>
      <c r="D368" s="102">
        <v>1.0256042140786015</v>
      </c>
      <c r="E368" s="137">
        <f t="shared" si="48"/>
        <v>3.1152168938103575</v>
      </c>
      <c r="F368" s="103">
        <f t="shared" si="46"/>
        <v>4.8336473797128576</v>
      </c>
      <c r="G368" s="653">
        <f t="shared" si="44"/>
        <v>1.0457007616793579</v>
      </c>
    </row>
    <row r="369" spans="1:7" x14ac:dyDescent="0.25">
      <c r="A369" s="135">
        <f>2024</f>
        <v>2024</v>
      </c>
      <c r="B369" s="136" t="s">
        <v>35</v>
      </c>
      <c r="C369" s="138">
        <f t="shared" si="43"/>
        <v>1157.5160000000039</v>
      </c>
      <c r="D369" s="102">
        <v>1.5381835311290448</v>
      </c>
      <c r="E369" s="137">
        <f t="shared" si="48"/>
        <v>4.701318178158953</v>
      </c>
      <c r="F369" s="103">
        <f t="shared" si="46"/>
        <v>5.9051724926668214</v>
      </c>
      <c r="G369" s="653">
        <f t="shared" si="44"/>
        <v>1.0298596304500292</v>
      </c>
    </row>
    <row r="370" spans="1:7" x14ac:dyDescent="0.25">
      <c r="A370" s="135">
        <f>2024</f>
        <v>2024</v>
      </c>
      <c r="B370" s="136" t="s">
        <v>25</v>
      </c>
      <c r="C370" s="138">
        <f t="shared" si="43"/>
        <v>1171.2100000000039</v>
      </c>
      <c r="D370" s="102">
        <v>1.1830506014603559</v>
      </c>
      <c r="E370" s="137">
        <f t="shared" si="48"/>
        <v>5.9399877526025824</v>
      </c>
      <c r="F370" s="103">
        <f t="shared" si="46"/>
        <v>6.6209671546136439</v>
      </c>
      <c r="G370" s="653">
        <f t="shared" si="44"/>
        <v>1.0178183246386181</v>
      </c>
    </row>
    <row r="371" spans="1:7" x14ac:dyDescent="0.25">
      <c r="A371" s="135">
        <f>2024</f>
        <v>2024</v>
      </c>
      <c r="B371" s="136" t="s">
        <v>26</v>
      </c>
      <c r="C371" s="138">
        <f t="shared" si="43"/>
        <v>1181.4070000000038</v>
      </c>
      <c r="D371" s="102">
        <v>0.87063805807667816</v>
      </c>
      <c r="E371" s="137">
        <f t="shared" si="48"/>
        <v>6.8623416046985186</v>
      </c>
      <c r="F371" s="103">
        <f t="shared" si="46"/>
        <v>6.8623416046985186</v>
      </c>
      <c r="G371" s="653">
        <f t="shared" si="44"/>
        <v>1.0090332967385467</v>
      </c>
    </row>
    <row r="372" spans="1:7" x14ac:dyDescent="0.25">
      <c r="A372" s="135">
        <f>2025</f>
        <v>2025</v>
      </c>
      <c r="B372" s="136" t="s">
        <v>27</v>
      </c>
      <c r="C372" s="138">
        <f t="shared" si="43"/>
        <v>1182.6930000000038</v>
      </c>
      <c r="D372" s="102">
        <v>0.10885325717555627</v>
      </c>
      <c r="E372" s="137">
        <f>(C372/$C$371-1)*100</f>
        <v>0.10885325717555627</v>
      </c>
      <c r="F372" s="103">
        <f t="shared" si="46"/>
        <v>7.2668336098083541</v>
      </c>
      <c r="G372" s="653">
        <f t="shared" si="44"/>
        <v>1.0079361254357606</v>
      </c>
    </row>
    <row r="373" spans="1:7" x14ac:dyDescent="0.25">
      <c r="A373" s="135">
        <f>2025</f>
        <v>2025</v>
      </c>
      <c r="B373" s="136" t="s">
        <v>28</v>
      </c>
      <c r="C373" s="138">
        <f t="shared" ref="C373" si="49">C372*(1+D373/100)</f>
        <v>1194.5180000000039</v>
      </c>
      <c r="D373" s="102">
        <v>0.99983681310364947</v>
      </c>
      <c r="E373" s="137">
        <f>(C373/$C$371-1)*100</f>
        <v>1.109778425216712</v>
      </c>
      <c r="F373" s="103">
        <f t="shared" ref="F373" si="50">100*(C373/C361-1)</f>
        <v>8.7809342543222471</v>
      </c>
      <c r="G373" s="653">
        <f t="shared" si="44"/>
        <v>0.99795817225022654</v>
      </c>
    </row>
    <row r="374" spans="1:7" x14ac:dyDescent="0.25">
      <c r="A374" s="135">
        <f>2025</f>
        <v>2025</v>
      </c>
      <c r="B374" s="136" t="s">
        <v>29</v>
      </c>
      <c r="C374" s="138">
        <f t="shared" ref="C374" si="51">C373*(1+D374/100)</f>
        <v>1188.5500000000038</v>
      </c>
      <c r="D374" s="102">
        <v>-0.49961574459321811</v>
      </c>
      <c r="E374" s="137">
        <f>(C374/$C$371-1)*100</f>
        <v>0.60461805288101189</v>
      </c>
      <c r="F374" s="103">
        <f t="shared" ref="F374" si="52">100*(C374/C362-1)</f>
        <v>8.5668770318324547</v>
      </c>
      <c r="G374" s="654">
        <f t="shared" si="44"/>
        <v>1.0029691641075227</v>
      </c>
    </row>
    <row r="375" spans="1:7" ht="15.75" thickBot="1" x14ac:dyDescent="0.3">
      <c r="A375" s="139">
        <f>2025</f>
        <v>2025</v>
      </c>
      <c r="B375" s="140" t="s">
        <v>30</v>
      </c>
      <c r="C375" s="141">
        <v>1192.079</v>
      </c>
      <c r="D375" s="108">
        <f>(C375/C374-1)*100</f>
        <v>0.29691641075226816</v>
      </c>
      <c r="E375" s="142">
        <f>(C375/$C$371-1)*100</f>
        <v>0.90332967385466922</v>
      </c>
      <c r="F375" s="109">
        <f t="shared" ref="F375" si="53">100*(C375/C363-1)</f>
        <v>8.1093900204955318</v>
      </c>
      <c r="G375" s="655">
        <f t="shared" si="44"/>
        <v>1</v>
      </c>
    </row>
    <row r="376" spans="1:7" x14ac:dyDescent="0.25">
      <c r="A376" s="143" t="s">
        <v>44</v>
      </c>
      <c r="B376" s="144"/>
    </row>
    <row r="377" spans="1:7" x14ac:dyDescent="0.25">
      <c r="A377" s="143" t="s">
        <v>45</v>
      </c>
      <c r="B377" s="144"/>
    </row>
    <row r="378" spans="1:7" ht="15.75" x14ac:dyDescent="0.25">
      <c r="A378" s="113" t="s">
        <v>46</v>
      </c>
      <c r="B378" s="55"/>
    </row>
    <row r="379" spans="1:7" ht="16.5" thickBot="1" x14ac:dyDescent="0.3">
      <c r="A379" s="113"/>
      <c r="B379" s="55"/>
    </row>
    <row r="380" spans="1:7" ht="26.25" customHeight="1" thickBot="1" x14ac:dyDescent="0.3">
      <c r="A380" s="145" t="s">
        <v>47</v>
      </c>
      <c r="B380" s="146">
        <v>0.6</v>
      </c>
    </row>
    <row r="381" spans="1:7" ht="15.75" thickBot="1" x14ac:dyDescent="0.3">
      <c r="A381" s="147" t="s">
        <v>40</v>
      </c>
      <c r="B381" s="148">
        <v>0.3</v>
      </c>
    </row>
    <row r="382" spans="1:7" ht="15.75" thickBot="1" x14ac:dyDescent="0.3">
      <c r="A382" s="147" t="s">
        <v>41</v>
      </c>
      <c r="B382" s="148">
        <v>0.1</v>
      </c>
    </row>
    <row r="383" spans="1:7" ht="15.75" thickBot="1" x14ac:dyDescent="0.3">
      <c r="A383" s="149" t="s">
        <v>42</v>
      </c>
      <c r="B383" s="150"/>
    </row>
    <row r="384" spans="1:7" x14ac:dyDescent="0.25">
      <c r="A384" s="128" t="s">
        <v>594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864A-D7F8-492D-89EC-1D858837F9DD}">
  <dimension ref="A1:G390"/>
  <sheetViews>
    <sheetView showGridLines="0" workbookViewId="0">
      <pane ySplit="2610" topLeftCell="A377" activePane="bottomLeft"/>
      <selection pane="bottomLeft" activeCell="G385" sqref="G385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82" t="s">
        <v>56</v>
      </c>
      <c r="B1" s="682"/>
      <c r="C1" s="682"/>
      <c r="D1" s="682"/>
      <c r="E1" s="682"/>
      <c r="F1" s="682"/>
      <c r="G1" s="682"/>
    </row>
    <row r="2" spans="1:7" ht="15.75" customHeight="1" x14ac:dyDescent="0.25">
      <c r="A2" s="682"/>
      <c r="B2" s="682"/>
      <c r="C2" s="682"/>
      <c r="D2" s="682"/>
      <c r="E2" s="682"/>
      <c r="F2" s="682"/>
      <c r="G2" s="682"/>
    </row>
    <row r="3" spans="1:7" ht="15" customHeight="1" thickBot="1" x14ac:dyDescent="0.3">
      <c r="A3" s="683"/>
      <c r="B3" s="683"/>
      <c r="C3" s="683"/>
      <c r="D3" s="683"/>
      <c r="E3" s="683"/>
      <c r="F3" s="683"/>
      <c r="G3" s="683"/>
    </row>
    <row r="4" spans="1:7" ht="17.25" customHeight="1" thickBot="1" x14ac:dyDescent="0.3">
      <c r="A4" s="684" t="s">
        <v>49</v>
      </c>
      <c r="B4" s="685"/>
      <c r="C4" s="686"/>
      <c r="D4" s="687" t="s">
        <v>50</v>
      </c>
      <c r="E4" s="688"/>
      <c r="F4" s="688"/>
      <c r="G4" s="688"/>
    </row>
    <row r="5" spans="1:7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695" t="s">
        <v>51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6"/>
    </row>
    <row r="7" spans="1:7" ht="16.5" hidden="1" thickBot="1" x14ac:dyDescent="0.3">
      <c r="A7" s="69">
        <v>1993</v>
      </c>
      <c r="B7" s="70" t="s">
        <v>12</v>
      </c>
      <c r="C7" s="71">
        <v>100</v>
      </c>
      <c r="D7" s="71"/>
      <c r="E7" s="151"/>
      <c r="F7" s="152"/>
      <c r="G7" s="74">
        <f>+$C$383/C7</f>
        <v>72.765400000000184</v>
      </c>
    </row>
    <row r="8" spans="1:7" ht="16.5" hidden="1" thickBot="1" x14ac:dyDescent="0.3">
      <c r="A8" s="75">
        <v>1994</v>
      </c>
      <c r="B8" s="76" t="s">
        <v>13</v>
      </c>
      <c r="C8" s="77">
        <f t="shared" ref="C8:C71" si="0">+C7*(1+D8/100)</f>
        <v>141.31</v>
      </c>
      <c r="D8" s="77">
        <v>41.31</v>
      </c>
      <c r="E8" s="81"/>
      <c r="F8" s="153"/>
      <c r="G8" s="80">
        <f>+$C$383/C8</f>
        <v>51.493454107989656</v>
      </c>
    </row>
    <row r="9" spans="1:7" ht="16.5" hidden="1" thickBot="1" x14ac:dyDescent="0.3">
      <c r="A9" s="75">
        <v>1994</v>
      </c>
      <c r="B9" s="76" t="s">
        <v>14</v>
      </c>
      <c r="C9" s="77">
        <f t="shared" si="0"/>
        <v>198.22</v>
      </c>
      <c r="D9" s="77">
        <v>40.273158304437054</v>
      </c>
      <c r="E9" s="81"/>
      <c r="F9" s="153"/>
      <c r="G9" s="80">
        <f>+$C$383/C9</f>
        <v>36.70941378266582</v>
      </c>
    </row>
    <row r="10" spans="1:7" ht="16.5" hidden="1" thickBot="1" x14ac:dyDescent="0.3">
      <c r="A10" s="75">
        <v>1994</v>
      </c>
      <c r="B10" s="76" t="s">
        <v>15</v>
      </c>
      <c r="C10" s="77">
        <f t="shared" si="0"/>
        <v>282.95999999999998</v>
      </c>
      <c r="D10" s="77">
        <v>42.750479265462602</v>
      </c>
      <c r="E10" s="81"/>
      <c r="F10" s="153"/>
      <c r="G10" s="80">
        <f>+$C$383/C10</f>
        <v>25.715790217698682</v>
      </c>
    </row>
    <row r="11" spans="1:7" ht="16.5" hidden="1" thickBot="1" x14ac:dyDescent="0.3">
      <c r="A11" s="75">
        <v>1994</v>
      </c>
      <c r="B11" s="76" t="s">
        <v>16</v>
      </c>
      <c r="C11" s="77">
        <f t="shared" si="0"/>
        <v>403.72999999999996</v>
      </c>
      <c r="D11" s="77">
        <v>42.680944303081716</v>
      </c>
      <c r="E11" s="81"/>
      <c r="F11" s="153"/>
      <c r="G11" s="80">
        <f>+$C$383/C11</f>
        <v>18.023282887078043</v>
      </c>
    </row>
    <row r="12" spans="1:7" ht="16.5" hidden="1" thickBot="1" x14ac:dyDescent="0.3">
      <c r="A12" s="75">
        <v>1994</v>
      </c>
      <c r="B12" s="76" t="s">
        <v>17</v>
      </c>
      <c r="C12" s="77">
        <f t="shared" si="0"/>
        <v>581.49</v>
      </c>
      <c r="D12" s="77">
        <v>44.029425606221984</v>
      </c>
      <c r="E12" s="81"/>
      <c r="F12" s="153"/>
      <c r="G12" s="80">
        <f>+$C$383/C12</f>
        <v>12.51361158403415</v>
      </c>
    </row>
    <row r="13" spans="1:7" ht="16.5" hidden="1" thickBot="1" x14ac:dyDescent="0.3">
      <c r="A13" s="75">
        <v>1994</v>
      </c>
      <c r="B13" s="76" t="s">
        <v>18</v>
      </c>
      <c r="C13" s="77">
        <f t="shared" si="0"/>
        <v>857.29</v>
      </c>
      <c r="D13" s="77">
        <v>47.429878415793894</v>
      </c>
      <c r="E13" s="81"/>
      <c r="F13" s="153"/>
      <c r="G13" s="80">
        <f>+$C$383/C13</f>
        <v>8.4878395875374935</v>
      </c>
    </row>
    <row r="14" spans="1:7" ht="16.5" hidden="1" thickBot="1" x14ac:dyDescent="0.3">
      <c r="A14" s="75">
        <v>1994</v>
      </c>
      <c r="B14" s="76" t="s">
        <v>19</v>
      </c>
      <c r="C14" s="77">
        <f t="shared" si="0"/>
        <v>915.93</v>
      </c>
      <c r="D14" s="77">
        <v>6.8401591060201383</v>
      </c>
      <c r="E14" s="81"/>
      <c r="F14" s="153"/>
      <c r="G14" s="80">
        <f>+$C$383/C14</f>
        <v>7.9444280676471113</v>
      </c>
    </row>
    <row r="15" spans="1:7" ht="16.5" hidden="1" thickBot="1" x14ac:dyDescent="0.3">
      <c r="A15" s="75">
        <v>1994</v>
      </c>
      <c r="B15" s="76" t="s">
        <v>20</v>
      </c>
      <c r="C15" s="77">
        <f t="shared" si="0"/>
        <v>932.97</v>
      </c>
      <c r="D15" s="77">
        <v>1.8604041793586878</v>
      </c>
      <c r="E15" s="81"/>
      <c r="F15" s="153"/>
      <c r="G15" s="80">
        <f>+$C$383/C15</f>
        <v>7.799329024513133</v>
      </c>
    </row>
    <row r="16" spans="1:7" ht="16.5" hidden="1" thickBot="1" x14ac:dyDescent="0.3">
      <c r="A16" s="75">
        <v>1994</v>
      </c>
      <c r="B16" s="76" t="s">
        <v>21</v>
      </c>
      <c r="C16" s="77">
        <f t="shared" si="0"/>
        <v>947.2399999999999</v>
      </c>
      <c r="D16" s="77">
        <v>1.5295239932687998</v>
      </c>
      <c r="E16" s="81"/>
      <c r="F16" s="153"/>
      <c r="G16" s="80">
        <f>+$C$383/C16</f>
        <v>7.6818335374350948</v>
      </c>
    </row>
    <row r="17" spans="1:7" ht="16.5" hidden="1" thickBot="1" x14ac:dyDescent="0.3">
      <c r="A17" s="75">
        <v>1994</v>
      </c>
      <c r="B17" s="76" t="s">
        <v>22</v>
      </c>
      <c r="C17" s="77">
        <f t="shared" si="0"/>
        <v>972.05999999999983</v>
      </c>
      <c r="D17" s="77">
        <v>2.620244077530498</v>
      </c>
      <c r="E17" s="81"/>
      <c r="F17" s="153"/>
      <c r="G17" s="80">
        <f>+$C$383/C17</f>
        <v>7.4856901837335341</v>
      </c>
    </row>
    <row r="18" spans="1:7" ht="16.5" hidden="1" thickBot="1" x14ac:dyDescent="0.3">
      <c r="A18" s="75">
        <v>1994</v>
      </c>
      <c r="B18" s="76" t="s">
        <v>23</v>
      </c>
      <c r="C18" s="77">
        <f t="shared" si="0"/>
        <v>999.37</v>
      </c>
      <c r="D18" s="77">
        <v>2.8094973561302972</v>
      </c>
      <c r="E18" s="81"/>
      <c r="F18" s="153"/>
      <c r="G18" s="80">
        <f>+$C$383/C18</f>
        <v>7.2811271100793684</v>
      </c>
    </row>
    <row r="19" spans="1:7" ht="16.5" hidden="1" thickBot="1" x14ac:dyDescent="0.3">
      <c r="A19" s="75">
        <v>1994</v>
      </c>
      <c r="B19" s="76" t="s">
        <v>12</v>
      </c>
      <c r="C19" s="77">
        <f t="shared" si="0"/>
        <v>1016.46</v>
      </c>
      <c r="D19" s="77">
        <v>1.7100773487296994</v>
      </c>
      <c r="E19" s="77">
        <v>916.43</v>
      </c>
      <c r="F19" s="154">
        <f t="shared" ref="F19:F82" si="1">100*((C19/C7)-1)</f>
        <v>916.46</v>
      </c>
      <c r="G19" s="80">
        <f>+$C$383/C19</f>
        <v>7.1587076717234499</v>
      </c>
    </row>
    <row r="20" spans="1:7" ht="16.5" hidden="1" thickBot="1" x14ac:dyDescent="0.3">
      <c r="A20" s="75">
        <v>1995</v>
      </c>
      <c r="B20" s="76" t="s">
        <v>13</v>
      </c>
      <c r="C20" s="77">
        <f t="shared" si="0"/>
        <v>1033.74</v>
      </c>
      <c r="D20" s="77">
        <v>1.7000177085177981</v>
      </c>
      <c r="E20" s="77">
        <f>100*((C20/1016.43)-1)</f>
        <v>1.7030193913993186</v>
      </c>
      <c r="F20" s="154">
        <f t="shared" si="1"/>
        <v>631.54058453046491</v>
      </c>
      <c r="G20" s="80">
        <f>+$C$383/C20</f>
        <v>7.0390426993247992</v>
      </c>
    </row>
    <row r="21" spans="1:7" ht="16.5" hidden="1" thickBot="1" x14ac:dyDescent="0.3">
      <c r="A21" s="75">
        <v>1995</v>
      </c>
      <c r="B21" s="76" t="s">
        <v>14</v>
      </c>
      <c r="C21" s="77">
        <f t="shared" si="0"/>
        <v>1044.28</v>
      </c>
      <c r="D21" s="77">
        <v>1.0195987385609451</v>
      </c>
      <c r="E21" s="77">
        <f t="shared" ref="E21:E31" si="2">100*((C21/1016.43)-1)</f>
        <v>2.7399820941924169</v>
      </c>
      <c r="F21" s="154">
        <f t="shared" si="1"/>
        <v>426.82877610735545</v>
      </c>
      <c r="G21" s="80">
        <f>+$C$383/C21</f>
        <v>6.9679970889033767</v>
      </c>
    </row>
    <row r="22" spans="1:7" ht="16.5" hidden="1" thickBot="1" x14ac:dyDescent="0.3">
      <c r="A22" s="75">
        <v>1995</v>
      </c>
      <c r="B22" s="76" t="s">
        <v>15</v>
      </c>
      <c r="C22" s="77">
        <f t="shared" si="0"/>
        <v>1060.47</v>
      </c>
      <c r="D22" s="77">
        <v>1.5503504807139912</v>
      </c>
      <c r="E22" s="77">
        <f t="shared" si="2"/>
        <v>4.3328119004752086</v>
      </c>
      <c r="F22" s="154">
        <f t="shared" si="1"/>
        <v>274.77735368956746</v>
      </c>
      <c r="G22" s="80">
        <f>+$C$383/C22</f>
        <v>6.8616179618471227</v>
      </c>
    </row>
    <row r="23" spans="1:7" ht="16.5" hidden="1" thickBot="1" x14ac:dyDescent="0.3">
      <c r="A23" s="75">
        <v>1995</v>
      </c>
      <c r="B23" s="76" t="s">
        <v>16</v>
      </c>
      <c r="C23" s="77">
        <f t="shared" si="0"/>
        <v>1086.24</v>
      </c>
      <c r="D23" s="77">
        <v>2.4300545984327737</v>
      </c>
      <c r="E23" s="77">
        <f t="shared" si="2"/>
        <v>6.8681561937369073</v>
      </c>
      <c r="F23" s="154">
        <f t="shared" si="1"/>
        <v>169.05109850642762</v>
      </c>
      <c r="G23" s="80">
        <f>+$C$383/C23</f>
        <v>6.6988326704964081</v>
      </c>
    </row>
    <row r="24" spans="1:7" ht="16.5" hidden="1" thickBot="1" x14ac:dyDescent="0.3">
      <c r="A24" s="75">
        <v>1995</v>
      </c>
      <c r="B24" s="76" t="s">
        <v>17</v>
      </c>
      <c r="C24" s="77">
        <f t="shared" si="0"/>
        <v>1115.24</v>
      </c>
      <c r="D24" s="77">
        <v>2.6697599057298627</v>
      </c>
      <c r="E24" s="77">
        <f t="shared" si="2"/>
        <v>9.7212793797900598</v>
      </c>
      <c r="F24" s="154">
        <f t="shared" si="1"/>
        <v>91.790056578788978</v>
      </c>
      <c r="G24" s="80">
        <f>+$C$383/C24</f>
        <v>6.5246404361393227</v>
      </c>
    </row>
    <row r="25" spans="1:7" ht="16.5" hidden="1" thickBot="1" x14ac:dyDescent="0.3">
      <c r="A25" s="75">
        <v>1995</v>
      </c>
      <c r="B25" s="76" t="s">
        <v>18</v>
      </c>
      <c r="C25" s="77">
        <f t="shared" si="0"/>
        <v>1140.44</v>
      </c>
      <c r="D25" s="77">
        <v>2.259603314084857</v>
      </c>
      <c r="E25" s="77">
        <f t="shared" si="2"/>
        <v>12.200545044912104</v>
      </c>
      <c r="F25" s="154">
        <f t="shared" si="1"/>
        <v>33.028496774720352</v>
      </c>
      <c r="G25" s="80">
        <f>+$C$383/C25</f>
        <v>6.3804671881028527</v>
      </c>
    </row>
    <row r="26" spans="1:7" ht="16.5" hidden="1" thickBot="1" x14ac:dyDescent="0.3">
      <c r="A26" s="75">
        <v>1995</v>
      </c>
      <c r="B26" s="76" t="s">
        <v>19</v>
      </c>
      <c r="C26" s="77">
        <f t="shared" si="0"/>
        <v>1167.3499999999999</v>
      </c>
      <c r="D26" s="77">
        <v>2.3596155869664237</v>
      </c>
      <c r="E26" s="77">
        <f t="shared" si="2"/>
        <v>14.848046594453134</v>
      </c>
      <c r="F26" s="154">
        <f t="shared" si="1"/>
        <v>27.449695937462472</v>
      </c>
      <c r="G26" s="80">
        <f>+$C$383/C26</f>
        <v>6.2333833040647777</v>
      </c>
    </row>
    <row r="27" spans="1:7" ht="16.5" hidden="1" thickBot="1" x14ac:dyDescent="0.3">
      <c r="A27" s="75">
        <v>1995</v>
      </c>
      <c r="B27" s="76" t="s">
        <v>20</v>
      </c>
      <c r="C27" s="77">
        <f t="shared" si="0"/>
        <v>1178.9100000000001</v>
      </c>
      <c r="D27" s="77">
        <v>0.99027712339916363</v>
      </c>
      <c r="E27" s="77">
        <f t="shared" si="2"/>
        <v>15.985360526548821</v>
      </c>
      <c r="F27" s="154">
        <f t="shared" si="1"/>
        <v>26.360976237178058</v>
      </c>
      <c r="G27" s="80">
        <f>+$C$383/C27</f>
        <v>6.1722608171955597</v>
      </c>
    </row>
    <row r="28" spans="1:7" ht="16.5" hidden="1" thickBot="1" x14ac:dyDescent="0.3">
      <c r="A28" s="75">
        <v>1995</v>
      </c>
      <c r="B28" s="76" t="s">
        <v>21</v>
      </c>
      <c r="C28" s="77">
        <f t="shared" si="0"/>
        <v>1190.58</v>
      </c>
      <c r="D28" s="77">
        <v>0.98989744764230725</v>
      </c>
      <c r="E28" s="77">
        <f t="shared" si="2"/>
        <v>17.133496650039849</v>
      </c>
      <c r="F28" s="154">
        <f t="shared" si="1"/>
        <v>25.689371225877288</v>
      </c>
      <c r="G28" s="80">
        <f>+$C$383/C28</f>
        <v>6.1117606544709462</v>
      </c>
    </row>
    <row r="29" spans="1:7" ht="16.5" hidden="1" thickBot="1" x14ac:dyDescent="0.3">
      <c r="A29" s="75">
        <v>1995</v>
      </c>
      <c r="B29" s="76" t="s">
        <v>22</v>
      </c>
      <c r="C29" s="77">
        <f t="shared" si="0"/>
        <v>1207.3699999999999</v>
      </c>
      <c r="D29" s="77">
        <v>1.410237027331207</v>
      </c>
      <c r="E29" s="77">
        <f t="shared" si="2"/>
        <v>18.785356591206479</v>
      </c>
      <c r="F29" s="154">
        <f t="shared" si="1"/>
        <v>24.207353455548031</v>
      </c>
      <c r="G29" s="80">
        <f>+$C$383/C29</f>
        <v>6.0267689275035981</v>
      </c>
    </row>
    <row r="30" spans="1:7" ht="16.5" hidden="1" thickBot="1" x14ac:dyDescent="0.3">
      <c r="A30" s="75">
        <v>1995</v>
      </c>
      <c r="B30" s="76" t="s">
        <v>23</v>
      </c>
      <c r="C30" s="77">
        <f t="shared" si="0"/>
        <v>1225.1199999999999</v>
      </c>
      <c r="D30" s="77">
        <v>1.4701375717468546</v>
      </c>
      <c r="E30" s="77">
        <f t="shared" si="2"/>
        <v>20.531664748187282</v>
      </c>
      <c r="F30" s="154">
        <f t="shared" si="1"/>
        <v>22.589231215665851</v>
      </c>
      <c r="G30" s="80">
        <f>+$C$383/C30</f>
        <v>5.9394508293065327</v>
      </c>
    </row>
    <row r="31" spans="1:7" ht="16.5" hidden="1" thickBot="1" x14ac:dyDescent="0.3">
      <c r="A31" s="75">
        <v>1995</v>
      </c>
      <c r="B31" s="76" t="s">
        <v>12</v>
      </c>
      <c r="C31" s="77">
        <f t="shared" si="0"/>
        <v>1244.23</v>
      </c>
      <c r="D31" s="77">
        <v>1.5598471986417728</v>
      </c>
      <c r="E31" s="77">
        <f t="shared" si="2"/>
        <v>22.41177454423817</v>
      </c>
      <c r="F31" s="154">
        <f t="shared" si="1"/>
        <v>22.408161659091363</v>
      </c>
      <c r="G31" s="80">
        <f>+$C$383/C31</f>
        <v>5.8482274177603966</v>
      </c>
    </row>
    <row r="32" spans="1:7" ht="16.5" hidden="1" thickBot="1" x14ac:dyDescent="0.3">
      <c r="A32" s="75">
        <v>1996</v>
      </c>
      <c r="B32" s="76" t="s">
        <v>13</v>
      </c>
      <c r="C32" s="77">
        <f t="shared" si="0"/>
        <v>1260.9000000000001</v>
      </c>
      <c r="D32" s="77">
        <v>1.3397844449981156</v>
      </c>
      <c r="E32" s="77">
        <f>100*((C32/1244.2)-1)</f>
        <v>1.3422279376306134</v>
      </c>
      <c r="F32" s="154">
        <f t="shared" si="1"/>
        <v>21.974577746822234</v>
      </c>
      <c r="G32" s="80">
        <f>+$C$383/C32</f>
        <v>5.7709096676976905</v>
      </c>
    </row>
    <row r="33" spans="1:7" ht="16.5" hidden="1" thickBot="1" x14ac:dyDescent="0.3">
      <c r="A33" s="75">
        <v>1996</v>
      </c>
      <c r="B33" s="76" t="s">
        <v>14</v>
      </c>
      <c r="C33" s="77">
        <f t="shared" si="0"/>
        <v>1273.8900000000001</v>
      </c>
      <c r="D33" s="77">
        <v>1.0302165120152251</v>
      </c>
      <c r="E33" s="77">
        <f>100*((C33/1244.4)-1)</f>
        <v>2.3698167791706748</v>
      </c>
      <c r="F33" s="154">
        <f t="shared" si="1"/>
        <v>21.987398015857828</v>
      </c>
      <c r="G33" s="80">
        <f>+$C$383/C33</f>
        <v>5.7120630509698778</v>
      </c>
    </row>
    <row r="34" spans="1:7" ht="16.5" hidden="1" thickBot="1" x14ac:dyDescent="0.3">
      <c r="A34" s="75">
        <v>1996</v>
      </c>
      <c r="B34" s="76" t="s">
        <v>15</v>
      </c>
      <c r="C34" s="77">
        <f t="shared" si="0"/>
        <v>1278.3499999999999</v>
      </c>
      <c r="D34" s="77">
        <v>0.35010872210314847</v>
      </c>
      <c r="E34" s="77">
        <f>100*((C34/1244.4)-1)</f>
        <v>2.7282224365155816</v>
      </c>
      <c r="F34" s="154">
        <f t="shared" si="1"/>
        <v>20.545607136458344</v>
      </c>
      <c r="G34" s="80">
        <f>+$C$383/C34</f>
        <v>5.692134391989689</v>
      </c>
    </row>
    <row r="35" spans="1:7" ht="16.5" hidden="1" thickBot="1" x14ac:dyDescent="0.3">
      <c r="A35" s="75">
        <v>1996</v>
      </c>
      <c r="B35" s="76" t="s">
        <v>16</v>
      </c>
      <c r="C35" s="77">
        <f t="shared" si="0"/>
        <v>1294.46</v>
      </c>
      <c r="D35" s="77">
        <v>1.2602182500880188</v>
      </c>
      <c r="E35" s="77">
        <f>100*((C35/1244.4)-1)</f>
        <v>4.0228222436515582</v>
      </c>
      <c r="F35" s="154">
        <f t="shared" si="1"/>
        <v>19.168876123140379</v>
      </c>
      <c r="G35" s="80">
        <f>+$C$383/C35</f>
        <v>5.6212938213618173</v>
      </c>
    </row>
    <row r="36" spans="1:7" ht="16.5" hidden="1" thickBot="1" x14ac:dyDescent="0.3">
      <c r="A36" s="75">
        <v>1996</v>
      </c>
      <c r="B36" s="76" t="s">
        <v>17</v>
      </c>
      <c r="C36" s="77">
        <f t="shared" si="0"/>
        <v>1310.25</v>
      </c>
      <c r="D36" s="77">
        <v>1.2198136674752336</v>
      </c>
      <c r="E36" s="77">
        <f t="shared" ref="E36:E43" si="3">100*((C36/1244.4)-1)</f>
        <v>5.2917068466730832</v>
      </c>
      <c r="F36" s="154">
        <f t="shared" si="1"/>
        <v>17.485922312686064</v>
      </c>
      <c r="G36" s="80">
        <f>+$C$383/C36</f>
        <v>5.5535508490746182</v>
      </c>
    </row>
    <row r="37" spans="1:7" ht="16.5" hidden="1" thickBot="1" x14ac:dyDescent="0.3">
      <c r="A37" s="75">
        <v>1996</v>
      </c>
      <c r="B37" s="76" t="s">
        <v>18</v>
      </c>
      <c r="C37" s="77">
        <f t="shared" si="0"/>
        <v>1325.8399999999997</v>
      </c>
      <c r="D37" s="77">
        <v>1.18984926540735</v>
      </c>
      <c r="E37" s="77">
        <f t="shared" si="3"/>
        <v>6.5445194471230872</v>
      </c>
      <c r="F37" s="154">
        <f t="shared" si="1"/>
        <v>16.256883308196812</v>
      </c>
      <c r="G37" s="80">
        <f>+$C$383/C37</f>
        <v>5.4882489591504404</v>
      </c>
    </row>
    <row r="38" spans="1:7" ht="16.5" hidden="1" thickBot="1" x14ac:dyDescent="0.3">
      <c r="A38" s="75">
        <v>1996</v>
      </c>
      <c r="B38" s="76" t="s">
        <v>19</v>
      </c>
      <c r="C38" s="77">
        <f t="shared" si="0"/>
        <v>1340.56</v>
      </c>
      <c r="D38" s="77">
        <v>1.1102395462499359</v>
      </c>
      <c r="E38" s="77">
        <f t="shared" si="3"/>
        <v>7.7274188363870122</v>
      </c>
      <c r="F38" s="154">
        <f t="shared" si="1"/>
        <v>14.837880669893355</v>
      </c>
      <c r="G38" s="80">
        <f>+$C$383/C38</f>
        <v>5.4279853195679557</v>
      </c>
    </row>
    <row r="39" spans="1:7" ht="16.5" hidden="1" thickBot="1" x14ac:dyDescent="0.3">
      <c r="A39" s="75">
        <v>1996</v>
      </c>
      <c r="B39" s="76" t="s">
        <v>20</v>
      </c>
      <c r="C39" s="77">
        <f t="shared" si="0"/>
        <v>1346.46</v>
      </c>
      <c r="D39" s="77">
        <v>0.44011457898192052</v>
      </c>
      <c r="E39" s="77">
        <f t="shared" si="3"/>
        <v>8.2015429122468611</v>
      </c>
      <c r="F39" s="154">
        <f t="shared" si="1"/>
        <v>14.212280835687196</v>
      </c>
      <c r="G39" s="80">
        <f>+$C$383/C39</f>
        <v>5.4042006446534003</v>
      </c>
    </row>
    <row r="40" spans="1:7" ht="16.5" hidden="1" thickBot="1" x14ac:dyDescent="0.3">
      <c r="A40" s="75">
        <v>1996</v>
      </c>
      <c r="B40" s="76" t="s">
        <v>21</v>
      </c>
      <c r="C40" s="77">
        <f t="shared" si="0"/>
        <v>1348.48</v>
      </c>
      <c r="D40" s="77">
        <v>0.15002302333526618</v>
      </c>
      <c r="E40" s="77">
        <f t="shared" si="3"/>
        <v>8.3638701382192195</v>
      </c>
      <c r="F40" s="154">
        <f t="shared" si="1"/>
        <v>13.262443514925515</v>
      </c>
      <c r="G40" s="80">
        <f>+$C$383/C40</f>
        <v>5.3961052444233637</v>
      </c>
    </row>
    <row r="41" spans="1:7" ht="16.5" hidden="1" thickBot="1" x14ac:dyDescent="0.3">
      <c r="A41" s="75">
        <v>1996</v>
      </c>
      <c r="B41" s="76" t="s">
        <v>22</v>
      </c>
      <c r="C41" s="77">
        <f t="shared" si="0"/>
        <v>1352.53</v>
      </c>
      <c r="D41" s="77">
        <v>0.30033815851921997</v>
      </c>
      <c r="E41" s="77">
        <f t="shared" si="3"/>
        <v>8.6893281902925104</v>
      </c>
      <c r="F41" s="154">
        <f t="shared" si="1"/>
        <v>12.022826474071756</v>
      </c>
      <c r="G41" s="80">
        <f>+$C$383/C41</f>
        <v>5.3799472100434134</v>
      </c>
    </row>
    <row r="42" spans="1:7" ht="16.5" hidden="1" thickBot="1" x14ac:dyDescent="0.3">
      <c r="A42" s="75">
        <v>1996</v>
      </c>
      <c r="B42" s="76" t="s">
        <v>23</v>
      </c>
      <c r="C42" s="77">
        <f t="shared" si="0"/>
        <v>1356.8600000000001</v>
      </c>
      <c r="D42" s="77">
        <v>0.32014077321760315</v>
      </c>
      <c r="E42" s="77">
        <f t="shared" si="3"/>
        <v>9.037287045965936</v>
      </c>
      <c r="F42" s="154">
        <f t="shared" si="1"/>
        <v>10.753232336424201</v>
      </c>
      <c r="G42" s="80">
        <f>+$C$383/C42</f>
        <v>5.3627787686275799</v>
      </c>
    </row>
    <row r="43" spans="1:7" ht="16.5" hidden="1" thickBot="1" x14ac:dyDescent="0.3">
      <c r="A43" s="75">
        <v>1996</v>
      </c>
      <c r="B43" s="76" t="s">
        <v>12</v>
      </c>
      <c r="C43" s="77">
        <f t="shared" si="0"/>
        <v>1363.2400000000005</v>
      </c>
      <c r="D43" s="77">
        <v>0.4702032634170239</v>
      </c>
      <c r="E43" s="77">
        <f t="shared" si="3"/>
        <v>9.549983927997463</v>
      </c>
      <c r="F43" s="154">
        <f t="shared" si="1"/>
        <v>9.5649518175900283</v>
      </c>
      <c r="G43" s="80">
        <f>+$C$383/C43</f>
        <v>5.3376808192247998</v>
      </c>
    </row>
    <row r="44" spans="1:7" ht="16.5" hidden="1" thickBot="1" x14ac:dyDescent="0.3">
      <c r="A44" s="75">
        <v>1997</v>
      </c>
      <c r="B44" s="76" t="s">
        <v>13</v>
      </c>
      <c r="C44" s="77">
        <f t="shared" si="0"/>
        <v>1379.3300000000004</v>
      </c>
      <c r="D44" s="77">
        <v>1.1802764003403521</v>
      </c>
      <c r="E44" s="77">
        <f>100*((C44/1244.4)-1)</f>
        <v>10.84297653487627</v>
      </c>
      <c r="F44" s="154">
        <f t="shared" si="1"/>
        <v>9.3924974224760316</v>
      </c>
      <c r="G44" s="80">
        <f>+$C$383/C44</f>
        <v>5.2754163253173756</v>
      </c>
    </row>
    <row r="45" spans="1:7" ht="16.5" hidden="1" thickBot="1" x14ac:dyDescent="0.3">
      <c r="A45" s="75">
        <v>1997</v>
      </c>
      <c r="B45" s="76" t="s">
        <v>14</v>
      </c>
      <c r="C45" s="77">
        <f t="shared" si="0"/>
        <v>1386.2300000000005</v>
      </c>
      <c r="D45" s="77">
        <v>0.50024287153909164</v>
      </c>
      <c r="E45" s="77">
        <f>100*((C45/1244.4)-1)</f>
        <v>11.397460623593725</v>
      </c>
      <c r="F45" s="154">
        <f t="shared" si="1"/>
        <v>8.818657811899012</v>
      </c>
      <c r="G45" s="80">
        <f>+$C$383/C45</f>
        <v>5.2491577876687243</v>
      </c>
    </row>
    <row r="46" spans="1:7" ht="16.5" hidden="1" thickBot="1" x14ac:dyDescent="0.3">
      <c r="A46" s="75">
        <v>1997</v>
      </c>
      <c r="B46" s="76" t="s">
        <v>15</v>
      </c>
      <c r="C46" s="77">
        <f t="shared" si="0"/>
        <v>1393.3000000000002</v>
      </c>
      <c r="D46" s="77">
        <v>0.51001637534895394</v>
      </c>
      <c r="E46" s="77">
        <f>100*((C46/1244.4)-1)</f>
        <v>11.965605914496958</v>
      </c>
      <c r="F46" s="154">
        <f t="shared" si="1"/>
        <v>8.9920600774435968</v>
      </c>
      <c r="G46" s="80">
        <f>+$C$383/C46</f>
        <v>5.2225220699059909</v>
      </c>
    </row>
    <row r="47" spans="1:7" ht="16.5" hidden="1" thickBot="1" x14ac:dyDescent="0.3">
      <c r="A47" s="75">
        <v>1997</v>
      </c>
      <c r="B47" s="76" t="s">
        <v>16</v>
      </c>
      <c r="C47" s="77">
        <f t="shared" si="0"/>
        <v>1405.5600000000002</v>
      </c>
      <c r="D47" s="77">
        <v>0.8799253570659582</v>
      </c>
      <c r="E47" s="77">
        <f>100*((C47/1244.4)-1)</f>
        <v>12.950819672131164</v>
      </c>
      <c r="F47" s="154">
        <f t="shared" si="1"/>
        <v>8.5827294779290408</v>
      </c>
      <c r="G47" s="80">
        <f>+$C$383/C47</f>
        <v>5.1769686103759476</v>
      </c>
    </row>
    <row r="48" spans="1:7" ht="16.5" hidden="1" thickBot="1" x14ac:dyDescent="0.3">
      <c r="A48" s="75">
        <v>1997</v>
      </c>
      <c r="B48" s="76" t="s">
        <v>17</v>
      </c>
      <c r="C48" s="77">
        <f t="shared" si="0"/>
        <v>1411.3200000000004</v>
      </c>
      <c r="D48" s="77">
        <v>0.40980107572783364</v>
      </c>
      <c r="E48" s="77">
        <f>100*((C48/1363.2)-1)</f>
        <v>3.5299295774648076</v>
      </c>
      <c r="F48" s="154">
        <f t="shared" si="1"/>
        <v>7.713795077275365</v>
      </c>
      <c r="G48" s="80">
        <f>+$C$383/C48</f>
        <v>5.1558399229090615</v>
      </c>
    </row>
    <row r="49" spans="1:7" ht="16.5" hidden="1" thickBot="1" x14ac:dyDescent="0.3">
      <c r="A49" s="75">
        <v>1997</v>
      </c>
      <c r="B49" s="76" t="s">
        <v>18</v>
      </c>
      <c r="C49" s="77">
        <f t="shared" si="0"/>
        <v>1418.9400000000005</v>
      </c>
      <c r="D49" s="77">
        <v>0.5399200748235744</v>
      </c>
      <c r="E49" s="77">
        <f>100*((C49/1363.2)-1)</f>
        <v>4.088908450704265</v>
      </c>
      <c r="F49" s="154">
        <f t="shared" si="1"/>
        <v>7.0219634345019655</v>
      </c>
      <c r="G49" s="80">
        <f>+$C$383/C49</f>
        <v>5.1281520007893322</v>
      </c>
    </row>
    <row r="50" spans="1:7" ht="16.5" hidden="1" thickBot="1" x14ac:dyDescent="0.3">
      <c r="A50" s="75">
        <v>1997</v>
      </c>
      <c r="B50" s="76" t="s">
        <v>19</v>
      </c>
      <c r="C50" s="77">
        <f t="shared" si="0"/>
        <v>1422.0600000000002</v>
      </c>
      <c r="D50" s="77">
        <v>0.21988244746076191</v>
      </c>
      <c r="E50" s="77">
        <f>100*((C50/1363.2)-1)</f>
        <v>4.3177816901408539</v>
      </c>
      <c r="F50" s="154">
        <f t="shared" si="1"/>
        <v>6.0795488452587199</v>
      </c>
      <c r="G50" s="80">
        <f>+$C$383/C50</f>
        <v>5.1169008340013908</v>
      </c>
    </row>
    <row r="51" spans="1:7" ht="16.5" hidden="1" thickBot="1" x14ac:dyDescent="0.3">
      <c r="A51" s="75">
        <v>1997</v>
      </c>
      <c r="B51" s="76" t="s">
        <v>20</v>
      </c>
      <c r="C51" s="77">
        <f t="shared" si="0"/>
        <v>1421.7800000000002</v>
      </c>
      <c r="D51" s="77">
        <v>-1.9689745861639629E-2</v>
      </c>
      <c r="E51" s="77">
        <f>100*((C51/1363.2)-1)</f>
        <v>4.2972417840375643</v>
      </c>
      <c r="F51" s="154">
        <f t="shared" si="1"/>
        <v>5.5939277809960997</v>
      </c>
      <c r="G51" s="80">
        <f>+$C$383/C51</f>
        <v>5.1179085371857935</v>
      </c>
    </row>
    <row r="52" spans="1:7" ht="16.5" hidden="1" thickBot="1" x14ac:dyDescent="0.3">
      <c r="A52" s="75">
        <v>1997</v>
      </c>
      <c r="B52" s="76" t="s">
        <v>21</v>
      </c>
      <c r="C52" s="77">
        <f t="shared" si="0"/>
        <v>1422.6300000000003</v>
      </c>
      <c r="D52" s="77">
        <v>5.978421415409052E-2</v>
      </c>
      <c r="E52" s="77">
        <f>100*(($C$52/$C$43)-1)</f>
        <v>4.3565329655819829</v>
      </c>
      <c r="F52" s="154">
        <f t="shared" si="1"/>
        <v>5.4987838158519375</v>
      </c>
      <c r="G52" s="80">
        <f>+$C$383/C52</f>
        <v>5.1148506639112181</v>
      </c>
    </row>
    <row r="53" spans="1:7" ht="16.5" hidden="1" thickBot="1" x14ac:dyDescent="0.3">
      <c r="A53" s="75">
        <v>1997</v>
      </c>
      <c r="B53" s="76" t="s">
        <v>22</v>
      </c>
      <c r="C53" s="77">
        <f t="shared" si="0"/>
        <v>1425.9000000000005</v>
      </c>
      <c r="D53" s="77">
        <v>0.22985597098332811</v>
      </c>
      <c r="E53" s="77">
        <f>100*(($C$53/$C$43)-1)</f>
        <v>4.5964026877145736</v>
      </c>
      <c r="F53" s="154">
        <f t="shared" si="1"/>
        <v>5.4246486214723832</v>
      </c>
      <c r="G53" s="80">
        <f>+$C$383/C53</f>
        <v>5.1031208359632618</v>
      </c>
    </row>
    <row r="54" spans="1:7" ht="16.5" hidden="1" thickBot="1" x14ac:dyDescent="0.3">
      <c r="A54" s="75">
        <v>1997</v>
      </c>
      <c r="B54" s="76" t="s">
        <v>23</v>
      </c>
      <c r="C54" s="77">
        <f t="shared" si="0"/>
        <v>1428.3200000000002</v>
      </c>
      <c r="D54" s="77">
        <v>0.16971737148465671</v>
      </c>
      <c r="E54" s="77">
        <f>100*(($C$54/$C$43)-1)</f>
        <v>4.7739209530236471</v>
      </c>
      <c r="F54" s="154">
        <f t="shared" si="1"/>
        <v>5.2665713485547494</v>
      </c>
      <c r="G54" s="80">
        <f>+$C$383/C54</f>
        <v>5.0944746275344581</v>
      </c>
    </row>
    <row r="55" spans="1:7" ht="16.5" hidden="1" thickBot="1" x14ac:dyDescent="0.3">
      <c r="A55" s="75">
        <v>1997</v>
      </c>
      <c r="B55" s="76" t="s">
        <v>12</v>
      </c>
      <c r="C55" s="77">
        <f t="shared" si="0"/>
        <v>1434.4600000000003</v>
      </c>
      <c r="D55" s="77">
        <v>0.42987565811583028</v>
      </c>
      <c r="E55" s="77">
        <f>100*(($C$55/$C$43)-1)</f>
        <v>5.2243185352542243</v>
      </c>
      <c r="F55" s="154">
        <f t="shared" si="1"/>
        <v>5.2243185352542243</v>
      </c>
      <c r="G55" s="80">
        <f>+$C$383/C55</f>
        <v>5.0726684606053967</v>
      </c>
    </row>
    <row r="56" spans="1:7" ht="16.5" hidden="1" thickBot="1" x14ac:dyDescent="0.3">
      <c r="A56" s="75">
        <v>1998</v>
      </c>
      <c r="B56" s="76" t="s">
        <v>13</v>
      </c>
      <c r="C56" s="77">
        <f t="shared" si="0"/>
        <v>1444.6400000000003</v>
      </c>
      <c r="D56" s="77">
        <v>0.70967472080085692</v>
      </c>
      <c r="E56" s="77">
        <f>+$C$56/$C$55*100-100</f>
        <v>0.70967472080086225</v>
      </c>
      <c r="F56" s="154">
        <f t="shared" si="1"/>
        <v>4.7349075275677333</v>
      </c>
      <c r="G56" s="80">
        <f>+$C$383/C56</f>
        <v>5.0369226935430396</v>
      </c>
    </row>
    <row r="57" spans="1:7" ht="16.5" hidden="1" thickBot="1" x14ac:dyDescent="0.3">
      <c r="A57" s="75">
        <v>1998</v>
      </c>
      <c r="B57" s="76" t="s">
        <v>14</v>
      </c>
      <c r="C57" s="77">
        <f t="shared" si="0"/>
        <v>1451.2900000000002</v>
      </c>
      <c r="D57" s="77">
        <v>0.4603222948277752</v>
      </c>
      <c r="E57" s="77">
        <f>+$C$57/$C$55*100-100</f>
        <v>1.1732638065892473</v>
      </c>
      <c r="F57" s="154">
        <f t="shared" si="1"/>
        <v>4.6933048628293728</v>
      </c>
      <c r="G57" s="80">
        <f>+$C$383/C57</f>
        <v>5.013842857044434</v>
      </c>
    </row>
    <row r="58" spans="1:7" ht="16.5" hidden="1" thickBot="1" x14ac:dyDescent="0.3">
      <c r="A58" s="75">
        <v>1998</v>
      </c>
      <c r="B58" s="76" t="s">
        <v>15</v>
      </c>
      <c r="C58" s="77">
        <f t="shared" si="0"/>
        <v>1456.2200000000003</v>
      </c>
      <c r="D58" s="77">
        <v>0.33969778610754009</v>
      </c>
      <c r="E58" s="77">
        <f>+$C$58/$C$55*100-100</f>
        <v>1.5169471438729545</v>
      </c>
      <c r="F58" s="154">
        <f t="shared" si="1"/>
        <v>4.5158975095098031</v>
      </c>
      <c r="G58" s="80">
        <f>+$C$383/C58</f>
        <v>4.9968686050184843</v>
      </c>
    </row>
    <row r="59" spans="1:7" ht="16.5" hidden="1" thickBot="1" x14ac:dyDescent="0.3">
      <c r="A59" s="75">
        <v>1998</v>
      </c>
      <c r="B59" s="76" t="s">
        <v>16</v>
      </c>
      <c r="C59" s="77">
        <f t="shared" si="0"/>
        <v>1459.7100000000003</v>
      </c>
      <c r="D59" s="77">
        <v>0.23966158959498607</v>
      </c>
      <c r="E59" s="77">
        <f>+$C$59/$C$55*100-100</f>
        <v>1.7602442731062524</v>
      </c>
      <c r="F59" s="154">
        <f t="shared" si="1"/>
        <v>3.8525569879620969</v>
      </c>
      <c r="G59" s="80">
        <f>+$C$383/C59</f>
        <v>4.9849216625220194</v>
      </c>
    </row>
    <row r="60" spans="1:7" ht="16.5" hidden="1" thickBot="1" x14ac:dyDescent="0.3">
      <c r="A60" s="75">
        <v>1998</v>
      </c>
      <c r="B60" s="76" t="s">
        <v>17</v>
      </c>
      <c r="C60" s="77">
        <f t="shared" si="0"/>
        <v>1467.0100000000002</v>
      </c>
      <c r="D60" s="77">
        <v>0.50009933479937541</v>
      </c>
      <c r="E60" s="77">
        <f>+$C$61/$C$55*100-100</f>
        <v>2.2893632447053278</v>
      </c>
      <c r="F60" s="154">
        <f t="shared" si="1"/>
        <v>3.9459513079953323</v>
      </c>
      <c r="G60" s="80">
        <f>+$C$383/C60</f>
        <v>4.9601161546274515</v>
      </c>
    </row>
    <row r="61" spans="1:7" ht="16.5" hidden="1" thickBot="1" x14ac:dyDescent="0.3">
      <c r="A61" s="75">
        <v>1998</v>
      </c>
      <c r="B61" s="76" t="s">
        <v>18</v>
      </c>
      <c r="C61" s="77">
        <f t="shared" si="0"/>
        <v>1467.3000000000002</v>
      </c>
      <c r="D61" s="77">
        <v>1.9768099740291589E-2</v>
      </c>
      <c r="E61" s="77">
        <f>+$C$61/$C$55*100-100</f>
        <v>2.2893632447053278</v>
      </c>
      <c r="F61" s="154">
        <f t="shared" si="1"/>
        <v>3.4081779356420761</v>
      </c>
      <c r="G61" s="80">
        <f>+$C$383/C61</f>
        <v>4.9591358277107727</v>
      </c>
    </row>
    <row r="62" spans="1:7" ht="16.5" hidden="1" thickBot="1" x14ac:dyDescent="0.3">
      <c r="A62" s="75">
        <v>1998</v>
      </c>
      <c r="B62" s="76" t="s">
        <v>19</v>
      </c>
      <c r="C62" s="77">
        <f t="shared" si="0"/>
        <v>1465.5400000000002</v>
      </c>
      <c r="D62" s="77">
        <v>-0.1199482041845612</v>
      </c>
      <c r="E62" s="77">
        <f>+($C$62/$C$55)*100-100</f>
        <v>2.1666689904214849</v>
      </c>
      <c r="F62" s="154">
        <f t="shared" si="1"/>
        <v>3.0575362502285319</v>
      </c>
      <c r="G62" s="80">
        <f>+$C$383/C62</f>
        <v>4.9650913656399807</v>
      </c>
    </row>
    <row r="63" spans="1:7" ht="16.5" hidden="1" thickBot="1" x14ac:dyDescent="0.3">
      <c r="A63" s="75">
        <v>1998</v>
      </c>
      <c r="B63" s="76" t="s">
        <v>20</v>
      </c>
      <c r="C63" s="77">
        <f t="shared" si="0"/>
        <v>1458.0700000000002</v>
      </c>
      <c r="D63" s="77">
        <v>-0.50970973156652111</v>
      </c>
      <c r="E63" s="77">
        <f>+$C$63/$C$55*100-100</f>
        <v>1.6459155361599329</v>
      </c>
      <c r="F63" s="154">
        <f t="shared" si="1"/>
        <v>2.5524342725316229</v>
      </c>
      <c r="G63" s="80">
        <f>+$C$383/C63</f>
        <v>4.9905285754456354</v>
      </c>
    </row>
    <row r="64" spans="1:7" ht="16.5" hidden="1" thickBot="1" x14ac:dyDescent="0.3">
      <c r="A64" s="75">
        <v>1998</v>
      </c>
      <c r="B64" s="76" t="s">
        <v>21</v>
      </c>
      <c r="C64" s="77">
        <f t="shared" si="0"/>
        <v>1454.8600000000001</v>
      </c>
      <c r="D64" s="77">
        <v>-0.22015403924365851</v>
      </c>
      <c r="E64" s="77">
        <f>+$C$64/$C$55*100-100</f>
        <v>1.4221379473808895</v>
      </c>
      <c r="F64" s="154">
        <f t="shared" si="1"/>
        <v>2.2655223072759467</v>
      </c>
      <c r="G64" s="80">
        <f>+$C$383/C64</f>
        <v>5.0015396670470134</v>
      </c>
    </row>
    <row r="65" spans="1:7" ht="16.5" hidden="1" thickBot="1" x14ac:dyDescent="0.3">
      <c r="A65" s="75">
        <v>1998</v>
      </c>
      <c r="B65" s="76" t="s">
        <v>22</v>
      </c>
      <c r="C65" s="77">
        <f t="shared" si="0"/>
        <v>1455.1500000000003</v>
      </c>
      <c r="D65" s="77">
        <v>1.9933189447796096E-2</v>
      </c>
      <c r="E65" s="77">
        <f>+$C$65/$C$55*100-100</f>
        <v>1.4423546142799495</v>
      </c>
      <c r="F65" s="154">
        <f t="shared" si="1"/>
        <v>2.0513359983168389</v>
      </c>
      <c r="G65" s="80">
        <f>+$C$383/C65</f>
        <v>5.0005428993574661</v>
      </c>
    </row>
    <row r="66" spans="1:7" ht="16.5" hidden="1" thickBot="1" x14ac:dyDescent="0.3">
      <c r="A66" s="75">
        <v>1998</v>
      </c>
      <c r="B66" s="76" t="s">
        <v>23</v>
      </c>
      <c r="C66" s="77">
        <f t="shared" si="0"/>
        <v>1453.4000000000003</v>
      </c>
      <c r="D66" s="77">
        <v>-0.12026251589183357</v>
      </c>
      <c r="E66" s="77">
        <f>+$C$66/$C$55*100-100</f>
        <v>1.3203574864408978</v>
      </c>
      <c r="F66" s="154">
        <f t="shared" si="1"/>
        <v>1.7559090399910549</v>
      </c>
      <c r="G66" s="80">
        <f>+$C$383/C66</f>
        <v>5.0065639190862923</v>
      </c>
    </row>
    <row r="67" spans="1:7" ht="16.5" hidden="1" thickBot="1" x14ac:dyDescent="0.3">
      <c r="A67" s="75">
        <v>1998</v>
      </c>
      <c r="B67" s="76" t="s">
        <v>12</v>
      </c>
      <c r="C67" s="77">
        <f t="shared" si="0"/>
        <v>1458.2000000000003</v>
      </c>
      <c r="D67" s="77">
        <v>0.33026007981284966</v>
      </c>
      <c r="E67" s="77">
        <f>+(($C$67/$C$55)-1)*100</f>
        <v>1.654978179942268</v>
      </c>
      <c r="F67" s="154">
        <f t="shared" si="1"/>
        <v>1.654978179942268</v>
      </c>
      <c r="G67" s="80">
        <f>+$C$383/C67</f>
        <v>4.9900836647922207</v>
      </c>
    </row>
    <row r="68" spans="1:7" ht="16.5" hidden="1" thickBot="1" x14ac:dyDescent="0.3">
      <c r="A68" s="75">
        <v>1999</v>
      </c>
      <c r="B68" s="76" t="s">
        <v>13</v>
      </c>
      <c r="C68" s="77">
        <f t="shared" si="0"/>
        <v>1468.4100000000003</v>
      </c>
      <c r="D68" s="77">
        <v>0.70017830201618558</v>
      </c>
      <c r="E68" s="77">
        <f>+(($C$68/$C$67)-1)*100</f>
        <v>0.70017830201618558</v>
      </c>
      <c r="F68" s="154">
        <f t="shared" si="1"/>
        <v>1.6453926237678607</v>
      </c>
      <c r="G68" s="80">
        <f>+$C$383/C68</f>
        <v>4.9553871194012684</v>
      </c>
    </row>
    <row r="69" spans="1:7" ht="16.5" hidden="1" thickBot="1" x14ac:dyDescent="0.3">
      <c r="A69" s="75">
        <v>1999</v>
      </c>
      <c r="B69" s="76" t="s">
        <v>14</v>
      </c>
      <c r="C69" s="77">
        <f t="shared" si="0"/>
        <v>1483.8300000000002</v>
      </c>
      <c r="D69" s="77">
        <v>1.0501154309763505</v>
      </c>
      <c r="E69" s="77">
        <f>+(($C$69/$C$67)-1)*100</f>
        <v>1.7576464133863601</v>
      </c>
      <c r="F69" s="154">
        <f t="shared" si="1"/>
        <v>2.2421431967422079</v>
      </c>
      <c r="G69" s="80">
        <f>+$C$383/C69</f>
        <v>4.903890607414608</v>
      </c>
    </row>
    <row r="70" spans="1:7" ht="16.5" hidden="1" thickBot="1" x14ac:dyDescent="0.3">
      <c r="A70" s="75">
        <v>1999</v>
      </c>
      <c r="B70" s="76" t="s">
        <v>15</v>
      </c>
      <c r="C70" s="77">
        <f t="shared" si="0"/>
        <v>1500.1500000000003</v>
      </c>
      <c r="D70" s="77">
        <v>1.0998564525585897</v>
      </c>
      <c r="E70" s="77">
        <f>+(($C$70/$C$67)-1)*100</f>
        <v>2.8768344534357393</v>
      </c>
      <c r="F70" s="154">
        <f t="shared" si="1"/>
        <v>3.0167145074233348</v>
      </c>
      <c r="G70" s="80">
        <f>+$C$383/C70</f>
        <v>4.8505416125054275</v>
      </c>
    </row>
    <row r="71" spans="1:7" ht="16.5" hidden="1" thickBot="1" x14ac:dyDescent="0.3">
      <c r="A71" s="75">
        <v>1999</v>
      </c>
      <c r="B71" s="76" t="s">
        <v>16</v>
      </c>
      <c r="C71" s="77">
        <f t="shared" si="0"/>
        <v>1508.55</v>
      </c>
      <c r="D71" s="77">
        <v>0.55994400559942203</v>
      </c>
      <c r="E71" s="77">
        <f>+(($C$71/$C$67)-1)*100</f>
        <v>3.4528871211081835</v>
      </c>
      <c r="F71" s="154">
        <f t="shared" si="1"/>
        <v>3.3458700700824018</v>
      </c>
      <c r="G71" s="80">
        <f>+$C$383/C71</f>
        <v>4.8235325312386186</v>
      </c>
    </row>
    <row r="72" spans="1:7" ht="16.5" hidden="1" thickBot="1" x14ac:dyDescent="0.3">
      <c r="A72" s="75">
        <v>1999</v>
      </c>
      <c r="B72" s="76" t="s">
        <v>17</v>
      </c>
      <c r="C72" s="77">
        <f t="shared" ref="C72:C111" si="4">+C71*(1+D72/100)</f>
        <v>1513.0800000000002</v>
      </c>
      <c r="D72" s="77">
        <v>0.30028835636870532</v>
      </c>
      <c r="E72" s="77">
        <f>+(($C$72/$C$67)-1)*100</f>
        <v>3.7635440954601584</v>
      </c>
      <c r="F72" s="154">
        <f t="shared" si="1"/>
        <v>3.1404012242588708</v>
      </c>
      <c r="G72" s="80">
        <f>+$C$383/C72</f>
        <v>4.8090913897480752</v>
      </c>
    </row>
    <row r="73" spans="1:7" ht="16.5" hidden="1" thickBot="1" x14ac:dyDescent="0.3">
      <c r="A73" s="75">
        <v>1999</v>
      </c>
      <c r="B73" s="76" t="s">
        <v>18</v>
      </c>
      <c r="C73" s="77">
        <f t="shared" si="4"/>
        <v>1515.9500000000003</v>
      </c>
      <c r="D73" s="77">
        <v>0.18967932957940636</v>
      </c>
      <c r="E73" s="77">
        <f>+(($C$73/$C$67)-1)*100</f>
        <v>3.9603620902482595</v>
      </c>
      <c r="F73" s="154">
        <f t="shared" si="1"/>
        <v>3.3156137122606122</v>
      </c>
      <c r="G73" s="80">
        <f>+$C$383/C73</f>
        <v>4.7999868069527469</v>
      </c>
    </row>
    <row r="74" spans="1:7" ht="16.5" hidden="1" thickBot="1" x14ac:dyDescent="0.3">
      <c r="A74" s="75">
        <v>1999</v>
      </c>
      <c r="B74" s="76" t="s">
        <v>19</v>
      </c>
      <c r="C74" s="77">
        <f t="shared" si="4"/>
        <v>1532.4700000000003</v>
      </c>
      <c r="D74" s="77">
        <v>1.0897457040139891</v>
      </c>
      <c r="E74" s="77">
        <f>+(($C$74/$C$67)-1)*100</f>
        <v>5.0932656700041212</v>
      </c>
      <c r="F74" s="154">
        <f t="shared" si="1"/>
        <v>4.5669173137546704</v>
      </c>
      <c r="G74" s="80">
        <f>+$C$383/C74</f>
        <v>4.7482430324900431</v>
      </c>
    </row>
    <row r="75" spans="1:7" ht="16.5" hidden="1" thickBot="1" x14ac:dyDescent="0.3">
      <c r="A75" s="75">
        <v>1999</v>
      </c>
      <c r="B75" s="76" t="s">
        <v>20</v>
      </c>
      <c r="C75" s="77">
        <f t="shared" si="4"/>
        <v>1541.05</v>
      </c>
      <c r="D75" s="77">
        <v>0.55988045442976198</v>
      </c>
      <c r="E75" s="77">
        <f>+(($C$75/$C$67)-1)*100</f>
        <v>5.6816623234124064</v>
      </c>
      <c r="F75" s="154">
        <f t="shared" si="1"/>
        <v>5.6910847901677997</v>
      </c>
      <c r="G75" s="80">
        <f>+$C$383/C75</f>
        <v>4.721806560462035</v>
      </c>
    </row>
    <row r="76" spans="1:7" ht="16.5" hidden="1" thickBot="1" x14ac:dyDescent="0.3">
      <c r="A76" s="75">
        <v>1999</v>
      </c>
      <c r="B76" s="76" t="s">
        <v>21</v>
      </c>
      <c r="C76" s="77">
        <f t="shared" si="4"/>
        <v>1545.8300000000002</v>
      </c>
      <c r="D76" s="77">
        <v>0.31017812530418354</v>
      </c>
      <c r="E76" s="77">
        <f>+(($C$76/$C$67)-1)*100</f>
        <v>6.0094637223974567</v>
      </c>
      <c r="F76" s="154">
        <f t="shared" si="1"/>
        <v>6.2528353243611168</v>
      </c>
      <c r="G76" s="80">
        <f>+$C$383/C76</f>
        <v>4.7072058376406316</v>
      </c>
    </row>
    <row r="77" spans="1:7" ht="16.5" hidden="1" thickBot="1" x14ac:dyDescent="0.3">
      <c r="A77" s="75">
        <v>1999</v>
      </c>
      <c r="B77" s="76" t="s">
        <v>22</v>
      </c>
      <c r="C77" s="77">
        <f t="shared" si="4"/>
        <v>1564.2300000000002</v>
      </c>
      <c r="D77" s="155">
        <v>1.1902990626394994</v>
      </c>
      <c r="E77" s="77">
        <f>+(($C$77/$C$67)-1)*100</f>
        <v>7.2712933753943165</v>
      </c>
      <c r="F77" s="154">
        <f t="shared" si="1"/>
        <v>7.4961344191320389</v>
      </c>
      <c r="G77" s="80">
        <f>+$C$383/C77</f>
        <v>4.6518350881903663</v>
      </c>
    </row>
    <row r="78" spans="1:7" ht="16.5" hidden="1" thickBot="1" x14ac:dyDescent="0.3">
      <c r="A78" s="75">
        <v>1999</v>
      </c>
      <c r="B78" s="76" t="s">
        <v>23</v>
      </c>
      <c r="C78" s="77">
        <f t="shared" si="4"/>
        <v>1579.0900000000004</v>
      </c>
      <c r="D78" s="155">
        <v>0.94998817309475125</v>
      </c>
      <c r="E78" s="77">
        <f>+(($C$78/$C$67)-1)*100</f>
        <v>8.2903579755863497</v>
      </c>
      <c r="F78" s="154">
        <f t="shared" si="1"/>
        <v>8.6479977982661271</v>
      </c>
      <c r="G78" s="80">
        <f>+$C$383/C78</f>
        <v>4.6080590719971735</v>
      </c>
    </row>
    <row r="79" spans="1:7" ht="16.5" hidden="1" thickBot="1" x14ac:dyDescent="0.3">
      <c r="A79" s="75">
        <v>1999</v>
      </c>
      <c r="B79" s="76" t="s">
        <v>12</v>
      </c>
      <c r="C79" s="77">
        <f t="shared" si="4"/>
        <v>1588.5600000000004</v>
      </c>
      <c r="D79" s="77">
        <v>0.59971249263817139</v>
      </c>
      <c r="E79" s="77">
        <f>+(($C$79/$C$67)-1)*100</f>
        <v>8.939788780688529</v>
      </c>
      <c r="F79" s="154">
        <f t="shared" si="1"/>
        <v>8.939788780688529</v>
      </c>
      <c r="G79" s="80">
        <f>+$C$383/C79</f>
        <v>4.5805887092713</v>
      </c>
    </row>
    <row r="80" spans="1:7" ht="16.5" hidden="1" thickBot="1" x14ac:dyDescent="0.3">
      <c r="A80" s="75">
        <v>2000</v>
      </c>
      <c r="B80" s="82" t="s">
        <v>13</v>
      </c>
      <c r="C80" s="77">
        <f t="shared" si="4"/>
        <v>1598.4100000000005</v>
      </c>
      <c r="D80" s="77">
        <v>0.6200584176864643</v>
      </c>
      <c r="E80" s="77">
        <f>+(($C$80/$C$79)-1)*100</f>
        <v>0.6200584176864643</v>
      </c>
      <c r="F80" s="154">
        <f t="shared" si="1"/>
        <v>8.8531132313182326</v>
      </c>
      <c r="G80" s="80">
        <f>+$C$383/C80</f>
        <v>4.552361409150353</v>
      </c>
    </row>
    <row r="81" spans="1:7" ht="16.5" hidden="1" thickBot="1" x14ac:dyDescent="0.3">
      <c r="A81" s="75">
        <v>2000</v>
      </c>
      <c r="B81" s="82" t="s">
        <v>14</v>
      </c>
      <c r="C81" s="77">
        <f t="shared" si="4"/>
        <v>1600.4900000000005</v>
      </c>
      <c r="D81" s="77">
        <v>0.13012931600777655</v>
      </c>
      <c r="E81" s="77">
        <f>+(($C$81/$C$79)-1)*100</f>
        <v>0.75099461147203339</v>
      </c>
      <c r="F81" s="154">
        <f t="shared" si="1"/>
        <v>7.8620866271742917</v>
      </c>
      <c r="G81" s="80">
        <f>+$C$383/C81</f>
        <v>4.5464451511724633</v>
      </c>
    </row>
    <row r="82" spans="1:7" ht="16.5" hidden="1" thickBot="1" x14ac:dyDescent="0.3">
      <c r="A82" s="75">
        <v>2000</v>
      </c>
      <c r="B82" s="82" t="s">
        <v>15</v>
      </c>
      <c r="C82" s="77">
        <f t="shared" si="4"/>
        <v>1604.0100000000004</v>
      </c>
      <c r="D82" s="77">
        <v>0.21993264562727433</v>
      </c>
      <c r="E82" s="77">
        <f>+(($C$82/$C$79)-1)*100</f>
        <v>0.97257893941682383</v>
      </c>
      <c r="F82" s="154">
        <f t="shared" si="1"/>
        <v>6.9233076692330808</v>
      </c>
      <c r="G82" s="80">
        <f>+$C$383/C82</f>
        <v>4.5364679771323226</v>
      </c>
    </row>
    <row r="83" spans="1:7" ht="16.5" hidden="1" thickBot="1" x14ac:dyDescent="0.3">
      <c r="A83" s="75">
        <v>2000</v>
      </c>
      <c r="B83" s="82" t="s">
        <v>16</v>
      </c>
      <c r="C83" s="77">
        <f t="shared" si="4"/>
        <v>1610.7500000000005</v>
      </c>
      <c r="D83" s="77">
        <v>0.4201968815655821</v>
      </c>
      <c r="E83" s="77">
        <f>+(($C$83/$C$79)-1)*100</f>
        <v>1.3968625673566049</v>
      </c>
      <c r="F83" s="154">
        <f t="shared" ref="F83:F146" si="5">100*((C83/C71)-1)</f>
        <v>6.7747174439031221</v>
      </c>
      <c r="G83" s="80">
        <f>+$C$383/C83</f>
        <v>4.5174856433338606</v>
      </c>
    </row>
    <row r="84" spans="1:7" ht="16.5" hidden="1" thickBot="1" x14ac:dyDescent="0.3">
      <c r="A84" s="75">
        <v>2000</v>
      </c>
      <c r="B84" s="82" t="s">
        <v>17</v>
      </c>
      <c r="C84" s="77">
        <f t="shared" si="4"/>
        <v>1610.9100000000005</v>
      </c>
      <c r="D84" s="77">
        <v>9.9332609033053743E-3</v>
      </c>
      <c r="E84" s="77">
        <f>+(($C$84/$C$79)-1)*100</f>
        <v>1.4069345822631973</v>
      </c>
      <c r="F84" s="154">
        <f t="shared" si="5"/>
        <v>6.4656197953842698</v>
      </c>
      <c r="G84" s="80">
        <f>+$C$383/C84</f>
        <v>4.5170369542680939</v>
      </c>
    </row>
    <row r="85" spans="1:7" ht="16.5" hidden="1" thickBot="1" x14ac:dyDescent="0.3">
      <c r="A85" s="75">
        <v>2000</v>
      </c>
      <c r="B85" s="82" t="s">
        <v>18</v>
      </c>
      <c r="C85" s="77">
        <f t="shared" si="4"/>
        <v>1614.6200000000001</v>
      </c>
      <c r="D85" s="77">
        <v>0.23030461043755945</v>
      </c>
      <c r="E85" s="77">
        <f>+(($C$85/$C$79)-1)*100</f>
        <v>1.6404794279095247</v>
      </c>
      <c r="F85" s="154">
        <f t="shared" si="5"/>
        <v>6.5087898677396838</v>
      </c>
      <c r="G85" s="80">
        <f>+$C$383/C85</f>
        <v>4.5066579133170759</v>
      </c>
    </row>
    <row r="86" spans="1:7" ht="16.5" hidden="1" thickBot="1" x14ac:dyDescent="0.3">
      <c r="A86" s="75">
        <v>2000</v>
      </c>
      <c r="B86" s="82" t="s">
        <v>19</v>
      </c>
      <c r="C86" s="77">
        <f t="shared" si="4"/>
        <v>1640.6200000000003</v>
      </c>
      <c r="D86" s="77">
        <v>1.6102860115692952</v>
      </c>
      <c r="E86" s="77">
        <f>+(($C$86/$C$79)-1)*100</f>
        <v>3.2771818502291383</v>
      </c>
      <c r="F86" s="154">
        <f t="shared" si="5"/>
        <v>7.0572343993683395</v>
      </c>
      <c r="G86" s="80">
        <f>+$C$383/C86</f>
        <v>4.4352378978678892</v>
      </c>
    </row>
    <row r="87" spans="1:7" ht="16.5" hidden="1" thickBot="1" x14ac:dyDescent="0.3">
      <c r="A87" s="75">
        <v>2000</v>
      </c>
      <c r="B87" s="82" t="s">
        <v>20</v>
      </c>
      <c r="C87" s="77">
        <f t="shared" si="4"/>
        <v>1662.1100000000006</v>
      </c>
      <c r="D87" s="77">
        <v>1.3098706586534448</v>
      </c>
      <c r="E87" s="77">
        <f>+(($C$87/$C$79)-1)*100</f>
        <v>4.6299793523694621</v>
      </c>
      <c r="F87" s="154">
        <f t="shared" si="5"/>
        <v>7.8556828136660428</v>
      </c>
      <c r="G87" s="80">
        <f>+$C$383/C87</f>
        <v>4.3778931598991733</v>
      </c>
    </row>
    <row r="88" spans="1:7" ht="16.5" hidden="1" thickBot="1" x14ac:dyDescent="0.3">
      <c r="A88" s="75">
        <v>2000</v>
      </c>
      <c r="B88" s="82" t="s">
        <v>21</v>
      </c>
      <c r="C88" s="77">
        <f t="shared" si="4"/>
        <v>1665.9300000000007</v>
      </c>
      <c r="D88" s="77">
        <v>0.22982835071085894</v>
      </c>
      <c r="E88" s="77">
        <f>+(($C$88/$C$79)-1)*100</f>
        <v>4.870448708264119</v>
      </c>
      <c r="F88" s="154">
        <f t="shared" si="5"/>
        <v>7.7692889903806073</v>
      </c>
      <c r="G88" s="80">
        <f>+$C$383/C88</f>
        <v>4.3678545917295537</v>
      </c>
    </row>
    <row r="89" spans="1:7" ht="16.5" hidden="1" thickBot="1" x14ac:dyDescent="0.3">
      <c r="A89" s="75">
        <v>2000</v>
      </c>
      <c r="B89" s="82" t="s">
        <v>22</v>
      </c>
      <c r="C89" s="77">
        <f t="shared" si="4"/>
        <v>1668.2600000000007</v>
      </c>
      <c r="D89" s="77">
        <v>0.13986181892395866</v>
      </c>
      <c r="E89" s="77">
        <f>+(($C$89/$C$79)-1)*100</f>
        <v>5.0171224253412028</v>
      </c>
      <c r="F89" s="154">
        <f t="shared" si="5"/>
        <v>6.6505565038389669</v>
      </c>
      <c r="G89" s="80">
        <f>+$C$383/C89</f>
        <v>4.3617541630201622</v>
      </c>
    </row>
    <row r="90" spans="1:7" ht="16.5" hidden="1" thickBot="1" x14ac:dyDescent="0.3">
      <c r="A90" s="75">
        <v>2000</v>
      </c>
      <c r="B90" s="82" t="s">
        <v>23</v>
      </c>
      <c r="C90" s="77">
        <f t="shared" si="4"/>
        <v>1673.6000000000006</v>
      </c>
      <c r="D90" s="77">
        <v>0.32009399014540918</v>
      </c>
      <c r="E90" s="77">
        <f>+(($C$90/$C$79)-1)*100</f>
        <v>5.3532759228483773</v>
      </c>
      <c r="F90" s="154">
        <f t="shared" si="5"/>
        <v>5.9850926799612569</v>
      </c>
      <c r="G90" s="80">
        <f>+$C$383/C90</f>
        <v>4.3478369980879634</v>
      </c>
    </row>
    <row r="91" spans="1:7" ht="16.5" hidden="1" thickBot="1" x14ac:dyDescent="0.3">
      <c r="A91" s="75">
        <v>2000</v>
      </c>
      <c r="B91" s="82" t="s">
        <v>12</v>
      </c>
      <c r="C91" s="77">
        <f t="shared" si="4"/>
        <v>1683.4700000000009</v>
      </c>
      <c r="D91" s="77">
        <v>0.58974665391970937</v>
      </c>
      <c r="E91" s="77">
        <f>+(($C$91/$C$79)-1)*100</f>
        <v>5.9745933423981823</v>
      </c>
      <c r="F91" s="154">
        <f t="shared" si="5"/>
        <v>5.9745933423981823</v>
      </c>
      <c r="G91" s="80">
        <f>+$C$383/C91</f>
        <v>4.3223461065537334</v>
      </c>
    </row>
    <row r="92" spans="1:7" ht="16.5" hidden="1" thickBot="1" x14ac:dyDescent="0.3">
      <c r="A92" s="75">
        <v>2001</v>
      </c>
      <c r="B92" s="82" t="s">
        <v>13</v>
      </c>
      <c r="C92" s="77">
        <f t="shared" si="4"/>
        <v>1693.0700000000011</v>
      </c>
      <c r="D92" s="77">
        <v>0.57025073211878219</v>
      </c>
      <c r="E92" s="77">
        <f>+(($C$92/$C$91)-1)*100</f>
        <v>0.57025073211878219</v>
      </c>
      <c r="F92" s="154">
        <f t="shared" si="5"/>
        <v>5.9221351217773055</v>
      </c>
      <c r="G92" s="80">
        <f>+$C$383/C92</f>
        <v>4.2978376558559379</v>
      </c>
    </row>
    <row r="93" spans="1:7" ht="16.5" hidden="1" thickBot="1" x14ac:dyDescent="0.3">
      <c r="A93" s="75">
        <v>2001</v>
      </c>
      <c r="B93" s="82" t="s">
        <v>14</v>
      </c>
      <c r="C93" s="77">
        <f t="shared" si="4"/>
        <v>1700.860000000001</v>
      </c>
      <c r="D93" s="77">
        <v>0.46011092276161403</v>
      </c>
      <c r="E93" s="77">
        <f>+(($C$93/$C$91)-1)*100</f>
        <v>1.0329854407860051</v>
      </c>
      <c r="F93" s="154">
        <f t="shared" si="5"/>
        <v>6.2712044436391778</v>
      </c>
      <c r="G93" s="80">
        <f>+$C$383/C93</f>
        <v>4.2781534047481946</v>
      </c>
    </row>
    <row r="94" spans="1:7" ht="16.5" hidden="1" thickBot="1" x14ac:dyDescent="0.3">
      <c r="A94" s="75">
        <v>2001</v>
      </c>
      <c r="B94" s="82" t="s">
        <v>15</v>
      </c>
      <c r="C94" s="77">
        <f t="shared" si="4"/>
        <v>1707.3200000000008</v>
      </c>
      <c r="D94" s="77">
        <v>0.37980786190514593</v>
      </c>
      <c r="E94" s="77">
        <f t="shared" ref="E94:E100" si="6">+((C94/$C$91)-1)*100</f>
        <v>1.4167166626075867</v>
      </c>
      <c r="F94" s="154">
        <f t="shared" si="5"/>
        <v>6.440732913136471</v>
      </c>
      <c r="G94" s="80">
        <f>+$C$383/C94</f>
        <v>4.2619661223437983</v>
      </c>
    </row>
    <row r="95" spans="1:7" ht="16.5" hidden="1" thickBot="1" x14ac:dyDescent="0.3">
      <c r="A95" s="75">
        <v>2001</v>
      </c>
      <c r="B95" s="82" t="s">
        <v>16</v>
      </c>
      <c r="C95" s="77">
        <f t="shared" si="4"/>
        <v>1717.2200000000009</v>
      </c>
      <c r="D95" s="77">
        <v>0.57985614881803649</v>
      </c>
      <c r="E95" s="77">
        <f t="shared" si="6"/>
        <v>2.0047877301050843</v>
      </c>
      <c r="F95" s="154">
        <f t="shared" si="5"/>
        <v>6.6099643023436627</v>
      </c>
      <c r="G95" s="80">
        <f>+$C$383/C95</f>
        <v>4.2373953250020469</v>
      </c>
    </row>
    <row r="96" spans="1:7" ht="16.5" hidden="1" thickBot="1" x14ac:dyDescent="0.3">
      <c r="A96" s="75">
        <v>2001</v>
      </c>
      <c r="B96" s="82" t="s">
        <v>17</v>
      </c>
      <c r="C96" s="77">
        <f t="shared" si="4"/>
        <v>1724.2600000000009</v>
      </c>
      <c r="D96" s="77">
        <v>0.40996494333864764</v>
      </c>
      <c r="E96" s="77">
        <f t="shared" si="6"/>
        <v>2.4229716003255186</v>
      </c>
      <c r="F96" s="154">
        <f t="shared" si="5"/>
        <v>7.036395577654897</v>
      </c>
      <c r="G96" s="80">
        <f>+$C$383/C96</f>
        <v>4.2200944173152628</v>
      </c>
    </row>
    <row r="97" spans="1:7" ht="16.5" hidden="1" thickBot="1" x14ac:dyDescent="0.3">
      <c r="A97" s="75">
        <v>2001</v>
      </c>
      <c r="B97" s="82" t="s">
        <v>18</v>
      </c>
      <c r="C97" s="77">
        <f t="shared" si="4"/>
        <v>1733.2300000000007</v>
      </c>
      <c r="D97" s="77">
        <v>0.52022316819968495</v>
      </c>
      <c r="E97" s="77">
        <f t="shared" si="6"/>
        <v>2.9557996281489807</v>
      </c>
      <c r="F97" s="154">
        <f t="shared" si="5"/>
        <v>7.3460009166243845</v>
      </c>
      <c r="G97" s="80">
        <f>+$C$383/C97</f>
        <v>4.1982541266883304</v>
      </c>
    </row>
    <row r="98" spans="1:7" ht="16.5" hidden="1" thickBot="1" x14ac:dyDescent="0.3">
      <c r="A98" s="75">
        <v>2001</v>
      </c>
      <c r="B98" s="82" t="s">
        <v>19</v>
      </c>
      <c r="C98" s="77">
        <f t="shared" si="4"/>
        <v>1756.2800000000007</v>
      </c>
      <c r="D98" s="77">
        <v>1.3298869740311359</v>
      </c>
      <c r="E98" s="77">
        <f t="shared" si="6"/>
        <v>4.3249953964133336</v>
      </c>
      <c r="F98" s="154">
        <f t="shared" si="5"/>
        <v>7.0497738659775155</v>
      </c>
      <c r="G98" s="80">
        <f>+$C$383/C98</f>
        <v>4.1431548500239233</v>
      </c>
    </row>
    <row r="99" spans="1:7" ht="16.5" hidden="1" thickBot="1" x14ac:dyDescent="0.3">
      <c r="A99" s="75">
        <v>2001</v>
      </c>
      <c r="B99" s="82" t="s">
        <v>20</v>
      </c>
      <c r="C99" s="77">
        <f t="shared" si="4"/>
        <v>1768.5700000000006</v>
      </c>
      <c r="D99" s="77">
        <v>0.6997745234245123</v>
      </c>
      <c r="E99" s="77">
        <f t="shared" si="6"/>
        <v>5.0550351357612433</v>
      </c>
      <c r="F99" s="154">
        <f t="shared" si="5"/>
        <v>6.405111575046174</v>
      </c>
      <c r="G99" s="80">
        <f>+$C$383/C99</f>
        <v>4.1143635818768924</v>
      </c>
    </row>
    <row r="100" spans="1:7" ht="16.5" hidden="1" thickBot="1" x14ac:dyDescent="0.3">
      <c r="A100" s="75">
        <v>2001</v>
      </c>
      <c r="B100" s="82" t="s">
        <v>21</v>
      </c>
      <c r="C100" s="77">
        <f t="shared" si="4"/>
        <v>1773.5200000000009</v>
      </c>
      <c r="D100" s="155">
        <v>0.2798871404581238</v>
      </c>
      <c r="E100" s="77">
        <f t="shared" si="6"/>
        <v>5.3490706695100032</v>
      </c>
      <c r="F100" s="154">
        <f t="shared" si="5"/>
        <v>6.4582545485104559</v>
      </c>
      <c r="G100" s="80">
        <f>+$C$383/C100</f>
        <v>4.1028801479543588</v>
      </c>
    </row>
    <row r="101" spans="1:7" ht="16.5" hidden="1" thickBot="1" x14ac:dyDescent="0.3">
      <c r="A101" s="75">
        <v>2001</v>
      </c>
      <c r="B101" s="82" t="s">
        <v>22</v>
      </c>
      <c r="C101" s="77">
        <f t="shared" si="4"/>
        <v>1788.2400000000011</v>
      </c>
      <c r="D101" s="155">
        <v>0.82998782083090195</v>
      </c>
      <c r="E101" s="77">
        <f>+((C101/$C$91)-1)*100</f>
        <v>6.2234551254254589</v>
      </c>
      <c r="F101" s="154">
        <f t="shared" si="5"/>
        <v>7.1919245201587545</v>
      </c>
      <c r="G101" s="80">
        <f>+$C$383/C101</f>
        <v>4.0691070549814414</v>
      </c>
    </row>
    <row r="102" spans="1:7" ht="16.5" hidden="1" thickBot="1" x14ac:dyDescent="0.3">
      <c r="A102" s="75">
        <v>2001</v>
      </c>
      <c r="B102" s="82" t="s">
        <v>23</v>
      </c>
      <c r="C102" s="77">
        <f t="shared" si="4"/>
        <v>1800.940000000001</v>
      </c>
      <c r="D102" s="155">
        <v>0.71019549948552196</v>
      </c>
      <c r="E102" s="77">
        <f>+((C102/$C$91)-1)*100</f>
        <v>6.9778493231242633</v>
      </c>
      <c r="F102" s="154">
        <f t="shared" si="5"/>
        <v>7.6087476099426565</v>
      </c>
      <c r="G102" s="80">
        <f>+$C$383/C102</f>
        <v>4.0404122291692195</v>
      </c>
    </row>
    <row r="103" spans="1:7" ht="16.5" hidden="1" thickBot="1" x14ac:dyDescent="0.3">
      <c r="A103" s="75">
        <v>2001</v>
      </c>
      <c r="B103" s="82" t="s">
        <v>12</v>
      </c>
      <c r="C103" s="77">
        <f>+C102*(1+D103/100)</f>
        <v>1812.6500000000008</v>
      </c>
      <c r="D103" s="155">
        <v>0.65021599831198706</v>
      </c>
      <c r="E103" s="77">
        <f>+((C103/$C$91)-1)*100</f>
        <v>7.673436414073298</v>
      </c>
      <c r="F103" s="154">
        <f t="shared" si="5"/>
        <v>7.673436414073298</v>
      </c>
      <c r="G103" s="80">
        <f>+$C$383/C103</f>
        <v>4.0143105398174024</v>
      </c>
    </row>
    <row r="104" spans="1:7" ht="16.5" hidden="1" thickBot="1" x14ac:dyDescent="0.3">
      <c r="A104" s="75">
        <v>2002</v>
      </c>
      <c r="B104" s="82" t="s">
        <v>13</v>
      </c>
      <c r="C104" s="77">
        <f>+C103*(1+D104/100)</f>
        <v>1822.0800000000006</v>
      </c>
      <c r="D104" s="155">
        <v>0.52023280831929863</v>
      </c>
      <c r="E104" s="77">
        <f t="shared" ref="E104:E111" si="7">+((C104/$C$103)-1)*100</f>
        <v>0.52023280831929863</v>
      </c>
      <c r="F104" s="154">
        <f t="shared" si="5"/>
        <v>7.619885769637369</v>
      </c>
      <c r="G104" s="80">
        <f>+$C$383/C104</f>
        <v>3.9935348612574728</v>
      </c>
    </row>
    <row r="105" spans="1:7" ht="16.5" hidden="1" thickBot="1" x14ac:dyDescent="0.3">
      <c r="A105" s="75">
        <v>2002</v>
      </c>
      <c r="B105" s="82" t="s">
        <v>14</v>
      </c>
      <c r="C105" s="77">
        <f t="shared" si="4"/>
        <v>1828.6400000000006</v>
      </c>
      <c r="D105" s="155">
        <v>0.36002809975412831</v>
      </c>
      <c r="E105" s="77">
        <f t="shared" si="7"/>
        <v>0.88213389236750928</v>
      </c>
      <c r="F105" s="154">
        <f t="shared" si="5"/>
        <v>7.5126700610279151</v>
      </c>
      <c r="G105" s="80">
        <f>+$C$383/C105</f>
        <v>3.9792085921778022</v>
      </c>
    </row>
    <row r="106" spans="1:7" ht="16.5" hidden="1" thickBot="1" x14ac:dyDescent="0.3">
      <c r="A106" s="75">
        <v>2002</v>
      </c>
      <c r="B106" s="82" t="s">
        <v>15</v>
      </c>
      <c r="C106" s="77">
        <f t="shared" si="4"/>
        <v>1839.6100000000006</v>
      </c>
      <c r="D106" s="155">
        <v>0.59989937877329425</v>
      </c>
      <c r="E106" s="77">
        <f t="shared" si="7"/>
        <v>1.4873251868810833</v>
      </c>
      <c r="F106" s="154">
        <f t="shared" si="5"/>
        <v>7.7484010027411232</v>
      </c>
      <c r="G106" s="80">
        <f>+$C$383/C106</f>
        <v>3.9554796940655987</v>
      </c>
    </row>
    <row r="107" spans="1:7" ht="16.5" hidden="1" thickBot="1" x14ac:dyDescent="0.3">
      <c r="A107" s="75">
        <v>2002</v>
      </c>
      <c r="B107" s="82" t="s">
        <v>16</v>
      </c>
      <c r="C107" s="77">
        <f t="shared" si="4"/>
        <v>1854.3300000000006</v>
      </c>
      <c r="D107" s="155">
        <v>0.80016960116546798</v>
      </c>
      <c r="E107" s="77">
        <f t="shared" si="7"/>
        <v>2.2993959120624297</v>
      </c>
      <c r="F107" s="154">
        <f t="shared" si="5"/>
        <v>7.9844166734605704</v>
      </c>
      <c r="G107" s="80">
        <f>+$C$383/C107</f>
        <v>3.9240803956145971</v>
      </c>
    </row>
    <row r="108" spans="1:7" ht="16.5" hidden="1" thickBot="1" x14ac:dyDescent="0.3">
      <c r="A108" s="75">
        <v>2002</v>
      </c>
      <c r="B108" s="82" t="s">
        <v>17</v>
      </c>
      <c r="C108" s="77">
        <f t="shared" si="4"/>
        <v>1858.2200000000007</v>
      </c>
      <c r="D108" s="155">
        <v>0.20977927337637592</v>
      </c>
      <c r="E108" s="77">
        <f t="shared" si="7"/>
        <v>2.5139988414751846</v>
      </c>
      <c r="F108" s="154">
        <f t="shared" si="5"/>
        <v>7.7691299455998397</v>
      </c>
      <c r="G108" s="80">
        <f>+$C$383/C108</f>
        <v>3.9158657209587751</v>
      </c>
    </row>
    <row r="109" spans="1:7" ht="16.5" hidden="1" thickBot="1" x14ac:dyDescent="0.3">
      <c r="A109" s="75">
        <v>2002</v>
      </c>
      <c r="B109" s="82" t="s">
        <v>18</v>
      </c>
      <c r="C109" s="77">
        <f t="shared" si="4"/>
        <v>1866.0200000000007</v>
      </c>
      <c r="D109" s="155">
        <v>0.41975654120609551</v>
      </c>
      <c r="E109" s="77">
        <f t="shared" si="7"/>
        <v>2.9443080572642222</v>
      </c>
      <c r="F109" s="154">
        <f t="shared" si="5"/>
        <v>7.6614182768588002</v>
      </c>
      <c r="G109" s="80">
        <f>+$C$383/C109</f>
        <v>3.8994973258593237</v>
      </c>
    </row>
    <row r="110" spans="1:7" ht="16.5" hidden="1" thickBot="1" x14ac:dyDescent="0.3">
      <c r="A110" s="75">
        <v>2002</v>
      </c>
      <c r="B110" s="82" t="s">
        <v>19</v>
      </c>
      <c r="C110" s="77">
        <f t="shared" si="4"/>
        <v>1888.2300000000009</v>
      </c>
      <c r="D110" s="155">
        <v>1.1902337595524282</v>
      </c>
      <c r="E110" s="77">
        <f t="shared" si="7"/>
        <v>4.1695859652994383</v>
      </c>
      <c r="F110" s="154">
        <f t="shared" si="5"/>
        <v>7.5130389231785388</v>
      </c>
      <c r="G110" s="80">
        <f>+$C$383/C110</f>
        <v>3.85363011921218</v>
      </c>
    </row>
    <row r="111" spans="1:7" ht="16.5" hidden="1" thickBot="1" x14ac:dyDescent="0.3">
      <c r="A111" s="75">
        <v>2002</v>
      </c>
      <c r="B111" s="82" t="s">
        <v>20</v>
      </c>
      <c r="C111" s="77">
        <f t="shared" si="4"/>
        <v>1900.5000000000009</v>
      </c>
      <c r="D111" s="155">
        <v>0.649814906023094</v>
      </c>
      <c r="E111" s="77">
        <f t="shared" si="7"/>
        <v>4.8464954624444889</v>
      </c>
      <c r="F111" s="154">
        <f t="shared" si="5"/>
        <v>7.4596990789168816</v>
      </c>
      <c r="G111" s="80">
        <f>+$C$383/C111</f>
        <v>3.828750328860834</v>
      </c>
    </row>
    <row r="112" spans="1:7" ht="16.5" hidden="1" thickBot="1" x14ac:dyDescent="0.3">
      <c r="A112" s="75">
        <v>2002</v>
      </c>
      <c r="B112" s="82" t="s">
        <v>21</v>
      </c>
      <c r="C112" s="77">
        <f>+C111*(1+D112/100)</f>
        <v>1914.180000000001</v>
      </c>
      <c r="D112" s="155">
        <v>0.71981057616417043</v>
      </c>
      <c r="E112" s="77">
        <f>+((C112/$C$103)-1)*100</f>
        <v>5.6011916255206629</v>
      </c>
      <c r="F112" s="154">
        <f t="shared" si="5"/>
        <v>7.9311200324777786</v>
      </c>
      <c r="G112" s="80">
        <f>+$C$383/C112</f>
        <v>3.8013875393118801</v>
      </c>
    </row>
    <row r="113" spans="1:7" ht="16.5" hidden="1" thickBot="1" x14ac:dyDescent="0.3">
      <c r="A113" s="75">
        <v>2002</v>
      </c>
      <c r="B113" s="82" t="s">
        <v>22</v>
      </c>
      <c r="C113" s="77">
        <f>+C112*(1+D113/100)</f>
        <v>1939.2600000000009</v>
      </c>
      <c r="D113" s="155">
        <v>1.3102216092530483</v>
      </c>
      <c r="E113" s="77">
        <f>+((C113/$C$103)-1)*100</f>
        <v>6.9848012578269447</v>
      </c>
      <c r="F113" s="154">
        <f t="shared" si="5"/>
        <v>8.4451751442759182</v>
      </c>
      <c r="G113" s="80">
        <f>+$C$383/C113</f>
        <v>3.7522250755442874</v>
      </c>
    </row>
    <row r="114" spans="1:7" ht="16.5" hidden="1" thickBot="1" x14ac:dyDescent="0.3">
      <c r="A114" s="75">
        <v>2002</v>
      </c>
      <c r="B114" s="82" t="s">
        <v>23</v>
      </c>
      <c r="C114" s="77">
        <f>+C113*(1+D114/100)</f>
        <v>1997.8300000000008</v>
      </c>
      <c r="D114" s="155">
        <v>3.0202242092344456</v>
      </c>
      <c r="E114" s="77">
        <f>+((C114/$C$103)-1)*100</f>
        <v>10.215982125617185</v>
      </c>
      <c r="F114" s="154">
        <f t="shared" si="5"/>
        <v>10.932624074094633</v>
      </c>
      <c r="G114" s="80">
        <f>+$C$383/C114</f>
        <v>3.6422218106645787</v>
      </c>
    </row>
    <row r="115" spans="1:7" ht="16.5" hidden="1" thickBot="1" x14ac:dyDescent="0.3">
      <c r="A115" s="75">
        <v>2002</v>
      </c>
      <c r="B115" s="82" t="s">
        <v>12</v>
      </c>
      <c r="C115" s="77">
        <f>+C114*(1+D115/100)</f>
        <v>2039.7800000000007</v>
      </c>
      <c r="D115" s="155">
        <v>2.0997782594114556</v>
      </c>
      <c r="E115" s="77">
        <f>+((C115/$C$103)-1)*100</f>
        <v>12.530273356687704</v>
      </c>
      <c r="F115" s="154">
        <f t="shared" si="5"/>
        <v>12.530273356687704</v>
      </c>
      <c r="G115" s="80">
        <f>+$C$383/C115</f>
        <v>3.5673160831070096</v>
      </c>
    </row>
    <row r="116" spans="1:7" ht="16.5" hidden="1" thickBot="1" x14ac:dyDescent="0.3">
      <c r="A116" s="75">
        <v>2003</v>
      </c>
      <c r="B116" s="82" t="s">
        <v>13</v>
      </c>
      <c r="C116" s="77">
        <f>+C115*(1+D116/100)</f>
        <v>2085.6800000000007</v>
      </c>
      <c r="D116" s="155">
        <v>2.2502426732294634</v>
      </c>
      <c r="E116" s="77">
        <f t="shared" ref="E116:E127" si="8">+((C116/$C$115)-1)*100</f>
        <v>2.2502426732294634</v>
      </c>
      <c r="F116" s="154">
        <f t="shared" si="5"/>
        <v>14.466982788900594</v>
      </c>
      <c r="G116" s="80">
        <f>+$C$383/C116</f>
        <v>3.4888094050861183</v>
      </c>
    </row>
    <row r="117" spans="1:7" ht="16.5" hidden="1" thickBot="1" x14ac:dyDescent="0.3">
      <c r="A117" s="75">
        <v>2003</v>
      </c>
      <c r="B117" s="82" t="s">
        <v>14</v>
      </c>
      <c r="C117" s="77">
        <f t="shared" ref="C117:C173" si="9">+C116*(1+D117/100)</f>
        <v>2118.4300000000007</v>
      </c>
      <c r="D117" s="155">
        <v>1.5702312914732897</v>
      </c>
      <c r="E117" s="77">
        <f t="shared" si="8"/>
        <v>3.8558079792918809</v>
      </c>
      <c r="F117" s="154">
        <f t="shared" si="5"/>
        <v>15.84729635138682</v>
      </c>
      <c r="G117" s="80">
        <f>+$C$383/C117</f>
        <v>3.4348739396628707</v>
      </c>
    </row>
    <row r="118" spans="1:7" ht="16.5" hidden="1" thickBot="1" x14ac:dyDescent="0.3">
      <c r="A118" s="75">
        <v>2003</v>
      </c>
      <c r="B118" s="82" t="s">
        <v>15</v>
      </c>
      <c r="C118" s="77">
        <f t="shared" si="9"/>
        <v>2144.4900000000007</v>
      </c>
      <c r="D118" s="155">
        <v>1.2301562949920353</v>
      </c>
      <c r="E118" s="77">
        <f t="shared" si="8"/>
        <v>5.1333967388639934</v>
      </c>
      <c r="F118" s="154">
        <f t="shared" si="5"/>
        <v>16.573077989356435</v>
      </c>
      <c r="G118" s="80">
        <f>+$C$383/C118</f>
        <v>3.3931330992450492</v>
      </c>
    </row>
    <row r="119" spans="1:7" ht="16.5" hidden="1" thickBot="1" x14ac:dyDescent="0.3">
      <c r="A119" s="75">
        <v>2003</v>
      </c>
      <c r="B119" s="82" t="s">
        <v>16</v>
      </c>
      <c r="C119" s="77">
        <f t="shared" si="9"/>
        <v>2165.2900000000009</v>
      </c>
      <c r="D119" s="155">
        <v>0.96992758184930583</v>
      </c>
      <c r="E119" s="77">
        <f t="shared" si="8"/>
        <v>6.1531145515693053</v>
      </c>
      <c r="F119" s="154">
        <f t="shared" si="5"/>
        <v>16.769399190003952</v>
      </c>
      <c r="G119" s="80">
        <f>+$C$383/C119</f>
        <v>3.3605383112654725</v>
      </c>
    </row>
    <row r="120" spans="1:7" ht="16.5" hidden="1" thickBot="1" x14ac:dyDescent="0.3">
      <c r="A120" s="75">
        <v>2003</v>
      </c>
      <c r="B120" s="82" t="s">
        <v>17</v>
      </c>
      <c r="C120" s="77">
        <f t="shared" si="9"/>
        <v>2178.5000000000009</v>
      </c>
      <c r="D120" s="155">
        <v>0.61007994310231517</v>
      </c>
      <c r="E120" s="77">
        <f t="shared" si="8"/>
        <v>6.8007334124268404</v>
      </c>
      <c r="F120" s="154">
        <f t="shared" si="5"/>
        <v>17.235849361216648</v>
      </c>
      <c r="G120" s="80">
        <f>+$C$383/C120</f>
        <v>3.3401606610052856</v>
      </c>
    </row>
    <row r="121" spans="1:7" ht="16.5" hidden="1" thickBot="1" x14ac:dyDescent="0.3">
      <c r="A121" s="75">
        <v>2003</v>
      </c>
      <c r="B121" s="82" t="s">
        <v>18</v>
      </c>
      <c r="C121" s="77">
        <f t="shared" si="9"/>
        <v>2175.2300000000009</v>
      </c>
      <c r="D121" s="155">
        <v>-0.15010328207482049</v>
      </c>
      <c r="E121" s="77">
        <f t="shared" si="8"/>
        <v>6.6404220062947994</v>
      </c>
      <c r="F121" s="154">
        <f t="shared" si="5"/>
        <v>16.570561944673699</v>
      </c>
      <c r="G121" s="80">
        <f>+$C$383/C121</f>
        <v>3.3451818888117648</v>
      </c>
    </row>
    <row r="122" spans="1:7" ht="16.5" hidden="1" thickBot="1" x14ac:dyDescent="0.3">
      <c r="A122" s="75">
        <v>2003</v>
      </c>
      <c r="B122" s="82" t="s">
        <v>19</v>
      </c>
      <c r="C122" s="77">
        <f t="shared" si="9"/>
        <v>2179.5800000000008</v>
      </c>
      <c r="D122" s="155">
        <v>0.19997885281095584</v>
      </c>
      <c r="E122" s="77">
        <f t="shared" si="8"/>
        <v>6.8536802988557577</v>
      </c>
      <c r="F122" s="154">
        <f t="shared" si="5"/>
        <v>15.429794039920974</v>
      </c>
      <c r="G122" s="80">
        <f>+$C$383/C122</f>
        <v>3.3385055836445625</v>
      </c>
    </row>
    <row r="123" spans="1:7" ht="16.5" hidden="1" thickBot="1" x14ac:dyDescent="0.3">
      <c r="A123" s="75">
        <v>2003</v>
      </c>
      <c r="B123" s="82" t="s">
        <v>20</v>
      </c>
      <c r="C123" s="77">
        <f t="shared" si="9"/>
        <v>2186.9900000000007</v>
      </c>
      <c r="D123" s="155">
        <v>0.33997375641177108</v>
      </c>
      <c r="E123" s="77">
        <f t="shared" si="8"/>
        <v>7.2169547696320224</v>
      </c>
      <c r="F123" s="154">
        <f t="shared" si="5"/>
        <v>15.074454091028656</v>
      </c>
      <c r="G123" s="80">
        <f>+$C$383/C123</f>
        <v>3.3271939972290756</v>
      </c>
    </row>
    <row r="124" spans="1:7" ht="16.5" hidden="1" thickBot="1" x14ac:dyDescent="0.3">
      <c r="A124" s="75">
        <v>2003</v>
      </c>
      <c r="B124" s="82" t="s">
        <v>21</v>
      </c>
      <c r="C124" s="77">
        <f t="shared" si="9"/>
        <v>2204.0500000000011</v>
      </c>
      <c r="D124" s="155">
        <v>0.78006758147044497</v>
      </c>
      <c r="E124" s="77">
        <f t="shared" si="8"/>
        <v>8.053319475629749</v>
      </c>
      <c r="F124" s="154">
        <f t="shared" si="5"/>
        <v>15.143298958300688</v>
      </c>
      <c r="G124" s="80">
        <f>+$C$383/C124</f>
        <v>3.3014405299335379</v>
      </c>
    </row>
    <row r="125" spans="1:7" ht="16.5" hidden="1" thickBot="1" x14ac:dyDescent="0.3">
      <c r="A125" s="75">
        <v>2003</v>
      </c>
      <c r="B125" s="82" t="s">
        <v>22</v>
      </c>
      <c r="C125" s="77">
        <f t="shared" si="9"/>
        <v>2210.440000000001</v>
      </c>
      <c r="D125" s="155">
        <v>0.28992082756742477</v>
      </c>
      <c r="E125" s="77">
        <f t="shared" si="8"/>
        <v>8.3665885536675653</v>
      </c>
      <c r="F125" s="154">
        <f t="shared" si="5"/>
        <v>13.983684498210657</v>
      </c>
      <c r="G125" s="80">
        <f>+$C$383/C125</f>
        <v>3.2918966359638873</v>
      </c>
    </row>
    <row r="126" spans="1:7" ht="16.5" hidden="1" thickBot="1" x14ac:dyDescent="0.3">
      <c r="A126" s="75">
        <v>2003</v>
      </c>
      <c r="B126" s="82" t="s">
        <v>23</v>
      </c>
      <c r="C126" s="77">
        <f t="shared" si="9"/>
        <v>2217.9600000000009</v>
      </c>
      <c r="D126" s="155">
        <v>0.34020376033729871</v>
      </c>
      <c r="E126" s="77">
        <f t="shared" si="8"/>
        <v>8.7352557628763918</v>
      </c>
      <c r="F126" s="154">
        <f t="shared" si="5"/>
        <v>11.018455023700714</v>
      </c>
      <c r="G126" s="80">
        <f>+$C$383/C126</f>
        <v>3.2807354505942463</v>
      </c>
    </row>
    <row r="127" spans="1:7" ht="16.5" hidden="1" thickBot="1" x14ac:dyDescent="0.3">
      <c r="A127" s="75">
        <v>2003</v>
      </c>
      <c r="B127" s="82" t="s">
        <v>12</v>
      </c>
      <c r="C127" s="77">
        <f t="shared" si="9"/>
        <v>2229.4900000000007</v>
      </c>
      <c r="D127" s="155">
        <v>0.51984706667387304</v>
      </c>
      <c r="E127" s="77">
        <f t="shared" si="8"/>
        <v>9.3005128004000515</v>
      </c>
      <c r="F127" s="154">
        <f t="shared" si="5"/>
        <v>9.3005128004000515</v>
      </c>
      <c r="G127" s="80">
        <f>+$C$383/C127</f>
        <v>3.2637688439957193</v>
      </c>
    </row>
    <row r="128" spans="1:7" ht="16.5" hidden="1" thickBot="1" x14ac:dyDescent="0.3">
      <c r="A128" s="75">
        <v>2004</v>
      </c>
      <c r="B128" s="82" t="s">
        <v>13</v>
      </c>
      <c r="C128" s="77">
        <f t="shared" si="9"/>
        <v>2246.4300000000007</v>
      </c>
      <c r="D128" s="155">
        <v>0.75981502496087483</v>
      </c>
      <c r="E128" s="77">
        <f t="shared" ref="E128:E139" si="10">+((C128/$C$127)-1)*100</f>
        <v>0.75981502496087483</v>
      </c>
      <c r="F128" s="154">
        <f t="shared" si="5"/>
        <v>7.7073184764681058</v>
      </c>
      <c r="G128" s="80">
        <f>+$C$383/C128</f>
        <v>3.2391572405995359</v>
      </c>
    </row>
    <row r="129" spans="1:7" ht="16.5" hidden="1" thickBot="1" x14ac:dyDescent="0.3">
      <c r="A129" s="75">
        <v>2004</v>
      </c>
      <c r="B129" s="82" t="s">
        <v>14</v>
      </c>
      <c r="C129" s="77">
        <f t="shared" si="9"/>
        <v>2260.130000000001</v>
      </c>
      <c r="D129" s="155">
        <v>0.60985652791318845</v>
      </c>
      <c r="E129" s="77">
        <f t="shared" si="10"/>
        <v>1.3743053344038358</v>
      </c>
      <c r="F129" s="154">
        <f t="shared" si="5"/>
        <v>6.6889158480573085</v>
      </c>
      <c r="G129" s="80">
        <f>+$C$383/C129</f>
        <v>3.2195227708140748</v>
      </c>
    </row>
    <row r="130" spans="1:7" ht="16.5" hidden="1" thickBot="1" x14ac:dyDescent="0.3">
      <c r="A130" s="75">
        <v>2004</v>
      </c>
      <c r="B130" s="82" t="s">
        <v>15</v>
      </c>
      <c r="C130" s="77">
        <f t="shared" si="9"/>
        <v>2270.7500000000009</v>
      </c>
      <c r="D130" s="155">
        <v>0.46988447567175573</v>
      </c>
      <c r="E130" s="77">
        <f t="shared" si="10"/>
        <v>1.8506474574902843</v>
      </c>
      <c r="F130" s="154">
        <f t="shared" si="5"/>
        <v>5.8876469463602144</v>
      </c>
      <c r="G130" s="80">
        <f>+$C$383/C130</f>
        <v>3.2044654849719323</v>
      </c>
    </row>
    <row r="131" spans="1:7" ht="16.5" hidden="1" thickBot="1" x14ac:dyDescent="0.3">
      <c r="A131" s="75">
        <v>2004</v>
      </c>
      <c r="B131" s="82" t="s">
        <v>16</v>
      </c>
      <c r="C131" s="77">
        <f t="shared" si="9"/>
        <v>2279.150000000001</v>
      </c>
      <c r="D131" s="155">
        <v>0.36992183199384687</v>
      </c>
      <c r="E131" s="77">
        <f t="shared" si="10"/>
        <v>2.2274152384626156</v>
      </c>
      <c r="F131" s="154">
        <f t="shared" si="5"/>
        <v>5.2584180410014447</v>
      </c>
      <c r="G131" s="80">
        <f>+$C$383/C131</f>
        <v>3.1926551565276595</v>
      </c>
    </row>
    <row r="132" spans="1:7" ht="16.5" hidden="1" thickBot="1" x14ac:dyDescent="0.3">
      <c r="A132" s="75">
        <v>2004</v>
      </c>
      <c r="B132" s="82" t="s">
        <v>17</v>
      </c>
      <c r="C132" s="77">
        <f t="shared" si="9"/>
        <v>2290.7700000000009</v>
      </c>
      <c r="D132" s="155">
        <v>0.50983919443652326</v>
      </c>
      <c r="E132" s="77">
        <f t="shared" si="10"/>
        <v>2.7486106688076717</v>
      </c>
      <c r="F132" s="154">
        <f t="shared" si="5"/>
        <v>5.153546017902233</v>
      </c>
      <c r="G132" s="80">
        <f>+$C$383/C132</f>
        <v>3.1764603168367036</v>
      </c>
    </row>
    <row r="133" spans="1:7" ht="16.5" hidden="1" thickBot="1" x14ac:dyDescent="0.3">
      <c r="A133" s="75">
        <v>2004</v>
      </c>
      <c r="B133" s="82" t="s">
        <v>18</v>
      </c>
      <c r="C133" s="77">
        <f t="shared" si="9"/>
        <v>2307.0300000000016</v>
      </c>
      <c r="D133" s="155">
        <v>0.70980500006549985</v>
      </c>
      <c r="E133" s="77">
        <f t="shared" si="10"/>
        <v>3.477925444832719</v>
      </c>
      <c r="F133" s="154">
        <f t="shared" si="5"/>
        <v>6.0591293794219681</v>
      </c>
      <c r="G133" s="80">
        <f>+$C$383/C133</f>
        <v>3.154072552155808</v>
      </c>
    </row>
    <row r="134" spans="1:7" ht="16.5" hidden="1" thickBot="1" x14ac:dyDescent="0.3">
      <c r="A134" s="75">
        <v>2004</v>
      </c>
      <c r="B134" s="82" t="s">
        <v>19</v>
      </c>
      <c r="C134" s="77">
        <f t="shared" si="9"/>
        <v>2328.0200000000013</v>
      </c>
      <c r="D134" s="155">
        <v>0.90982778724160163</v>
      </c>
      <c r="E134" s="77">
        <f t="shared" si="10"/>
        <v>4.4193963641909306</v>
      </c>
      <c r="F134" s="154">
        <f t="shared" si="5"/>
        <v>6.8104864239899587</v>
      </c>
      <c r="G134" s="80">
        <f>+$C$383/C134</f>
        <v>3.1256346594960585</v>
      </c>
    </row>
    <row r="135" spans="1:7" ht="16.5" hidden="1" thickBot="1" x14ac:dyDescent="0.3">
      <c r="A135" s="75">
        <v>2004</v>
      </c>
      <c r="B135" s="82" t="s">
        <v>20</v>
      </c>
      <c r="C135" s="77">
        <f t="shared" si="9"/>
        <v>2344.0800000000008</v>
      </c>
      <c r="D135" s="155">
        <v>0.68985661635208029</v>
      </c>
      <c r="E135" s="77">
        <f t="shared" si="10"/>
        <v>5.1397404787641987</v>
      </c>
      <c r="F135" s="154">
        <f t="shared" si="5"/>
        <v>7.1829317920978131</v>
      </c>
      <c r="G135" s="80">
        <f>+$C$383/C135</f>
        <v>3.1042199924917306</v>
      </c>
    </row>
    <row r="136" spans="1:7" ht="16.5" hidden="1" thickBot="1" x14ac:dyDescent="0.3">
      <c r="A136" s="75">
        <v>2004</v>
      </c>
      <c r="B136" s="82" t="s">
        <v>21</v>
      </c>
      <c r="C136" s="77">
        <f t="shared" si="9"/>
        <v>2351.8200000000011</v>
      </c>
      <c r="D136" s="155">
        <v>0.33019350875398423</v>
      </c>
      <c r="E136" s="77">
        <f t="shared" si="10"/>
        <v>5.4869050769458694</v>
      </c>
      <c r="F136" s="154">
        <f t="shared" si="5"/>
        <v>6.7044758512737834</v>
      </c>
      <c r="G136" s="80">
        <f>+$C$383/C136</f>
        <v>3.0940037928072788</v>
      </c>
    </row>
    <row r="137" spans="1:7" ht="16.5" hidden="1" thickBot="1" x14ac:dyDescent="0.3">
      <c r="A137" s="75">
        <v>2004</v>
      </c>
      <c r="B137" s="82" t="s">
        <v>22</v>
      </c>
      <c r="C137" s="77">
        <f t="shared" si="9"/>
        <v>2362.170000000001</v>
      </c>
      <c r="D137" s="155">
        <v>0.44008470035972191</v>
      </c>
      <c r="E137" s="77">
        <f t="shared" si="10"/>
        <v>5.9511368070724879</v>
      </c>
      <c r="F137" s="154">
        <f t="shared" si="5"/>
        <v>6.8642442228696421</v>
      </c>
      <c r="G137" s="80">
        <f>+$C$383/C137</f>
        <v>3.0804472159074137</v>
      </c>
    </row>
    <row r="138" spans="1:7" ht="16.5" hidden="1" thickBot="1" x14ac:dyDescent="0.3">
      <c r="A138" s="75">
        <v>2004</v>
      </c>
      <c r="B138" s="82" t="s">
        <v>23</v>
      </c>
      <c r="C138" s="77">
        <f t="shared" si="9"/>
        <v>2378.4700000000007</v>
      </c>
      <c r="D138" s="155">
        <v>0.69004347697243507</v>
      </c>
      <c r="E138" s="77">
        <f t="shared" si="10"/>
        <v>6.6822457153878245</v>
      </c>
      <c r="F138" s="154">
        <f t="shared" si="5"/>
        <v>7.2368302404010709</v>
      </c>
      <c r="G138" s="80">
        <f>+$C$383/C138</f>
        <v>3.0593364641975791</v>
      </c>
    </row>
    <row r="139" spans="1:7" ht="16.5" hidden="1" thickBot="1" x14ac:dyDescent="0.3">
      <c r="A139" s="75">
        <v>2004</v>
      </c>
      <c r="B139" s="82" t="s">
        <v>12</v>
      </c>
      <c r="C139" s="77">
        <f>+C138*(1+D139/100)</f>
        <v>2398.9200000000014</v>
      </c>
      <c r="D139" s="155">
        <v>0.8597964237514244</v>
      </c>
      <c r="E139" s="77">
        <f t="shared" si="10"/>
        <v>7.599495848826443</v>
      </c>
      <c r="F139" s="154">
        <f t="shared" si="5"/>
        <v>7.599495848826443</v>
      </c>
      <c r="G139" s="80">
        <f>+$C$383/C139</f>
        <v>3.0332566321511405</v>
      </c>
    </row>
    <row r="140" spans="1:7" ht="16.5" hidden="1" thickBot="1" x14ac:dyDescent="0.3">
      <c r="A140" s="75">
        <v>2005</v>
      </c>
      <c r="B140" s="82" t="s">
        <v>13</v>
      </c>
      <c r="C140" s="77">
        <f t="shared" si="9"/>
        <v>2412.8300000000013</v>
      </c>
      <c r="D140" s="155">
        <v>0.57984426325179417</v>
      </c>
      <c r="E140" s="77">
        <f t="shared" ref="E140:E151" si="11">+((C140/$C$139)-1)*100</f>
        <v>0.57984426325179417</v>
      </c>
      <c r="F140" s="154">
        <f t="shared" si="5"/>
        <v>7.4073084850184712</v>
      </c>
      <c r="G140" s="80">
        <f>+$C$383/C140</f>
        <v>3.0157698636041554</v>
      </c>
    </row>
    <row r="141" spans="1:7" ht="16.5" hidden="1" thickBot="1" x14ac:dyDescent="0.3">
      <c r="A141" s="75">
        <v>2005</v>
      </c>
      <c r="B141" s="82" t="s">
        <v>14</v>
      </c>
      <c r="C141" s="77">
        <f t="shared" si="9"/>
        <v>2427.0700000000015</v>
      </c>
      <c r="D141" s="155">
        <v>0.59017833829984045</v>
      </c>
      <c r="E141" s="77">
        <f t="shared" si="11"/>
        <v>1.1734447167892181</v>
      </c>
      <c r="F141" s="154">
        <f t="shared" si="5"/>
        <v>7.3863007880077935</v>
      </c>
      <c r="G141" s="80">
        <f>+$C$383/C141</f>
        <v>2.9980758692579998</v>
      </c>
    </row>
    <row r="142" spans="1:7" ht="16.5" hidden="1" thickBot="1" x14ac:dyDescent="0.3">
      <c r="A142" s="75">
        <v>2005</v>
      </c>
      <c r="B142" s="82" t="s">
        <v>15</v>
      </c>
      <c r="C142" s="77">
        <f t="shared" si="9"/>
        <v>2441.8700000000013</v>
      </c>
      <c r="D142" s="155">
        <v>0.60978875763779694</v>
      </c>
      <c r="E142" s="77">
        <f t="shared" si="11"/>
        <v>1.7903890083871055</v>
      </c>
      <c r="F142" s="154">
        <f t="shared" si="5"/>
        <v>7.5358361774744198</v>
      </c>
      <c r="G142" s="80">
        <f>+$C$383/C142</f>
        <v>2.9799047451338581</v>
      </c>
    </row>
    <row r="143" spans="1:7" ht="16.5" hidden="1" thickBot="1" x14ac:dyDescent="0.3">
      <c r="A143" s="75">
        <v>2005</v>
      </c>
      <c r="B143" s="82" t="s">
        <v>16</v>
      </c>
      <c r="C143" s="77">
        <f t="shared" si="9"/>
        <v>2463.110000000001</v>
      </c>
      <c r="D143" s="155">
        <v>0.86982517496836387</v>
      </c>
      <c r="E143" s="77">
        <f t="shared" si="11"/>
        <v>2.6757874376802659</v>
      </c>
      <c r="F143" s="154">
        <f t="shared" si="5"/>
        <v>8.0714301384287914</v>
      </c>
      <c r="G143" s="80">
        <f>+$C$383/C143</f>
        <v>2.9542082976399815</v>
      </c>
    </row>
    <row r="144" spans="1:7" ht="16.5" hidden="1" thickBot="1" x14ac:dyDescent="0.3">
      <c r="A144" s="75">
        <v>2005</v>
      </c>
      <c r="B144" s="82" t="s">
        <v>17</v>
      </c>
      <c r="C144" s="77">
        <f t="shared" si="9"/>
        <v>2475.1800000000007</v>
      </c>
      <c r="D144" s="155">
        <v>0.49003089589989557</v>
      </c>
      <c r="E144" s="77">
        <f t="shared" si="11"/>
        <v>3.1789305187333916</v>
      </c>
      <c r="F144" s="154">
        <f t="shared" si="5"/>
        <v>8.0501316151337718</v>
      </c>
      <c r="G144" s="80">
        <f>+$C$383/C144</f>
        <v>2.9398023578083277</v>
      </c>
    </row>
    <row r="145" spans="1:7" ht="16.5" hidden="1" thickBot="1" x14ac:dyDescent="0.3">
      <c r="A145" s="75">
        <v>2005</v>
      </c>
      <c r="B145" s="82" t="s">
        <v>18</v>
      </c>
      <c r="C145" s="77">
        <f t="shared" si="9"/>
        <v>2474.6800000000007</v>
      </c>
      <c r="D145" s="155">
        <v>-2.0200551071036799E-2</v>
      </c>
      <c r="E145" s="77">
        <f t="shared" si="11"/>
        <v>3.1580878061794104</v>
      </c>
      <c r="F145" s="154">
        <f t="shared" si="5"/>
        <v>7.2669189390688116</v>
      </c>
      <c r="G145" s="80">
        <f>+$C$383/C145</f>
        <v>2.9403963340714823</v>
      </c>
    </row>
    <row r="146" spans="1:7" ht="16.5" hidden="1" thickBot="1" x14ac:dyDescent="0.3">
      <c r="A146" s="75">
        <v>2005</v>
      </c>
      <c r="B146" s="82" t="s">
        <v>19</v>
      </c>
      <c r="C146" s="77">
        <f t="shared" si="9"/>
        <v>2480.8700000000008</v>
      </c>
      <c r="D146" s="155">
        <v>0.25013335057462172</v>
      </c>
      <c r="E146" s="77">
        <f t="shared" si="11"/>
        <v>3.4161205875977263</v>
      </c>
      <c r="F146" s="154">
        <f t="shared" si="5"/>
        <v>6.5656652434257223</v>
      </c>
      <c r="G146" s="80">
        <f>+$C$383/C146</f>
        <v>2.9330597733859558</v>
      </c>
    </row>
    <row r="147" spans="1:7" ht="16.5" hidden="1" thickBot="1" x14ac:dyDescent="0.3">
      <c r="A147" s="75">
        <v>2005</v>
      </c>
      <c r="B147" s="82" t="s">
        <v>20</v>
      </c>
      <c r="C147" s="77">
        <f t="shared" si="9"/>
        <v>2485.0900000000011</v>
      </c>
      <c r="D147" s="155">
        <v>0.17010161757771147</v>
      </c>
      <c r="E147" s="77">
        <f t="shared" si="11"/>
        <v>3.5920330815533585</v>
      </c>
      <c r="F147" s="154">
        <f t="shared" ref="F147:F210" si="12">100*((C147/C135)-1)</f>
        <v>6.0155796730487099</v>
      </c>
      <c r="G147" s="80">
        <f>+$C$383/C147</f>
        <v>2.9280790635349283</v>
      </c>
    </row>
    <row r="148" spans="1:7" ht="16.5" hidden="1" thickBot="1" x14ac:dyDescent="0.3">
      <c r="A148" s="85">
        <v>2005</v>
      </c>
      <c r="B148" s="82" t="s">
        <v>36</v>
      </c>
      <c r="C148" s="77">
        <f t="shared" si="9"/>
        <v>2493.7900000000009</v>
      </c>
      <c r="D148" s="155">
        <v>0.350087924381004</v>
      </c>
      <c r="E148" s="77">
        <f t="shared" si="11"/>
        <v>3.9546962799926311</v>
      </c>
      <c r="F148" s="154">
        <f t="shared" si="12"/>
        <v>6.0366014405864199</v>
      </c>
      <c r="G148" s="80">
        <f>+$C$383/C148</f>
        <v>2.9178639741116998</v>
      </c>
    </row>
    <row r="149" spans="1:7" ht="16.5" hidden="1" thickBot="1" x14ac:dyDescent="0.3">
      <c r="A149" s="85">
        <v>2005</v>
      </c>
      <c r="B149" s="82" t="s">
        <v>35</v>
      </c>
      <c r="C149" s="77">
        <f t="shared" si="9"/>
        <v>2512.4900000000007</v>
      </c>
      <c r="D149" s="155">
        <v>0.74986265884455783</v>
      </c>
      <c r="E149" s="77">
        <f t="shared" si="11"/>
        <v>4.7342137295115716</v>
      </c>
      <c r="F149" s="154">
        <f t="shared" si="12"/>
        <v>6.363640212177768</v>
      </c>
      <c r="G149" s="80">
        <f>+$C$383/C149</f>
        <v>2.8961468503357293</v>
      </c>
    </row>
    <row r="150" spans="1:7" ht="16.5" hidden="1" thickBot="1" x14ac:dyDescent="0.3">
      <c r="A150" s="85">
        <v>2005</v>
      </c>
      <c r="B150" s="82" t="s">
        <v>25</v>
      </c>
      <c r="C150" s="77">
        <f t="shared" si="9"/>
        <v>2526.3100000000009</v>
      </c>
      <c r="D150" s="155">
        <v>0.5500519405052362</v>
      </c>
      <c r="E150" s="77">
        <f t="shared" si="11"/>
        <v>5.3103063045036647</v>
      </c>
      <c r="F150" s="154">
        <f t="shared" si="12"/>
        <v>6.2157605519514769</v>
      </c>
      <c r="G150" s="80">
        <f>+$C$383/C150</f>
        <v>2.8803036840292822</v>
      </c>
    </row>
    <row r="151" spans="1:7" ht="16.5" hidden="1" thickBot="1" x14ac:dyDescent="0.3">
      <c r="A151" s="85">
        <v>2005</v>
      </c>
      <c r="B151" s="82" t="s">
        <v>26</v>
      </c>
      <c r="C151" s="77">
        <f t="shared" si="9"/>
        <v>2535.400000000001</v>
      </c>
      <c r="D151" s="155">
        <v>0.35981332457220017</v>
      </c>
      <c r="E151" s="77">
        <f t="shared" si="11"/>
        <v>5.6892268187350714</v>
      </c>
      <c r="F151" s="154">
        <f t="shared" si="12"/>
        <v>5.6892268187350714</v>
      </c>
      <c r="G151" s="80">
        <f>+$C$383/C151</f>
        <v>2.8699771239252247</v>
      </c>
    </row>
    <row r="152" spans="1:7" ht="16.5" hidden="1" thickBot="1" x14ac:dyDescent="0.3">
      <c r="A152" s="85">
        <v>2006</v>
      </c>
      <c r="B152" s="82" t="s">
        <v>27</v>
      </c>
      <c r="C152" s="77">
        <f t="shared" si="9"/>
        <v>2550.360000000001</v>
      </c>
      <c r="D152" s="155">
        <v>0.5900449633194027</v>
      </c>
      <c r="E152" s="77">
        <f t="shared" ref="E152:E163" si="13">+((C152/$C$151)-1)*100</f>
        <v>0.5900449633194027</v>
      </c>
      <c r="F152" s="154">
        <f t="shared" si="12"/>
        <v>5.6999457069084825</v>
      </c>
      <c r="G152" s="80">
        <f>+$C$383/C152</f>
        <v>2.8531423014790129</v>
      </c>
    </row>
    <row r="153" spans="1:7" ht="16.5" hidden="1" thickBot="1" x14ac:dyDescent="0.3">
      <c r="A153" s="75">
        <v>2006</v>
      </c>
      <c r="B153" s="82" t="s">
        <v>28</v>
      </c>
      <c r="C153" s="77">
        <f t="shared" si="9"/>
        <v>2560.8200000000015</v>
      </c>
      <c r="D153" s="155">
        <v>0.41013817657116203</v>
      </c>
      <c r="E153" s="77">
        <f t="shared" si="13"/>
        <v>1.0026031395440782</v>
      </c>
      <c r="F153" s="154">
        <f t="shared" si="12"/>
        <v>5.5107598874362784</v>
      </c>
      <c r="G153" s="80">
        <f>+$C$383/C153</f>
        <v>2.8414882732874682</v>
      </c>
    </row>
    <row r="154" spans="1:7" ht="16.5" hidden="1" thickBot="1" x14ac:dyDescent="0.3">
      <c r="A154" s="75">
        <v>2006</v>
      </c>
      <c r="B154" s="82" t="s">
        <v>29</v>
      </c>
      <c r="C154" s="77">
        <f t="shared" si="9"/>
        <v>2571.8300000000017</v>
      </c>
      <c r="D154" s="155">
        <v>0.42994040971251479</v>
      </c>
      <c r="E154" s="77">
        <f t="shared" si="13"/>
        <v>1.4368541453025463</v>
      </c>
      <c r="F154" s="154">
        <f t="shared" si="12"/>
        <v>5.3221506468403401</v>
      </c>
      <c r="G154" s="80">
        <f>+$C$383/C154</f>
        <v>2.8293238666630427</v>
      </c>
    </row>
    <row r="155" spans="1:7" ht="16.5" hidden="1" thickBot="1" x14ac:dyDescent="0.3">
      <c r="A155" s="75">
        <v>2006</v>
      </c>
      <c r="B155" s="82" t="s">
        <v>30</v>
      </c>
      <c r="C155" s="77">
        <f t="shared" si="9"/>
        <v>2577.2300000000023</v>
      </c>
      <c r="D155" s="155">
        <v>0.20996722178372451</v>
      </c>
      <c r="E155" s="77">
        <f t="shared" si="13"/>
        <v>1.6498382898162633</v>
      </c>
      <c r="F155" s="154">
        <f t="shared" si="12"/>
        <v>4.6331670124355462</v>
      </c>
      <c r="G155" s="80">
        <f>+$C$383/C155</f>
        <v>2.8233956612331892</v>
      </c>
    </row>
    <row r="156" spans="1:7" ht="16.5" hidden="1" thickBot="1" x14ac:dyDescent="0.3">
      <c r="A156" s="75">
        <v>2006</v>
      </c>
      <c r="B156" s="82" t="s">
        <v>31</v>
      </c>
      <c r="C156" s="77">
        <f t="shared" si="9"/>
        <v>2579.8100000000022</v>
      </c>
      <c r="D156" s="155">
        <v>0.1001074797359891</v>
      </c>
      <c r="E156" s="77">
        <f t="shared" si="13"/>
        <v>1.7515973810839025</v>
      </c>
      <c r="F156" s="154">
        <f t="shared" si="12"/>
        <v>4.2271673171244695</v>
      </c>
      <c r="G156" s="80">
        <f>+$C$383/C156</f>
        <v>2.8205720576321558</v>
      </c>
    </row>
    <row r="157" spans="1:7" ht="16.5" hidden="1" thickBot="1" x14ac:dyDescent="0.3">
      <c r="A157" s="75">
        <v>2006</v>
      </c>
      <c r="B157" s="82" t="s">
        <v>32</v>
      </c>
      <c r="C157" s="77">
        <f t="shared" si="9"/>
        <v>2574.3900000000021</v>
      </c>
      <c r="D157" s="155">
        <v>-0.21009299134432391</v>
      </c>
      <c r="E157" s="77">
        <f t="shared" si="13"/>
        <v>1.5378244064053526</v>
      </c>
      <c r="F157" s="154">
        <f t="shared" si="12"/>
        <v>4.0292078167682766</v>
      </c>
      <c r="G157" s="80">
        <f>+$C$383/C157</f>
        <v>2.8265103577935013</v>
      </c>
    </row>
    <row r="158" spans="1:7" ht="16.5" hidden="1" thickBot="1" x14ac:dyDescent="0.3">
      <c r="A158" s="75">
        <v>2006</v>
      </c>
      <c r="B158" s="82" t="s">
        <v>33</v>
      </c>
      <c r="C158" s="77">
        <f t="shared" si="9"/>
        <v>2579.2800000000025</v>
      </c>
      <c r="D158" s="155">
        <v>0.18994790999034006</v>
      </c>
      <c r="E158" s="77">
        <f t="shared" si="13"/>
        <v>1.730693381714965</v>
      </c>
      <c r="F158" s="154">
        <f t="shared" si="12"/>
        <v>3.9667535985360658</v>
      </c>
      <c r="G158" s="80">
        <f>+$C$383/C158</f>
        <v>2.8211516392171503</v>
      </c>
    </row>
    <row r="159" spans="1:7" ht="16.5" hidden="1" thickBot="1" x14ac:dyDescent="0.3">
      <c r="A159" s="75">
        <v>2006</v>
      </c>
      <c r="B159" s="82" t="s">
        <v>34</v>
      </c>
      <c r="C159" s="77">
        <f t="shared" si="9"/>
        <v>2580.570000000002</v>
      </c>
      <c r="D159" s="155">
        <v>5.0013957383443497E-2</v>
      </c>
      <c r="E159" s="77">
        <f t="shared" si="13"/>
        <v>1.7815729273487735</v>
      </c>
      <c r="F159" s="154">
        <f t="shared" si="12"/>
        <v>3.8421143701033333</v>
      </c>
      <c r="G159" s="80">
        <f>+$C$383/C159</f>
        <v>2.8197413749675508</v>
      </c>
    </row>
    <row r="160" spans="1:7" ht="16.5" hidden="1" thickBot="1" x14ac:dyDescent="0.3">
      <c r="A160" s="75">
        <v>2006</v>
      </c>
      <c r="B160" s="82" t="s">
        <v>21</v>
      </c>
      <c r="C160" s="77">
        <f t="shared" si="9"/>
        <v>2585.9900000000016</v>
      </c>
      <c r="D160" s="155">
        <v>0.21003111715627298</v>
      </c>
      <c r="E160" s="77">
        <f t="shared" si="13"/>
        <v>1.9953459020273234</v>
      </c>
      <c r="F160" s="154">
        <f t="shared" si="12"/>
        <v>3.6971838045705807</v>
      </c>
      <c r="G160" s="80">
        <f>+$C$383/C160</f>
        <v>2.8138314533312245</v>
      </c>
    </row>
    <row r="161" spans="1:7" ht="16.5" hidden="1" thickBot="1" x14ac:dyDescent="0.3">
      <c r="A161" s="75">
        <v>2006</v>
      </c>
      <c r="B161" s="82" t="s">
        <v>22</v>
      </c>
      <c r="C161" s="77">
        <f t="shared" si="9"/>
        <v>2594.5200000000018</v>
      </c>
      <c r="D161" s="155">
        <v>0.32985433044985246</v>
      </c>
      <c r="E161" s="77">
        <f t="shared" si="13"/>
        <v>2.3317819673424722</v>
      </c>
      <c r="F161" s="154">
        <f t="shared" si="12"/>
        <v>3.2648886164721391</v>
      </c>
      <c r="G161" s="80">
        <f>+$C$383/C161</f>
        <v>2.8045804233538432</v>
      </c>
    </row>
    <row r="162" spans="1:7" ht="16.5" hidden="1" thickBot="1" x14ac:dyDescent="0.3">
      <c r="A162" s="86">
        <v>2006</v>
      </c>
      <c r="B162" s="82" t="s">
        <v>23</v>
      </c>
      <c r="C162" s="77">
        <f t="shared" si="9"/>
        <v>2602.5600000000018</v>
      </c>
      <c r="D162" s="155">
        <v>0.3098839091623784</v>
      </c>
      <c r="E162" s="77">
        <f t="shared" si="13"/>
        <v>2.6488916936183937</v>
      </c>
      <c r="F162" s="154">
        <f t="shared" si="12"/>
        <v>3.018236083457726</v>
      </c>
      <c r="G162" s="80">
        <f>+$C$383/C162</f>
        <v>2.7959163285380599</v>
      </c>
    </row>
    <row r="163" spans="1:7" ht="16.5" hidden="1" thickBot="1" x14ac:dyDescent="0.3">
      <c r="A163" s="86">
        <v>2006</v>
      </c>
      <c r="B163" s="82" t="s">
        <v>12</v>
      </c>
      <c r="C163" s="77">
        <f t="shared" si="9"/>
        <v>2615.050000000002</v>
      </c>
      <c r="D163" s="155">
        <v>0.47991208656092965</v>
      </c>
      <c r="E163" s="77">
        <f t="shared" si="13"/>
        <v>3.1415161315769158</v>
      </c>
      <c r="F163" s="154">
        <f t="shared" si="12"/>
        <v>3.1415161315769158</v>
      </c>
      <c r="G163" s="80">
        <f>+$C$383/C163</f>
        <v>2.7825624749048825</v>
      </c>
    </row>
    <row r="164" spans="1:7" ht="16.5" hidden="1" thickBot="1" x14ac:dyDescent="0.3">
      <c r="A164" s="75">
        <v>2007</v>
      </c>
      <c r="B164" s="82" t="s">
        <v>27</v>
      </c>
      <c r="C164" s="77">
        <f t="shared" si="9"/>
        <v>2626.5600000000013</v>
      </c>
      <c r="D164" s="155">
        <v>0.44014454790537449</v>
      </c>
      <c r="E164" s="77">
        <f t="shared" ref="E164:E175" si="14">+((C164/$C$163)-1)*100</f>
        <v>0.44014454790537449</v>
      </c>
      <c r="F164" s="154">
        <f t="shared" si="12"/>
        <v>2.9878134851550442</v>
      </c>
      <c r="G164" s="80">
        <f>+$C$383/C164</f>
        <v>2.7703688474658925</v>
      </c>
    </row>
    <row r="165" spans="1:7" ht="16.5" hidden="1" thickBot="1" x14ac:dyDescent="0.3">
      <c r="A165" s="75">
        <v>2007</v>
      </c>
      <c r="B165" s="82" t="s">
        <v>28</v>
      </c>
      <c r="C165" s="77">
        <f t="shared" si="9"/>
        <v>2638.1200000000013</v>
      </c>
      <c r="D165" s="155">
        <v>0.44011939571149128</v>
      </c>
      <c r="E165" s="77">
        <f t="shared" si="14"/>
        <v>0.88220110514136696</v>
      </c>
      <c r="F165" s="154">
        <f t="shared" si="12"/>
        <v>3.0185643661014616</v>
      </c>
      <c r="G165" s="80">
        <f>+$C$383/C165</f>
        <v>2.7582293451397262</v>
      </c>
    </row>
    <row r="166" spans="1:7" ht="16.5" hidden="1" thickBot="1" x14ac:dyDescent="0.3">
      <c r="A166" s="75">
        <v>2007</v>
      </c>
      <c r="B166" s="82" t="s">
        <v>29</v>
      </c>
      <c r="C166" s="77">
        <f t="shared" si="9"/>
        <v>2647.8800000000015</v>
      </c>
      <c r="D166" s="155">
        <v>0.36996042636423532</v>
      </c>
      <c r="E166" s="77">
        <f t="shared" si="14"/>
        <v>1.2554253264755788</v>
      </c>
      <c r="F166" s="154">
        <f t="shared" si="12"/>
        <v>2.957038373453913</v>
      </c>
      <c r="G166" s="80">
        <f>+$C$383/C166</f>
        <v>2.7480626010242211</v>
      </c>
    </row>
    <row r="167" spans="1:7" ht="16.5" hidden="1" thickBot="1" x14ac:dyDescent="0.3">
      <c r="A167" s="75">
        <v>2007</v>
      </c>
      <c r="B167" s="82" t="s">
        <v>30</v>
      </c>
      <c r="C167" s="77">
        <f t="shared" si="9"/>
        <v>2654.5000000000014</v>
      </c>
      <c r="D167" s="155">
        <v>0.25001132981856689</v>
      </c>
      <c r="E167" s="77">
        <f t="shared" si="14"/>
        <v>1.5085753618477415</v>
      </c>
      <c r="F167" s="154">
        <f t="shared" si="12"/>
        <v>2.998180216744295</v>
      </c>
      <c r="G167" s="80">
        <f>+$C$383/C167</f>
        <v>2.7412092672819792</v>
      </c>
    </row>
    <row r="168" spans="1:7" ht="16.5" hidden="1" thickBot="1" x14ac:dyDescent="0.3">
      <c r="A168" s="75">
        <v>2007</v>
      </c>
      <c r="B168" s="82" t="s">
        <v>31</v>
      </c>
      <c r="C168" s="77">
        <f t="shared" si="9"/>
        <v>2661.9300000000012</v>
      </c>
      <c r="D168" s="155">
        <v>0.2799020531173424</v>
      </c>
      <c r="E168" s="77">
        <f t="shared" si="14"/>
        <v>1.79269994837572</v>
      </c>
      <c r="F168" s="154">
        <f t="shared" si="12"/>
        <v>3.1831801566781559</v>
      </c>
      <c r="G168" s="80">
        <f>+$C$383/C168</f>
        <v>2.7335579823661833</v>
      </c>
    </row>
    <row r="169" spans="1:7" ht="16.5" hidden="1" thickBot="1" x14ac:dyDescent="0.3">
      <c r="A169" s="75">
        <v>2007</v>
      </c>
      <c r="B169" s="82" t="s">
        <v>32</v>
      </c>
      <c r="C169" s="77">
        <f t="shared" si="9"/>
        <v>2669.380000000001</v>
      </c>
      <c r="D169" s="155">
        <v>0.27987212285822682</v>
      </c>
      <c r="E169" s="77">
        <f t="shared" si="14"/>
        <v>2.0775893386359323</v>
      </c>
      <c r="F169" s="154">
        <f t="shared" si="12"/>
        <v>3.6898061288304751</v>
      </c>
      <c r="G169" s="80">
        <f>+$C$383/C169</f>
        <v>2.7259288673774491</v>
      </c>
    </row>
    <row r="170" spans="1:7" ht="16.5" hidden="1" thickBot="1" x14ac:dyDescent="0.3">
      <c r="A170" s="75">
        <v>2007</v>
      </c>
      <c r="B170" s="82" t="s">
        <v>33</v>
      </c>
      <c r="C170" s="77">
        <f t="shared" si="9"/>
        <v>2675.7900000000009</v>
      </c>
      <c r="D170" s="155">
        <v>0.24013066704626773</v>
      </c>
      <c r="E170" s="77">
        <f t="shared" si="14"/>
        <v>2.3227089348195618</v>
      </c>
      <c r="F170" s="154">
        <f t="shared" si="12"/>
        <v>3.7417418814552184</v>
      </c>
      <c r="G170" s="80">
        <f>+$C$383/C170</f>
        <v>2.7193987570026108</v>
      </c>
    </row>
    <row r="171" spans="1:7" ht="16.5" hidden="1" thickBot="1" x14ac:dyDescent="0.3">
      <c r="A171" s="75">
        <v>2007</v>
      </c>
      <c r="B171" s="82" t="s">
        <v>34</v>
      </c>
      <c r="C171" s="77">
        <f t="shared" si="9"/>
        <v>2688.3700000000008</v>
      </c>
      <c r="D171" s="155">
        <v>0.4701415282963195</v>
      </c>
      <c r="E171" s="77">
        <f t="shared" si="14"/>
        <v>2.8037704823999032</v>
      </c>
      <c r="F171" s="154">
        <f t="shared" si="12"/>
        <v>4.177371665949714</v>
      </c>
      <c r="G171" s="80">
        <f>+$C$383/C171</f>
        <v>2.7066735605590062</v>
      </c>
    </row>
    <row r="172" spans="1:7" ht="16.5" hidden="1" thickBot="1" x14ac:dyDescent="0.3">
      <c r="A172" s="75">
        <v>2007</v>
      </c>
      <c r="B172" s="82" t="s">
        <v>36</v>
      </c>
      <c r="C172" s="77">
        <f t="shared" si="9"/>
        <v>2693.2100000000014</v>
      </c>
      <c r="D172" s="155">
        <v>0.1800347422415971</v>
      </c>
      <c r="E172" s="77">
        <f t="shared" si="14"/>
        <v>2.9888529856025414</v>
      </c>
      <c r="F172" s="154">
        <f t="shared" si="12"/>
        <v>4.1461877269440173</v>
      </c>
      <c r="G172" s="80">
        <f>+$C$383/C172</f>
        <v>2.7018093650328101</v>
      </c>
    </row>
    <row r="173" spans="1:7" ht="16.5" hidden="1" thickBot="1" x14ac:dyDescent="0.3">
      <c r="A173" s="75">
        <v>2007</v>
      </c>
      <c r="B173" s="82" t="s">
        <v>35</v>
      </c>
      <c r="C173" s="77">
        <f t="shared" si="9"/>
        <v>2701.2900000000013</v>
      </c>
      <c r="D173" s="155">
        <v>0.30001373825285782</v>
      </c>
      <c r="E173" s="77">
        <f t="shared" si="14"/>
        <v>3.297833693428398</v>
      </c>
      <c r="F173" s="154">
        <f t="shared" si="12"/>
        <v>4.1152120623467736</v>
      </c>
      <c r="G173" s="80">
        <f>+$C$383/C173</f>
        <v>2.6937278115270904</v>
      </c>
    </row>
    <row r="174" spans="1:7" ht="16.5" hidden="1" thickBot="1" x14ac:dyDescent="0.3">
      <c r="A174" s="75">
        <v>2007</v>
      </c>
      <c r="B174" s="82" t="s">
        <v>25</v>
      </c>
      <c r="C174" s="77">
        <f>+C173*(1+D174/100)</f>
        <v>2711.5500000000015</v>
      </c>
      <c r="D174" s="155">
        <v>0.37981853114623654</v>
      </c>
      <c r="E174" s="77">
        <f t="shared" si="14"/>
        <v>3.6901780080686564</v>
      </c>
      <c r="F174" s="154">
        <f t="shared" si="12"/>
        <v>4.1877997049059257</v>
      </c>
      <c r="G174" s="80">
        <f>+$C$383/C174</f>
        <v>2.6835352473677467</v>
      </c>
    </row>
    <row r="175" spans="1:7" ht="16.5" hidden="1" thickBot="1" x14ac:dyDescent="0.3">
      <c r="A175" s="75">
        <v>2007</v>
      </c>
      <c r="B175" s="82" t="s">
        <v>26</v>
      </c>
      <c r="C175" s="77">
        <f>+C174*(1+D175/100)</f>
        <v>2731.6200000000017</v>
      </c>
      <c r="D175" s="155">
        <v>0.74016706311887948</v>
      </c>
      <c r="E175" s="77">
        <f t="shared" si="14"/>
        <v>4.4576585533737223</v>
      </c>
      <c r="F175" s="154">
        <f t="shared" si="12"/>
        <v>4.4576585533737223</v>
      </c>
      <c r="G175" s="80">
        <f>+$C$383/C175</f>
        <v>2.6638185399140486</v>
      </c>
    </row>
    <row r="176" spans="1:7" ht="16.5" hidden="1" thickBot="1" x14ac:dyDescent="0.3">
      <c r="A176" s="75">
        <v>2008</v>
      </c>
      <c r="B176" s="82" t="s">
        <v>27</v>
      </c>
      <c r="C176" s="77">
        <f t="shared" ref="C176:C239" si="15">+C175*(1+D176/100)</f>
        <v>2746.3700000000017</v>
      </c>
      <c r="D176" s="155">
        <v>0.53997261698186527</v>
      </c>
      <c r="E176" s="77">
        <f t="shared" ref="E176:E187" si="16">+((C176/$C$175)-1)*100</f>
        <v>0.53997261698186527</v>
      </c>
      <c r="F176" s="154">
        <f t="shared" si="12"/>
        <v>4.5614796539961144</v>
      </c>
      <c r="G176" s="80">
        <f>+$C$383/C176</f>
        <v>2.6495119011640869</v>
      </c>
    </row>
    <row r="177" spans="1:7" ht="16.5" hidden="1" thickBot="1" x14ac:dyDescent="0.3">
      <c r="A177" s="75">
        <v>2008</v>
      </c>
      <c r="B177" s="82" t="s">
        <v>28</v>
      </c>
      <c r="C177" s="77">
        <f t="shared" si="15"/>
        <v>2759.8300000000017</v>
      </c>
      <c r="D177" s="155">
        <v>0.4901014794073566</v>
      </c>
      <c r="E177" s="77">
        <f t="shared" si="16"/>
        <v>1.032720510173446</v>
      </c>
      <c r="F177" s="154">
        <f t="shared" si="12"/>
        <v>4.6135126529498471</v>
      </c>
      <c r="G177" s="80">
        <f>+$C$383/C177</f>
        <v>2.6365899348872985</v>
      </c>
    </row>
    <row r="178" spans="1:7" ht="16.5" hidden="1" thickBot="1" x14ac:dyDescent="0.3">
      <c r="A178" s="75">
        <v>2008</v>
      </c>
      <c r="B178" s="82" t="s">
        <v>29</v>
      </c>
      <c r="C178" s="77">
        <f t="shared" si="15"/>
        <v>2773.0800000000017</v>
      </c>
      <c r="D178" s="155">
        <v>0.48010203527029116</v>
      </c>
      <c r="E178" s="77">
        <f t="shared" si="16"/>
        <v>1.5177806576317288</v>
      </c>
      <c r="F178" s="154">
        <f t="shared" si="12"/>
        <v>4.7283109506473187</v>
      </c>
      <c r="G178" s="80">
        <f>+$C$383/C178</f>
        <v>2.6239920954317992</v>
      </c>
    </row>
    <row r="179" spans="1:7" ht="16.5" hidden="1" thickBot="1" x14ac:dyDescent="0.3">
      <c r="A179" s="75">
        <v>2008</v>
      </c>
      <c r="B179" s="82" t="s">
        <v>30</v>
      </c>
      <c r="C179" s="77">
        <f t="shared" si="15"/>
        <v>2788.3300000000022</v>
      </c>
      <c r="D179" s="155">
        <v>0.54993004168650828</v>
      </c>
      <c r="E179" s="77">
        <f t="shared" si="16"/>
        <v>2.0760574311214697</v>
      </c>
      <c r="F179" s="154">
        <f t="shared" si="12"/>
        <v>5.0416274251271709</v>
      </c>
      <c r="G179" s="80">
        <f>+$C$383/C179</f>
        <v>2.6096408961636581</v>
      </c>
    </row>
    <row r="180" spans="1:7" ht="16.5" hidden="1" thickBot="1" x14ac:dyDescent="0.3">
      <c r="A180" s="75">
        <v>2008</v>
      </c>
      <c r="B180" s="82" t="s">
        <v>31</v>
      </c>
      <c r="C180" s="77">
        <f t="shared" si="15"/>
        <v>2810.3600000000029</v>
      </c>
      <c r="D180" s="155">
        <v>0.79007864922733262</v>
      </c>
      <c r="E180" s="77">
        <f t="shared" si="16"/>
        <v>2.8825385668578063</v>
      </c>
      <c r="F180" s="154">
        <f t="shared" si="12"/>
        <v>5.5760294222613416</v>
      </c>
      <c r="G180" s="80">
        <f>+$C$383/C180</f>
        <v>2.5891843037902658</v>
      </c>
    </row>
    <row r="181" spans="1:7" ht="16.5" hidden="1" thickBot="1" x14ac:dyDescent="0.3">
      <c r="A181" s="75">
        <v>2008</v>
      </c>
      <c r="B181" s="82" t="s">
        <v>32</v>
      </c>
      <c r="C181" s="77">
        <f t="shared" si="15"/>
        <v>2831.160000000003</v>
      </c>
      <c r="D181" s="155">
        <v>0.74011870365362498</v>
      </c>
      <c r="E181" s="77">
        <f t="shared" si="16"/>
        <v>3.6439914775847848</v>
      </c>
      <c r="F181" s="154">
        <f t="shared" si="12"/>
        <v>6.0605833564348899</v>
      </c>
      <c r="G181" s="80">
        <f>+$C$383/C181</f>
        <v>2.5701620537165013</v>
      </c>
    </row>
    <row r="182" spans="1:7" ht="16.5" hidden="1" thickBot="1" x14ac:dyDescent="0.3">
      <c r="A182" s="75">
        <v>2008</v>
      </c>
      <c r="B182" s="82" t="s">
        <v>33</v>
      </c>
      <c r="C182" s="77">
        <f t="shared" si="15"/>
        <v>2846.160000000003</v>
      </c>
      <c r="D182" s="155">
        <v>0.52981816640529367</v>
      </c>
      <c r="E182" s="77">
        <f t="shared" si="16"/>
        <v>4.1931161728205657</v>
      </c>
      <c r="F182" s="154">
        <f t="shared" si="12"/>
        <v>6.3670915879049605</v>
      </c>
      <c r="G182" s="80">
        <f>+$C$383/C182</f>
        <v>2.5566166343424159</v>
      </c>
    </row>
    <row r="183" spans="1:7" ht="16.5" hidden="1" thickBot="1" x14ac:dyDescent="0.3">
      <c r="A183" s="75">
        <v>2008</v>
      </c>
      <c r="B183" s="82" t="s">
        <v>34</v>
      </c>
      <c r="C183" s="77">
        <f t="shared" si="15"/>
        <v>2854.1300000000033</v>
      </c>
      <c r="D183" s="155">
        <v>0.28002642156450541</v>
      </c>
      <c r="E183" s="77">
        <f t="shared" si="16"/>
        <v>4.4848844275558575</v>
      </c>
      <c r="F183" s="154">
        <f t="shared" si="12"/>
        <v>6.1658179491663079</v>
      </c>
      <c r="G183" s="80">
        <f>+$C$383/C183</f>
        <v>2.5494774239435518</v>
      </c>
    </row>
    <row r="184" spans="1:7" ht="16.5" hidden="1" thickBot="1" x14ac:dyDescent="0.3">
      <c r="A184" s="75">
        <v>2008</v>
      </c>
      <c r="B184" s="82" t="s">
        <v>36</v>
      </c>
      <c r="C184" s="77">
        <f t="shared" si="15"/>
        <v>2861.5500000000034</v>
      </c>
      <c r="D184" s="155">
        <v>0.25997414273351005</v>
      </c>
      <c r="E184" s="77">
        <f t="shared" si="16"/>
        <v>4.7565181101325127</v>
      </c>
      <c r="F184" s="154">
        <f t="shared" si="12"/>
        <v>6.2505337496891133</v>
      </c>
      <c r="G184" s="80">
        <f>+$C$383/C184</f>
        <v>2.5428666282259647</v>
      </c>
    </row>
    <row r="185" spans="1:7" ht="16.5" hidden="1" thickBot="1" x14ac:dyDescent="0.3">
      <c r="A185" s="75">
        <v>2008</v>
      </c>
      <c r="B185" s="82" t="s">
        <v>35</v>
      </c>
      <c r="C185" s="77">
        <f t="shared" si="15"/>
        <v>2874.4300000000035</v>
      </c>
      <c r="D185" s="155">
        <v>0.45010571193933036</v>
      </c>
      <c r="E185" s="77">
        <f t="shared" si="16"/>
        <v>5.2280331817749826</v>
      </c>
      <c r="F185" s="154">
        <f t="shared" si="12"/>
        <v>6.4095302614677552</v>
      </c>
      <c r="G185" s="80">
        <f>+$C$383/C185</f>
        <v>2.5314723266873811</v>
      </c>
    </row>
    <row r="186" spans="1:7" ht="16.5" hidden="1" thickBot="1" x14ac:dyDescent="0.3">
      <c r="A186" s="75">
        <v>2008</v>
      </c>
      <c r="B186" s="82" t="s">
        <v>25</v>
      </c>
      <c r="C186" s="77">
        <f t="shared" si="15"/>
        <v>2884.7800000000034</v>
      </c>
      <c r="D186" s="155">
        <v>0.3600713880665074</v>
      </c>
      <c r="E186" s="77">
        <f t="shared" si="16"/>
        <v>5.6069292214876665</v>
      </c>
      <c r="F186" s="154">
        <f t="shared" si="12"/>
        <v>6.3885969279563914</v>
      </c>
      <c r="G186" s="80">
        <f>+$C$383/C186</f>
        <v>2.5223899222817718</v>
      </c>
    </row>
    <row r="187" spans="1:7" ht="16.5" hidden="1" thickBot="1" x14ac:dyDescent="0.3">
      <c r="A187" s="75">
        <v>2008</v>
      </c>
      <c r="B187" s="82" t="s">
        <v>26</v>
      </c>
      <c r="C187" s="77">
        <f t="shared" si="15"/>
        <v>2892.8600000000038</v>
      </c>
      <c r="D187" s="155">
        <v>0.28009068282504046</v>
      </c>
      <c r="E187" s="77">
        <f t="shared" si="16"/>
        <v>5.9027243906547122</v>
      </c>
      <c r="F187" s="154">
        <f t="shared" si="12"/>
        <v>5.9027243906547122</v>
      </c>
      <c r="G187" s="80">
        <f>+$C$383/C187</f>
        <v>2.5153446762027918</v>
      </c>
    </row>
    <row r="188" spans="1:7" ht="16.5" hidden="1" thickBot="1" x14ac:dyDescent="0.3">
      <c r="A188" s="75">
        <v>2009</v>
      </c>
      <c r="B188" s="82" t="s">
        <v>27</v>
      </c>
      <c r="C188" s="77">
        <f t="shared" si="15"/>
        <v>2906.7400000000034</v>
      </c>
      <c r="D188" s="155">
        <v>0.47980199525727851</v>
      </c>
      <c r="E188" s="77">
        <f t="shared" ref="E188:E199" si="17">+((C188/$C$187)-1)*100</f>
        <v>0.47980199525727851</v>
      </c>
      <c r="F188" s="154">
        <f t="shared" si="12"/>
        <v>5.8393442981099275</v>
      </c>
      <c r="G188" s="80">
        <f>+$C$383/C188</f>
        <v>2.503333631490952</v>
      </c>
    </row>
    <row r="189" spans="1:7" ht="16.5" hidden="1" thickBot="1" x14ac:dyDescent="0.3">
      <c r="A189" s="75">
        <v>2009</v>
      </c>
      <c r="B189" s="82" t="s">
        <v>28</v>
      </c>
      <c r="C189" s="77">
        <f t="shared" si="15"/>
        <v>2922.7300000000041</v>
      </c>
      <c r="D189" s="155">
        <v>0.55010080020918561</v>
      </c>
      <c r="E189" s="77">
        <f t="shared" si="17"/>
        <v>1.0325421900817977</v>
      </c>
      <c r="F189" s="154">
        <f t="shared" si="12"/>
        <v>5.9025374751344284</v>
      </c>
      <c r="G189" s="80">
        <f>+$C$383/C189</f>
        <v>2.489638112312806</v>
      </c>
    </row>
    <row r="190" spans="1:7" ht="16.5" hidden="1" thickBot="1" x14ac:dyDescent="0.3">
      <c r="A190" s="75">
        <v>2009</v>
      </c>
      <c r="B190" s="82" t="s">
        <v>29</v>
      </c>
      <c r="C190" s="77">
        <f t="shared" si="15"/>
        <v>2928.5700000000047</v>
      </c>
      <c r="D190" s="155">
        <v>0.19981318835473605</v>
      </c>
      <c r="E190" s="77">
        <f t="shared" si="17"/>
        <v>1.2344185339076441</v>
      </c>
      <c r="F190" s="154">
        <f t="shared" si="12"/>
        <v>5.6071227660219991</v>
      </c>
      <c r="G190" s="80">
        <f>+$C$383/C190</f>
        <v>2.4846734071577616</v>
      </c>
    </row>
    <row r="191" spans="1:7" ht="16.5" hidden="1" thickBot="1" x14ac:dyDescent="0.3">
      <c r="A191" s="75">
        <v>2009</v>
      </c>
      <c r="B191" s="82" t="s">
        <v>30</v>
      </c>
      <c r="C191" s="77">
        <f t="shared" si="15"/>
        <v>2942.6300000000051</v>
      </c>
      <c r="D191" s="155">
        <v>0.480097795169665</v>
      </c>
      <c r="E191" s="77">
        <f t="shared" si="17"/>
        <v>1.7204427452417681</v>
      </c>
      <c r="F191" s="154">
        <f t="shared" si="12"/>
        <v>5.5337782830584104</v>
      </c>
      <c r="G191" s="80">
        <f>+$C$383/C191</f>
        <v>2.4728015414782032</v>
      </c>
    </row>
    <row r="192" spans="1:7" ht="16.5" hidden="1" thickBot="1" x14ac:dyDescent="0.3">
      <c r="A192" s="75">
        <v>2009</v>
      </c>
      <c r="B192" s="82" t="s">
        <v>31</v>
      </c>
      <c r="C192" s="77">
        <f t="shared" si="15"/>
        <v>2956.460000000005</v>
      </c>
      <c r="D192" s="155">
        <v>0.46998773206281541</v>
      </c>
      <c r="E192" s="77">
        <f t="shared" si="17"/>
        <v>2.1985163471443858</v>
      </c>
      <c r="F192" s="154">
        <f t="shared" si="12"/>
        <v>5.1986222405671079</v>
      </c>
      <c r="G192" s="80">
        <f>+$C$383/C192</f>
        <v>2.4612340434167908</v>
      </c>
    </row>
    <row r="193" spans="1:7" ht="16.5" hidden="1" thickBot="1" x14ac:dyDescent="0.3">
      <c r="A193" s="75">
        <v>2009</v>
      </c>
      <c r="B193" s="82" t="s">
        <v>32</v>
      </c>
      <c r="C193" s="77">
        <f t="shared" si="15"/>
        <v>2967.1000000000054</v>
      </c>
      <c r="D193" s="155">
        <v>0.35988986828843217</v>
      </c>
      <c r="E193" s="77">
        <f t="shared" si="17"/>
        <v>2.5663184530188676</v>
      </c>
      <c r="F193" s="154">
        <f t="shared" si="12"/>
        <v>4.8015654360757498</v>
      </c>
      <c r="G193" s="80">
        <f>+$C$383/C193</f>
        <v>2.4524080752249686</v>
      </c>
    </row>
    <row r="194" spans="1:7" ht="16.5" hidden="1" thickBot="1" x14ac:dyDescent="0.3">
      <c r="A194" s="75">
        <v>2009</v>
      </c>
      <c r="B194" s="82" t="s">
        <v>33</v>
      </c>
      <c r="C194" s="77">
        <f t="shared" si="15"/>
        <v>2974.2200000000048</v>
      </c>
      <c r="D194" s="155">
        <v>0.23996494894003018</v>
      </c>
      <c r="E194" s="77">
        <f t="shared" si="17"/>
        <v>2.8124416667243191</v>
      </c>
      <c r="F194" s="154">
        <f t="shared" si="12"/>
        <v>4.4993956769823873</v>
      </c>
      <c r="G194" s="80">
        <f>+$C$383/C194</f>
        <v>2.4465372433780979</v>
      </c>
    </row>
    <row r="195" spans="1:7" ht="16.5" hidden="1" thickBot="1" x14ac:dyDescent="0.3">
      <c r="A195" s="75">
        <v>2009</v>
      </c>
      <c r="B195" s="82" t="s">
        <v>34</v>
      </c>
      <c r="C195" s="77">
        <f t="shared" si="15"/>
        <v>2978.6800000000048</v>
      </c>
      <c r="D195" s="155">
        <v>0.14995528239336586</v>
      </c>
      <c r="E195" s="77">
        <f t="shared" si="17"/>
        <v>2.9666143539611722</v>
      </c>
      <c r="F195" s="154">
        <f t="shared" si="12"/>
        <v>4.3638516815982964</v>
      </c>
      <c r="G195" s="80">
        <f>+$C$383/C195</f>
        <v>2.442874024735791</v>
      </c>
    </row>
    <row r="196" spans="1:7" ht="16.5" hidden="1" thickBot="1" x14ac:dyDescent="0.3">
      <c r="A196" s="75">
        <v>2009</v>
      </c>
      <c r="B196" s="82" t="s">
        <v>36</v>
      </c>
      <c r="C196" s="77">
        <f t="shared" si="15"/>
        <v>2985.8300000000049</v>
      </c>
      <c r="D196" s="155">
        <v>0.24003921199995393</v>
      </c>
      <c r="E196" s="77">
        <f t="shared" si="17"/>
        <v>3.2137746036794423</v>
      </c>
      <c r="F196" s="154">
        <f t="shared" si="12"/>
        <v>4.3431007670668542</v>
      </c>
      <c r="G196" s="80">
        <f>+$C$383/C196</f>
        <v>2.4370242110234024</v>
      </c>
    </row>
    <row r="197" spans="1:7" ht="16.5" hidden="1" thickBot="1" x14ac:dyDescent="0.3">
      <c r="A197" s="75">
        <v>2009</v>
      </c>
      <c r="B197" s="82" t="s">
        <v>35</v>
      </c>
      <c r="C197" s="77">
        <f t="shared" si="15"/>
        <v>2994.1900000000051</v>
      </c>
      <c r="D197" s="155">
        <v>0.27998914874591829</v>
      </c>
      <c r="E197" s="77">
        <f t="shared" si="17"/>
        <v>3.5027619725808146</v>
      </c>
      <c r="F197" s="154">
        <f t="shared" si="12"/>
        <v>4.166391249743473</v>
      </c>
      <c r="G197" s="80">
        <f>+$C$383/C197</f>
        <v>2.4302198591271784</v>
      </c>
    </row>
    <row r="198" spans="1:7" ht="16.5" hidden="1" thickBot="1" x14ac:dyDescent="0.3">
      <c r="A198" s="75">
        <v>2009</v>
      </c>
      <c r="B198" s="82" t="s">
        <v>25</v>
      </c>
      <c r="C198" s="77">
        <f t="shared" si="15"/>
        <v>3006.4700000000048</v>
      </c>
      <c r="D198" s="155">
        <v>0.41012761381207241</v>
      </c>
      <c r="E198" s="77">
        <f t="shared" si="17"/>
        <v>3.9272553804885479</v>
      </c>
      <c r="F198" s="154">
        <f t="shared" si="12"/>
        <v>4.2183459397250767</v>
      </c>
      <c r="G198" s="80">
        <f>+$C$383/C198</f>
        <v>2.4202935668741103</v>
      </c>
    </row>
    <row r="199" spans="1:7" ht="16.5" hidden="1" thickBot="1" x14ac:dyDescent="0.3">
      <c r="A199" s="75">
        <v>2009</v>
      </c>
      <c r="B199" s="82" t="s">
        <v>12</v>
      </c>
      <c r="C199" s="77">
        <f t="shared" si="15"/>
        <v>3017.5900000000051</v>
      </c>
      <c r="D199" s="155">
        <v>0.36986898256095024</v>
      </c>
      <c r="E199" s="77">
        <f t="shared" si="17"/>
        <v>4.3116500625678844</v>
      </c>
      <c r="F199" s="154">
        <f t="shared" si="12"/>
        <v>4.3116500625678844</v>
      </c>
      <c r="G199" s="80">
        <f>+$C$383/C199</f>
        <v>2.4113746400273084</v>
      </c>
    </row>
    <row r="200" spans="1:7" ht="16.5" hidden="1" thickBot="1" x14ac:dyDescent="0.3">
      <c r="A200" s="75">
        <v>2010</v>
      </c>
      <c r="B200" s="82" t="s">
        <v>13</v>
      </c>
      <c r="C200" s="77">
        <f t="shared" si="15"/>
        <v>3040.2200000000043</v>
      </c>
      <c r="D200" s="155">
        <v>0.7499362073707605</v>
      </c>
      <c r="E200" s="77">
        <f t="shared" ref="E200:E211" si="18">+((C200/$C$199)-1)*100</f>
        <v>0.7499362073707605</v>
      </c>
      <c r="F200" s="154">
        <f t="shared" si="12"/>
        <v>4.5920859794821967</v>
      </c>
      <c r="G200" s="80">
        <f>+$C$383/C200</f>
        <v>2.393425475787939</v>
      </c>
    </row>
    <row r="201" spans="1:7" ht="16.5" hidden="1" thickBot="1" x14ac:dyDescent="0.3">
      <c r="A201" s="75">
        <v>2010</v>
      </c>
      <c r="B201" s="82" t="s">
        <v>14</v>
      </c>
      <c r="C201" s="77">
        <f t="shared" si="15"/>
        <v>3063.9300000000044</v>
      </c>
      <c r="D201" s="155">
        <v>0.77987777200334563</v>
      </c>
      <c r="E201" s="77">
        <f t="shared" si="18"/>
        <v>1.535662565159579</v>
      </c>
      <c r="F201" s="154">
        <f t="shared" si="12"/>
        <v>4.8310996910422732</v>
      </c>
      <c r="G201" s="80">
        <f>+$C$383/C201</f>
        <v>2.3749041263997572</v>
      </c>
    </row>
    <row r="202" spans="1:7" ht="16.5" hidden="1" thickBot="1" x14ac:dyDescent="0.3">
      <c r="A202" s="75">
        <v>2010</v>
      </c>
      <c r="B202" s="82" t="s">
        <v>15</v>
      </c>
      <c r="C202" s="77">
        <f t="shared" si="15"/>
        <v>3079.8600000000042</v>
      </c>
      <c r="D202" s="155">
        <v>0.51992049426716758</v>
      </c>
      <c r="E202" s="77">
        <f t="shared" si="18"/>
        <v>2.0635672838257957</v>
      </c>
      <c r="F202" s="154">
        <f t="shared" si="12"/>
        <v>5.1660025200012116</v>
      </c>
      <c r="G202" s="80">
        <f>+$C$383/C202</f>
        <v>2.3626203788483919</v>
      </c>
    </row>
    <row r="203" spans="1:7" ht="16.5" hidden="1" thickBot="1" x14ac:dyDescent="0.3">
      <c r="A203" s="75">
        <v>2010</v>
      </c>
      <c r="B203" s="82" t="s">
        <v>16</v>
      </c>
      <c r="C203" s="77">
        <f t="shared" si="15"/>
        <v>3097.4200000000042</v>
      </c>
      <c r="D203" s="155">
        <v>0.5701557863019735</v>
      </c>
      <c r="E203" s="77">
        <f t="shared" si="18"/>
        <v>2.6454886184007487</v>
      </c>
      <c r="F203" s="154">
        <f t="shared" si="12"/>
        <v>5.2602603793205027</v>
      </c>
      <c r="G203" s="80">
        <f>+$C$383/C203</f>
        <v>2.3492261301341144</v>
      </c>
    </row>
    <row r="204" spans="1:7" ht="16.5" hidden="1" thickBot="1" x14ac:dyDescent="0.3">
      <c r="A204" s="75">
        <v>2010</v>
      </c>
      <c r="B204" s="82" t="s">
        <v>17</v>
      </c>
      <c r="C204" s="77">
        <f t="shared" si="15"/>
        <v>3110.7400000000034</v>
      </c>
      <c r="D204" s="155">
        <v>0.43003531971768094</v>
      </c>
      <c r="E204" s="77">
        <f t="shared" si="18"/>
        <v>3.0869004735566419</v>
      </c>
      <c r="F204" s="154">
        <f t="shared" si="12"/>
        <v>5.218403090182111</v>
      </c>
      <c r="G204" s="80">
        <f>+$C$383/C204</f>
        <v>2.3391668863357307</v>
      </c>
    </row>
    <row r="205" spans="1:7" ht="16.5" hidden="1" thickBot="1" x14ac:dyDescent="0.3">
      <c r="A205" s="75">
        <v>2010</v>
      </c>
      <c r="B205" s="82" t="s">
        <v>18</v>
      </c>
      <c r="C205" s="77">
        <f t="shared" si="15"/>
        <v>3110.7400000000034</v>
      </c>
      <c r="D205" s="155">
        <v>0</v>
      </c>
      <c r="E205" s="77">
        <f t="shared" si="18"/>
        <v>3.0869004735566419</v>
      </c>
      <c r="F205" s="154">
        <f t="shared" si="12"/>
        <v>4.8410906272116749</v>
      </c>
      <c r="G205" s="80">
        <f>+$C$383/C205</f>
        <v>2.3391668863357307</v>
      </c>
    </row>
    <row r="206" spans="1:7" ht="16.5" hidden="1" thickBot="1" x14ac:dyDescent="0.3">
      <c r="A206" s="75">
        <v>2010</v>
      </c>
      <c r="B206" s="82" t="s">
        <v>19</v>
      </c>
      <c r="C206" s="77">
        <f t="shared" si="15"/>
        <v>3111.0500000000038</v>
      </c>
      <c r="D206" s="155">
        <v>9.9654744530441874E-3</v>
      </c>
      <c r="E206" s="77">
        <f t="shared" si="18"/>
        <v>3.0971735722877591</v>
      </c>
      <c r="F206" s="154">
        <f t="shared" si="12"/>
        <v>4.6005339214987062</v>
      </c>
      <c r="G206" s="80">
        <f>+$C$383/C206</f>
        <v>2.3389338004853695</v>
      </c>
    </row>
    <row r="207" spans="1:7" ht="16.5" hidden="1" thickBot="1" x14ac:dyDescent="0.3">
      <c r="A207" s="75">
        <v>2010</v>
      </c>
      <c r="B207" s="82" t="s">
        <v>20</v>
      </c>
      <c r="C207" s="77">
        <f t="shared" si="15"/>
        <v>3112.2900000000036</v>
      </c>
      <c r="D207" s="155">
        <v>3.9857925780673042E-2</v>
      </c>
      <c r="E207" s="77">
        <f t="shared" si="18"/>
        <v>3.1382659672121838</v>
      </c>
      <c r="F207" s="154">
        <f t="shared" si="12"/>
        <v>4.4855439322115442</v>
      </c>
      <c r="G207" s="80">
        <f>+$C$383/C207</f>
        <v>2.3380019214147811</v>
      </c>
    </row>
    <row r="208" spans="1:7" ht="16.5" hidden="1" thickBot="1" x14ac:dyDescent="0.3">
      <c r="A208" s="75">
        <v>2010</v>
      </c>
      <c r="B208" s="82" t="s">
        <v>21</v>
      </c>
      <c r="C208" s="77">
        <f t="shared" si="15"/>
        <v>3126.2900000000036</v>
      </c>
      <c r="D208" s="155">
        <v>0.449829546732472</v>
      </c>
      <c r="E208" s="77">
        <f t="shared" si="18"/>
        <v>3.6022123615202295</v>
      </c>
      <c r="F208" s="154">
        <f t="shared" si="12"/>
        <v>4.7042195972308631</v>
      </c>
      <c r="G208" s="80">
        <f>+$C$383/C208</f>
        <v>2.3275319947925528</v>
      </c>
    </row>
    <row r="209" spans="1:7" ht="16.5" hidden="1" thickBot="1" x14ac:dyDescent="0.3">
      <c r="A209" s="75">
        <v>2010</v>
      </c>
      <c r="B209" s="82" t="s">
        <v>22</v>
      </c>
      <c r="C209" s="77">
        <f t="shared" si="15"/>
        <v>3149.740000000003</v>
      </c>
      <c r="D209" s="155">
        <v>0.75009036269826357</v>
      </c>
      <c r="E209" s="77">
        <f t="shared" si="18"/>
        <v>4.3793225719861661</v>
      </c>
      <c r="F209" s="154">
        <f t="shared" si="12"/>
        <v>5.1950611016668091</v>
      </c>
      <c r="G209" s="80">
        <f>+$C$383/C209</f>
        <v>2.3102033818664434</v>
      </c>
    </row>
    <row r="210" spans="1:7" ht="16.5" hidden="1" thickBot="1" x14ac:dyDescent="0.3">
      <c r="A210" s="75">
        <v>2010</v>
      </c>
      <c r="B210" s="82" t="s">
        <v>23</v>
      </c>
      <c r="C210" s="77">
        <f t="shared" si="15"/>
        <v>3175.8800000000033</v>
      </c>
      <c r="D210" s="155">
        <v>0.82990977033026159</v>
      </c>
      <c r="E210" s="77">
        <f t="shared" si="18"/>
        <v>5.2455767682156207</v>
      </c>
      <c r="F210" s="154">
        <f t="shared" si="12"/>
        <v>5.6348475121986263</v>
      </c>
      <c r="G210" s="80">
        <f>+$C$383/C210</f>
        <v>2.2911885839515382</v>
      </c>
    </row>
    <row r="211" spans="1:7" ht="16.5" hidden="1" thickBot="1" x14ac:dyDescent="0.3">
      <c r="A211" s="75">
        <v>2010</v>
      </c>
      <c r="B211" s="82" t="s">
        <v>12</v>
      </c>
      <c r="C211" s="77">
        <f t="shared" si="15"/>
        <v>3195.8900000000031</v>
      </c>
      <c r="D211" s="155">
        <v>0.63006158922880307</v>
      </c>
      <c r="E211" s="77">
        <f t="shared" si="18"/>
        <v>5.9086887217944639</v>
      </c>
      <c r="F211" s="154">
        <f t="shared" ref="F211:F274" si="19">100*((C211/C199)-1)</f>
        <v>5.9086887217944639</v>
      </c>
      <c r="G211" s="80">
        <f>+$C$383/C211</f>
        <v>2.2768430703184439</v>
      </c>
    </row>
    <row r="212" spans="1:7" x14ac:dyDescent="0.25">
      <c r="A212" s="87">
        <v>2011</v>
      </c>
      <c r="B212" s="88" t="s">
        <v>13</v>
      </c>
      <c r="C212" s="89">
        <f t="shared" si="15"/>
        <v>3222.4200000000037</v>
      </c>
      <c r="D212" s="156">
        <v>0.83012869654464083</v>
      </c>
      <c r="E212" s="89">
        <f t="shared" ref="E212:E223" si="20">+((C212/$C$211)-1)*100</f>
        <v>0.83012869654464083</v>
      </c>
      <c r="F212" s="157">
        <f t="shared" si="19"/>
        <v>5.9929873495996766</v>
      </c>
      <c r="G212" s="92">
        <f>+$C$383/C212</f>
        <v>2.2580979512292036</v>
      </c>
    </row>
    <row r="213" spans="1:7" x14ac:dyDescent="0.25">
      <c r="A213" s="93">
        <v>2011</v>
      </c>
      <c r="B213" s="94" t="s">
        <v>14</v>
      </c>
      <c r="C213" s="95">
        <f t="shared" si="15"/>
        <v>3248.2000000000039</v>
      </c>
      <c r="D213" s="158">
        <v>0.80001986084992094</v>
      </c>
      <c r="E213" s="95">
        <f t="shared" si="20"/>
        <v>1.6367897518375418</v>
      </c>
      <c r="F213" s="159">
        <f t="shared" si="19"/>
        <v>6.0141713420345466</v>
      </c>
      <c r="G213" s="98">
        <f>+$C$383/C213</f>
        <v>2.2401760975309433</v>
      </c>
    </row>
    <row r="214" spans="1:7" x14ac:dyDescent="0.25">
      <c r="A214" s="93">
        <v>2011</v>
      </c>
      <c r="B214" s="94" t="s">
        <v>15</v>
      </c>
      <c r="C214" s="95">
        <f t="shared" si="15"/>
        <v>3273.8600000000047</v>
      </c>
      <c r="D214" s="158">
        <v>0.78997598670034197</v>
      </c>
      <c r="E214" s="95">
        <f t="shared" si="20"/>
        <v>2.4396959845301769</v>
      </c>
      <c r="F214" s="159">
        <f t="shared" si="19"/>
        <v>6.2989876163202174</v>
      </c>
      <c r="G214" s="98">
        <f t="shared" ref="G214:G277" si="21">+$C$383/C214</f>
        <v>2.2226179494541634</v>
      </c>
    </row>
    <row r="215" spans="1:7" x14ac:dyDescent="0.25">
      <c r="A215" s="93">
        <v>2011</v>
      </c>
      <c r="B215" s="94" t="s">
        <v>16</v>
      </c>
      <c r="C215" s="95">
        <f t="shared" si="15"/>
        <v>3299.0700000000052</v>
      </c>
      <c r="D215" s="158">
        <v>0.77003903648904526</v>
      </c>
      <c r="E215" s="95">
        <f t="shared" si="20"/>
        <v>3.2285216324717592</v>
      </c>
      <c r="F215" s="159">
        <f t="shared" si="19"/>
        <v>6.5102569235041097</v>
      </c>
      <c r="G215" s="98">
        <f t="shared" si="21"/>
        <v>2.2056337088937208</v>
      </c>
    </row>
    <row r="216" spans="1:7" x14ac:dyDescent="0.25">
      <c r="A216" s="93">
        <v>2011</v>
      </c>
      <c r="B216" s="94" t="s">
        <v>17</v>
      </c>
      <c r="C216" s="95">
        <f t="shared" si="15"/>
        <v>3314.5800000000054</v>
      </c>
      <c r="D216" s="158">
        <v>0.4701324918840788</v>
      </c>
      <c r="E216" s="95">
        <f t="shared" si="20"/>
        <v>3.7138324535576084</v>
      </c>
      <c r="F216" s="159">
        <f t="shared" si="19"/>
        <v>6.552781653240114</v>
      </c>
      <c r="G216" s="98">
        <f t="shared" si="21"/>
        <v>2.1953128299814777</v>
      </c>
    </row>
    <row r="217" spans="1:7" x14ac:dyDescent="0.25">
      <c r="A217" s="93">
        <v>2011</v>
      </c>
      <c r="B217" s="94" t="s">
        <v>18</v>
      </c>
      <c r="C217" s="95">
        <f t="shared" si="15"/>
        <v>3319.5500000000061</v>
      </c>
      <c r="D217" s="158">
        <v>0.14994358259570184</v>
      </c>
      <c r="E217" s="95">
        <f t="shared" si="20"/>
        <v>3.8693446895857742</v>
      </c>
      <c r="F217" s="159">
        <f t="shared" si="19"/>
        <v>6.7125507114063732</v>
      </c>
      <c r="G217" s="98">
        <f t="shared" si="21"/>
        <v>2.1920260276242276</v>
      </c>
    </row>
    <row r="218" spans="1:7" x14ac:dyDescent="0.25">
      <c r="A218" s="93">
        <v>2011</v>
      </c>
      <c r="B218" s="94" t="s">
        <v>19</v>
      </c>
      <c r="C218" s="95">
        <f t="shared" si="15"/>
        <v>3324.860000000006</v>
      </c>
      <c r="D218" s="158">
        <v>0.15996144055669959</v>
      </c>
      <c r="E218" s="95">
        <f t="shared" si="20"/>
        <v>4.0354955896480416</v>
      </c>
      <c r="F218" s="159">
        <f t="shared" si="19"/>
        <v>6.8725992832002758</v>
      </c>
      <c r="G218" s="98">
        <f t="shared" si="21"/>
        <v>2.1885252311375529</v>
      </c>
    </row>
    <row r="219" spans="1:7" x14ac:dyDescent="0.25">
      <c r="A219" s="93">
        <v>2011</v>
      </c>
      <c r="B219" s="94" t="s">
        <v>20</v>
      </c>
      <c r="C219" s="95">
        <f t="shared" si="15"/>
        <v>3337.1600000000058</v>
      </c>
      <c r="D219" s="158">
        <v>0.36994038846747124</v>
      </c>
      <c r="E219" s="95">
        <f t="shared" si="20"/>
        <v>4.4203649061764549</v>
      </c>
      <c r="F219" s="159">
        <f t="shared" si="19"/>
        <v>7.2252264409808253</v>
      </c>
      <c r="G219" s="98">
        <f t="shared" si="21"/>
        <v>2.1804588332594199</v>
      </c>
    </row>
    <row r="220" spans="1:7" x14ac:dyDescent="0.25">
      <c r="A220" s="93">
        <v>2011</v>
      </c>
      <c r="B220" s="94" t="s">
        <v>21</v>
      </c>
      <c r="C220" s="95">
        <f t="shared" si="15"/>
        <v>3354.8500000000054</v>
      </c>
      <c r="D220" s="158">
        <v>0.53009145500964028</v>
      </c>
      <c r="E220" s="95">
        <f t="shared" si="20"/>
        <v>4.9738883378339649</v>
      </c>
      <c r="F220" s="159">
        <f t="shared" si="19"/>
        <v>7.3109020596298313</v>
      </c>
      <c r="G220" s="98">
        <f t="shared" si="21"/>
        <v>2.1689613544569823</v>
      </c>
    </row>
    <row r="221" spans="1:7" x14ac:dyDescent="0.25">
      <c r="A221" s="93">
        <v>2011</v>
      </c>
      <c r="B221" s="94" t="s">
        <v>22</v>
      </c>
      <c r="C221" s="95">
        <f t="shared" si="15"/>
        <v>3369.2800000000061</v>
      </c>
      <c r="D221" s="158">
        <v>0.43012355246883072</v>
      </c>
      <c r="E221" s="95">
        <f t="shared" si="20"/>
        <v>5.4254057555173318</v>
      </c>
      <c r="F221" s="159">
        <f t="shared" si="19"/>
        <v>6.9700991192924722</v>
      </c>
      <c r="G221" s="98">
        <f t="shared" si="21"/>
        <v>2.159672096115492</v>
      </c>
    </row>
    <row r="222" spans="1:7" x14ac:dyDescent="0.25">
      <c r="A222" s="93">
        <v>2011</v>
      </c>
      <c r="B222" s="94" t="s">
        <v>23</v>
      </c>
      <c r="C222" s="95">
        <f t="shared" si="15"/>
        <v>3386.8000000000056</v>
      </c>
      <c r="D222" s="158">
        <v>0.51999240193749685</v>
      </c>
      <c r="E222" s="95">
        <f t="shared" si="20"/>
        <v>5.9736098551578021</v>
      </c>
      <c r="F222" s="159">
        <f t="shared" si="19"/>
        <v>6.6413088655743246</v>
      </c>
      <c r="G222" s="98">
        <f t="shared" si="21"/>
        <v>2.148500059052795</v>
      </c>
    </row>
    <row r="223" spans="1:7" x14ac:dyDescent="0.25">
      <c r="A223" s="93">
        <v>2011</v>
      </c>
      <c r="B223" s="94" t="s">
        <v>12</v>
      </c>
      <c r="C223" s="95">
        <f t="shared" si="15"/>
        <v>3403.7300000000059</v>
      </c>
      <c r="D223" s="158">
        <v>0.49988189441361186</v>
      </c>
      <c r="E223" s="95">
        <f t="shared" si="20"/>
        <v>6.5033527436802574</v>
      </c>
      <c r="F223" s="159">
        <f t="shared" si="19"/>
        <v>6.5033527436802574</v>
      </c>
      <c r="G223" s="98">
        <f t="shared" si="21"/>
        <v>2.1378135163482432</v>
      </c>
    </row>
    <row r="224" spans="1:7" x14ac:dyDescent="0.25">
      <c r="A224" s="93">
        <f>2012</f>
        <v>2012</v>
      </c>
      <c r="B224" s="94" t="s">
        <v>13</v>
      </c>
      <c r="C224" s="95">
        <f t="shared" si="15"/>
        <v>3422.7900000000059</v>
      </c>
      <c r="D224" s="158">
        <v>0.55997391097413196</v>
      </c>
      <c r="E224" s="95">
        <f t="shared" ref="E224:E235" si="22">+((C224/$C$223)-1)*100</f>
        <v>0.55997391097413196</v>
      </c>
      <c r="F224" s="159">
        <f t="shared" si="19"/>
        <v>6.2179976539371573</v>
      </c>
      <c r="G224" s="98">
        <f t="shared" si="21"/>
        <v>2.1259089806853488</v>
      </c>
    </row>
    <row r="225" spans="1:7" x14ac:dyDescent="0.25">
      <c r="A225" s="93">
        <f>2012</f>
        <v>2012</v>
      </c>
      <c r="B225" s="94" t="s">
        <v>14</v>
      </c>
      <c r="C225" s="95">
        <f t="shared" si="15"/>
        <v>3438.1900000000064</v>
      </c>
      <c r="D225" s="158">
        <v>0.44992535329366756</v>
      </c>
      <c r="E225" s="95">
        <f t="shared" si="22"/>
        <v>1.0124187288651054</v>
      </c>
      <c r="F225" s="159">
        <f t="shared" si="19"/>
        <v>5.8490856474355812</v>
      </c>
      <c r="G225" s="98">
        <f t="shared" si="21"/>
        <v>2.1163868198092612</v>
      </c>
    </row>
    <row r="226" spans="1:7" x14ac:dyDescent="0.25">
      <c r="A226" s="93">
        <f>2012</f>
        <v>2012</v>
      </c>
      <c r="B226" s="94" t="s">
        <v>15</v>
      </c>
      <c r="C226" s="95">
        <f t="shared" si="15"/>
        <v>3445.4100000000062</v>
      </c>
      <c r="D226" s="158">
        <v>0.20999421207088531</v>
      </c>
      <c r="E226" s="95">
        <f t="shared" si="22"/>
        <v>1.2245389616685198</v>
      </c>
      <c r="F226" s="159">
        <f t="shared" si="19"/>
        <v>5.2399919361243663</v>
      </c>
      <c r="G226" s="98">
        <f t="shared" si="21"/>
        <v>2.1119518431768656</v>
      </c>
    </row>
    <row r="227" spans="1:7" x14ac:dyDescent="0.25">
      <c r="A227" s="93">
        <f>2012</f>
        <v>2012</v>
      </c>
      <c r="B227" s="94" t="s">
        <v>16</v>
      </c>
      <c r="C227" s="95">
        <f t="shared" si="15"/>
        <v>3467.4600000000069</v>
      </c>
      <c r="D227" s="158">
        <v>0.63998188894791586</v>
      </c>
      <c r="E227" s="95">
        <f t="shared" si="22"/>
        <v>1.8723576781942475</v>
      </c>
      <c r="F227" s="159">
        <f t="shared" si="19"/>
        <v>5.1041657194300649</v>
      </c>
      <c r="G227" s="98">
        <f t="shared" si="21"/>
        <v>2.0985216844606724</v>
      </c>
    </row>
    <row r="228" spans="1:7" x14ac:dyDescent="0.25">
      <c r="A228" s="93">
        <f>2012</f>
        <v>2012</v>
      </c>
      <c r="B228" s="94" t="s">
        <v>17</v>
      </c>
      <c r="C228" s="95">
        <f t="shared" si="15"/>
        <v>3479.9400000000069</v>
      </c>
      <c r="D228" s="158">
        <v>0.35991763423370848</v>
      </c>
      <c r="E228" s="95">
        <f t="shared" si="22"/>
        <v>2.2390142578876837</v>
      </c>
      <c r="F228" s="159">
        <f t="shared" si="19"/>
        <v>4.9888673678113449</v>
      </c>
      <c r="G228" s="98">
        <f t="shared" si="21"/>
        <v>2.0909958217670432</v>
      </c>
    </row>
    <row r="229" spans="1:7" x14ac:dyDescent="0.25">
      <c r="A229" s="93">
        <f>2012</f>
        <v>2012</v>
      </c>
      <c r="B229" s="94" t="s">
        <v>18</v>
      </c>
      <c r="C229" s="95">
        <f t="shared" si="15"/>
        <v>3482.7200000000062</v>
      </c>
      <c r="D229" s="158">
        <v>7.9886434823572827E-2</v>
      </c>
      <c r="E229" s="95">
        <f t="shared" si="22"/>
        <v>2.3206893613770818</v>
      </c>
      <c r="F229" s="159">
        <f t="shared" si="19"/>
        <v>4.9154252835474699</v>
      </c>
      <c r="G229" s="98">
        <f t="shared" si="21"/>
        <v>2.0893267331281313</v>
      </c>
    </row>
    <row r="230" spans="1:7" x14ac:dyDescent="0.25">
      <c r="A230" s="93">
        <f>2012</f>
        <v>2012</v>
      </c>
      <c r="B230" s="94" t="s">
        <v>19</v>
      </c>
      <c r="C230" s="95">
        <f t="shared" si="15"/>
        <v>3497.7000000000057</v>
      </c>
      <c r="D230" s="158">
        <v>0.43012358156842012</v>
      </c>
      <c r="E230" s="95">
        <f t="shared" si="22"/>
        <v>2.7607947751437267</v>
      </c>
      <c r="F230" s="159">
        <f t="shared" si="19"/>
        <v>5.1984143693268203</v>
      </c>
      <c r="G230" s="98">
        <f t="shared" si="21"/>
        <v>2.0803785344655075</v>
      </c>
    </row>
    <row r="231" spans="1:7" x14ac:dyDescent="0.25">
      <c r="A231" s="93">
        <f>2012</f>
        <v>2012</v>
      </c>
      <c r="B231" s="94" t="s">
        <v>20</v>
      </c>
      <c r="C231" s="95">
        <f t="shared" si="15"/>
        <v>3512.0400000000054</v>
      </c>
      <c r="D231" s="158">
        <v>0.40998370357663294</v>
      </c>
      <c r="E231" s="95">
        <f t="shared" si="22"/>
        <v>3.1820972873876308</v>
      </c>
      <c r="F231" s="159">
        <f t="shared" si="19"/>
        <v>5.2403840391230583</v>
      </c>
      <c r="G231" s="98">
        <f t="shared" si="21"/>
        <v>2.0718841471053882</v>
      </c>
    </row>
    <row r="232" spans="1:7" x14ac:dyDescent="0.25">
      <c r="A232" s="93">
        <f>2012</f>
        <v>2012</v>
      </c>
      <c r="B232" s="94" t="s">
        <v>21</v>
      </c>
      <c r="C232" s="95">
        <f t="shared" si="15"/>
        <v>3532.0600000000054</v>
      </c>
      <c r="D232" s="158">
        <v>0.57003906561428064</v>
      </c>
      <c r="E232" s="95">
        <f t="shared" si="22"/>
        <v>3.7702755506458852</v>
      </c>
      <c r="F232" s="159">
        <f t="shared" si="19"/>
        <v>5.2822033772001564</v>
      </c>
      <c r="G232" s="98">
        <f t="shared" si="21"/>
        <v>2.0601405412139111</v>
      </c>
    </row>
    <row r="233" spans="1:7" x14ac:dyDescent="0.25">
      <c r="A233" s="93">
        <f>2012</f>
        <v>2012</v>
      </c>
      <c r="B233" s="94" t="s">
        <v>22</v>
      </c>
      <c r="C233" s="95">
        <f t="shared" si="15"/>
        <v>3552.900000000006</v>
      </c>
      <c r="D233" s="158">
        <v>0.59002395202800706</v>
      </c>
      <c r="E233" s="95">
        <f t="shared" si="22"/>
        <v>4.3825450314801673</v>
      </c>
      <c r="F233" s="159">
        <f t="shared" si="19"/>
        <v>5.449829043593879</v>
      </c>
      <c r="G233" s="98">
        <f t="shared" si="21"/>
        <v>2.0480565172112937</v>
      </c>
    </row>
    <row r="234" spans="1:7" x14ac:dyDescent="0.25">
      <c r="A234" s="93">
        <f>2012</f>
        <v>2012</v>
      </c>
      <c r="B234" s="94" t="s">
        <v>23</v>
      </c>
      <c r="C234" s="95">
        <f t="shared" si="15"/>
        <v>3574.2200000000057</v>
      </c>
      <c r="D234" s="158">
        <v>0.60007317965604656</v>
      </c>
      <c r="E234" s="95">
        <f t="shared" si="22"/>
        <v>5.0089166884564662</v>
      </c>
      <c r="F234" s="159">
        <f t="shared" si="19"/>
        <v>5.5338372505019384</v>
      </c>
      <c r="G234" s="98">
        <f t="shared" si="21"/>
        <v>2.0358399874657986</v>
      </c>
    </row>
    <row r="235" spans="1:7" x14ac:dyDescent="0.25">
      <c r="A235" s="93">
        <f>2012</f>
        <v>2012</v>
      </c>
      <c r="B235" s="94" t="s">
        <v>12</v>
      </c>
      <c r="C235" s="95">
        <f t="shared" si="15"/>
        <v>3602.4600000000059</v>
      </c>
      <c r="D235" s="158">
        <v>0.79010245592046058</v>
      </c>
      <c r="E235" s="95">
        <f t="shared" si="22"/>
        <v>5.8385947181474274</v>
      </c>
      <c r="F235" s="159">
        <f t="shared" si="19"/>
        <v>5.8385947181474274</v>
      </c>
      <c r="G235" s="98">
        <f t="shared" si="21"/>
        <v>2.0198808591906658</v>
      </c>
    </row>
    <row r="236" spans="1:7" x14ac:dyDescent="0.25">
      <c r="A236" s="93">
        <f>2013</f>
        <v>2013</v>
      </c>
      <c r="B236" s="94" t="s">
        <v>13</v>
      </c>
      <c r="C236" s="95">
        <f t="shared" si="15"/>
        <v>3633.4400000000064</v>
      </c>
      <c r="D236" s="158">
        <v>0.85996791081650592</v>
      </c>
      <c r="E236" s="95">
        <f t="shared" ref="E236:E247" si="23">+((C236/$C$235)-1)*100</f>
        <v>0.85996791081650592</v>
      </c>
      <c r="F236" s="159">
        <f t="shared" si="19"/>
        <v>6.1543360825525362</v>
      </c>
      <c r="G236" s="98">
        <f t="shared" si="21"/>
        <v>2.0026586375445872</v>
      </c>
    </row>
    <row r="237" spans="1:7" x14ac:dyDescent="0.25">
      <c r="A237" s="93">
        <f>2013</f>
        <v>2013</v>
      </c>
      <c r="B237" s="94" t="s">
        <v>14</v>
      </c>
      <c r="C237" s="95">
        <f t="shared" si="15"/>
        <v>3655.2400000000061</v>
      </c>
      <c r="D237" s="158">
        <v>0.59998238583820473</v>
      </c>
      <c r="E237" s="95">
        <f t="shared" si="23"/>
        <v>1.4651099526434841</v>
      </c>
      <c r="F237" s="159">
        <f t="shared" si="19"/>
        <v>6.3129146440423334</v>
      </c>
      <c r="G237" s="98">
        <f t="shared" si="21"/>
        <v>1.9907146999923413</v>
      </c>
    </row>
    <row r="238" spans="1:7" x14ac:dyDescent="0.25">
      <c r="A238" s="93">
        <f>2013</f>
        <v>2013</v>
      </c>
      <c r="B238" s="94" t="s">
        <v>15</v>
      </c>
      <c r="C238" s="95">
        <f t="shared" si="15"/>
        <v>3672.4200000000064</v>
      </c>
      <c r="D238" s="158">
        <v>0.47001017717032134</v>
      </c>
      <c r="E238" s="95">
        <f t="shared" si="23"/>
        <v>1.94200629569794</v>
      </c>
      <c r="F238" s="159">
        <f t="shared" si="19"/>
        <v>6.588765923358908</v>
      </c>
      <c r="G238" s="98">
        <f t="shared" si="21"/>
        <v>1.9814019093676665</v>
      </c>
    </row>
    <row r="239" spans="1:7" x14ac:dyDescent="0.25">
      <c r="A239" s="93">
        <f>2013</f>
        <v>2013</v>
      </c>
      <c r="B239" s="94" t="s">
        <v>16</v>
      </c>
      <c r="C239" s="95">
        <f t="shared" si="15"/>
        <v>3692.6200000000067</v>
      </c>
      <c r="D239" s="158">
        <v>0.55004601870156655</v>
      </c>
      <c r="E239" s="95">
        <f t="shared" si="23"/>
        <v>2.5027342427119459</v>
      </c>
      <c r="F239" s="159">
        <f t="shared" si="19"/>
        <v>6.4935139842997369</v>
      </c>
      <c r="G239" s="98">
        <f t="shared" si="21"/>
        <v>1.9705629065541552</v>
      </c>
    </row>
    <row r="240" spans="1:7" x14ac:dyDescent="0.25">
      <c r="A240" s="93">
        <f>2013</f>
        <v>2013</v>
      </c>
      <c r="B240" s="94" t="s">
        <v>17</v>
      </c>
      <c r="C240" s="95">
        <f t="shared" ref="C240:C303" si="24">+C239*(1+D240/100)</f>
        <v>3706.280000000007</v>
      </c>
      <c r="D240" s="158">
        <v>0.36992704367089235</v>
      </c>
      <c r="E240" s="95">
        <f t="shared" si="23"/>
        <v>2.8819195771778494</v>
      </c>
      <c r="F240" s="159">
        <f t="shared" si="19"/>
        <v>6.504135128766575</v>
      </c>
      <c r="G240" s="98">
        <f t="shared" si="21"/>
        <v>1.9633001284306648</v>
      </c>
    </row>
    <row r="241" spans="1:7" x14ac:dyDescent="0.25">
      <c r="A241" s="93">
        <f>2013</f>
        <v>2013</v>
      </c>
      <c r="B241" s="94" t="s">
        <v>18</v>
      </c>
      <c r="C241" s="95">
        <f t="shared" si="24"/>
        <v>3715.9200000000073</v>
      </c>
      <c r="D241" s="158">
        <v>0.26009907508337538</v>
      </c>
      <c r="E241" s="95">
        <f t="shared" si="23"/>
        <v>3.1495144984261092</v>
      </c>
      <c r="F241" s="159">
        <f t="shared" si="19"/>
        <v>6.6959158358983917</v>
      </c>
      <c r="G241" s="98">
        <f t="shared" si="21"/>
        <v>1.9582068505242318</v>
      </c>
    </row>
    <row r="242" spans="1:7" x14ac:dyDescent="0.25">
      <c r="A242" s="93">
        <f>2013</f>
        <v>2013</v>
      </c>
      <c r="B242" s="94" t="s">
        <v>19</v>
      </c>
      <c r="C242" s="95">
        <f t="shared" si="24"/>
        <v>3717.030000000007</v>
      </c>
      <c r="D242" s="158">
        <v>2.9871471936959715E-2</v>
      </c>
      <c r="E242" s="95">
        <f t="shared" si="23"/>
        <v>3.1803267767026133</v>
      </c>
      <c r="F242" s="159">
        <f t="shared" si="19"/>
        <v>6.2706921691397577</v>
      </c>
      <c r="G242" s="98">
        <f t="shared" si="21"/>
        <v>1.957622079993975</v>
      </c>
    </row>
    <row r="243" spans="1:7" x14ac:dyDescent="0.25">
      <c r="A243" s="93">
        <f>2013</f>
        <v>2013</v>
      </c>
      <c r="B243" s="94" t="s">
        <v>20</v>
      </c>
      <c r="C243" s="95">
        <f t="shared" si="24"/>
        <v>3725.9500000000071</v>
      </c>
      <c r="D243" s="158">
        <v>0.23997654040994743</v>
      </c>
      <c r="E243" s="95">
        <f t="shared" si="23"/>
        <v>3.4279353552850278</v>
      </c>
      <c r="F243" s="159">
        <f t="shared" si="19"/>
        <v>6.0907620642134397</v>
      </c>
      <c r="G243" s="98">
        <f t="shared" si="21"/>
        <v>1.9529354929615277</v>
      </c>
    </row>
    <row r="244" spans="1:7" x14ac:dyDescent="0.25">
      <c r="A244" s="93">
        <f>2013</f>
        <v>2013</v>
      </c>
      <c r="B244" s="94" t="s">
        <v>21</v>
      </c>
      <c r="C244" s="95">
        <f t="shared" si="24"/>
        <v>3738.9900000000075</v>
      </c>
      <c r="D244" s="158">
        <v>0.34997785799595338</v>
      </c>
      <c r="E244" s="95">
        <f t="shared" si="23"/>
        <v>3.7899102280108954</v>
      </c>
      <c r="F244" s="159">
        <f t="shared" si="19"/>
        <v>5.8586207482319574</v>
      </c>
      <c r="G244" s="98">
        <f t="shared" si="21"/>
        <v>1.9461244881639168</v>
      </c>
    </row>
    <row r="245" spans="1:7" x14ac:dyDescent="0.25">
      <c r="A245" s="93">
        <f>2013</f>
        <v>2013</v>
      </c>
      <c r="B245" s="94" t="s">
        <v>22</v>
      </c>
      <c r="C245" s="95">
        <f t="shared" si="24"/>
        <v>3760.3000000000075</v>
      </c>
      <c r="D245" s="158">
        <v>0.56994001053760623</v>
      </c>
      <c r="E245" s="95">
        <f t="shared" si="23"/>
        <v>4.3814504533013832</v>
      </c>
      <c r="F245" s="159">
        <f t="shared" si="19"/>
        <v>5.837484871513432</v>
      </c>
      <c r="G245" s="98">
        <f t="shared" si="21"/>
        <v>1.935095604074144</v>
      </c>
    </row>
    <row r="246" spans="1:7" x14ac:dyDescent="0.25">
      <c r="A246" s="93">
        <f>2013</f>
        <v>2013</v>
      </c>
      <c r="B246" s="94" t="s">
        <v>23</v>
      </c>
      <c r="C246" s="95">
        <f t="shared" si="24"/>
        <v>3780.6100000000079</v>
      </c>
      <c r="D246" s="158">
        <v>0.54011648006808688</v>
      </c>
      <c r="E246" s="95">
        <f t="shared" si="23"/>
        <v>4.9452318693337771</v>
      </c>
      <c r="F246" s="159">
        <f t="shared" si="19"/>
        <v>5.7744067237047947</v>
      </c>
      <c r="G246" s="98">
        <f t="shared" si="21"/>
        <v>1.9246999822779929</v>
      </c>
    </row>
    <row r="247" spans="1:7" x14ac:dyDescent="0.25">
      <c r="A247" s="93">
        <f>2013</f>
        <v>2013</v>
      </c>
      <c r="B247" s="94" t="s">
        <v>12</v>
      </c>
      <c r="C247" s="95">
        <f t="shared" si="24"/>
        <v>3815.3900000000076</v>
      </c>
      <c r="D247" s="158">
        <v>0.91995736137817641</v>
      </c>
      <c r="E247" s="95">
        <f t="shared" si="23"/>
        <v>5.9106832553311062</v>
      </c>
      <c r="F247" s="159">
        <f t="shared" si="19"/>
        <v>5.9106832553311062</v>
      </c>
      <c r="G247" s="98">
        <f t="shared" si="21"/>
        <v>1.9071549697409711</v>
      </c>
    </row>
    <row r="248" spans="1:7" x14ac:dyDescent="0.25">
      <c r="A248" s="93">
        <f>2014</f>
        <v>2014</v>
      </c>
      <c r="B248" s="94" t="s">
        <v>13</v>
      </c>
      <c r="C248" s="95">
        <f t="shared" si="24"/>
        <v>3836.3700000000072</v>
      </c>
      <c r="D248" s="158">
        <v>0.54987825622019315</v>
      </c>
      <c r="E248" s="95">
        <f t="shared" ref="E248:E259" si="25">+((C248/$C$247)-1)*100</f>
        <v>0.54987825622019315</v>
      </c>
      <c r="F248" s="159">
        <f t="shared" si="19"/>
        <v>5.5850653925756388</v>
      </c>
      <c r="G248" s="98">
        <f t="shared" si="21"/>
        <v>1.8967252897921745</v>
      </c>
    </row>
    <row r="249" spans="1:7" x14ac:dyDescent="0.25">
      <c r="A249" s="93">
        <f>2014</f>
        <v>2014</v>
      </c>
      <c r="B249" s="94" t="s">
        <v>14</v>
      </c>
      <c r="C249" s="95">
        <f t="shared" si="24"/>
        <v>3862.840000000007</v>
      </c>
      <c r="D249" s="158">
        <v>0.68997515880897531</v>
      </c>
      <c r="E249" s="95">
        <f t="shared" si="25"/>
        <v>1.2436474384007745</v>
      </c>
      <c r="F249" s="159">
        <f t="shared" si="19"/>
        <v>5.6795176240137524</v>
      </c>
      <c r="G249" s="98">
        <f t="shared" si="21"/>
        <v>1.8837280342960114</v>
      </c>
    </row>
    <row r="250" spans="1:7" x14ac:dyDescent="0.25">
      <c r="A250" s="93">
        <f>2014</f>
        <v>2014</v>
      </c>
      <c r="B250" s="94" t="s">
        <v>15</v>
      </c>
      <c r="C250" s="95">
        <f t="shared" si="24"/>
        <v>3898.3800000000069</v>
      </c>
      <c r="D250" s="158">
        <v>0.92004846175353094</v>
      </c>
      <c r="E250" s="95">
        <f t="shared" si="25"/>
        <v>2.1751380592809344</v>
      </c>
      <c r="F250" s="159">
        <f t="shared" si="19"/>
        <v>6.1528910091982913</v>
      </c>
      <c r="G250" s="98">
        <f t="shared" si="21"/>
        <v>1.8665548253377058</v>
      </c>
    </row>
    <row r="251" spans="1:7" x14ac:dyDescent="0.25">
      <c r="A251" s="93">
        <f>2014</f>
        <v>2014</v>
      </c>
      <c r="B251" s="94" t="s">
        <v>16</v>
      </c>
      <c r="C251" s="95">
        <f t="shared" si="24"/>
        <v>3924.5000000000068</v>
      </c>
      <c r="D251" s="158">
        <v>0.67002190653553395</v>
      </c>
      <c r="E251" s="95">
        <f t="shared" si="25"/>
        <v>2.8597338673110428</v>
      </c>
      <c r="F251" s="159">
        <f t="shared" si="19"/>
        <v>6.2795521878774352</v>
      </c>
      <c r="G251" s="98">
        <f t="shared" si="21"/>
        <v>1.8541317365269474</v>
      </c>
    </row>
    <row r="252" spans="1:7" x14ac:dyDescent="0.25">
      <c r="A252" s="93">
        <f>2014</f>
        <v>2014</v>
      </c>
      <c r="B252" s="94" t="s">
        <v>17</v>
      </c>
      <c r="C252" s="95">
        <f t="shared" si="24"/>
        <v>3942.550000000007</v>
      </c>
      <c r="D252" s="158">
        <v>0.459931201426933</v>
      </c>
      <c r="E252" s="95">
        <f t="shared" si="25"/>
        <v>3.3328178770715144</v>
      </c>
      <c r="F252" s="159">
        <f t="shared" si="19"/>
        <v>6.374855650409561</v>
      </c>
      <c r="G252" s="98">
        <f t="shared" si="21"/>
        <v>1.8456430482809363</v>
      </c>
    </row>
    <row r="253" spans="1:7" x14ac:dyDescent="0.25">
      <c r="A253" s="93">
        <f>2014</f>
        <v>2014</v>
      </c>
      <c r="B253" s="94" t="s">
        <v>18</v>
      </c>
      <c r="C253" s="95">
        <f t="shared" si="24"/>
        <v>3958.320000000007</v>
      </c>
      <c r="D253" s="158">
        <v>0.39999492714106744</v>
      </c>
      <c r="E253" s="95">
        <f t="shared" si="25"/>
        <v>3.746143906651711</v>
      </c>
      <c r="F253" s="159">
        <f t="shared" si="19"/>
        <v>6.523283601369223</v>
      </c>
      <c r="G253" s="98">
        <f t="shared" si="21"/>
        <v>1.8382899816083604</v>
      </c>
    </row>
    <row r="254" spans="1:7" x14ac:dyDescent="0.25">
      <c r="A254" s="93">
        <f>2014</f>
        <v>2014</v>
      </c>
      <c r="B254" s="94" t="s">
        <v>19</v>
      </c>
      <c r="C254" s="95">
        <f t="shared" si="24"/>
        <v>3958.7200000000066</v>
      </c>
      <c r="D254" s="158">
        <v>1.0105297196782992E-2</v>
      </c>
      <c r="E254" s="95">
        <f t="shared" si="25"/>
        <v>3.7566277628236833</v>
      </c>
      <c r="F254" s="159">
        <f t="shared" si="19"/>
        <v>6.5022343107265623</v>
      </c>
      <c r="G254" s="98">
        <f t="shared" si="21"/>
        <v>1.838104235712555</v>
      </c>
    </row>
    <row r="255" spans="1:7" x14ac:dyDescent="0.25">
      <c r="A255" s="93">
        <f>2014</f>
        <v>2014</v>
      </c>
      <c r="B255" s="94" t="s">
        <v>20</v>
      </c>
      <c r="C255" s="95">
        <f t="shared" si="24"/>
        <v>3968.6200000000063</v>
      </c>
      <c r="D255" s="158">
        <v>0.25008083420903215</v>
      </c>
      <c r="E255" s="95">
        <f t="shared" si="25"/>
        <v>4.0161032030801236</v>
      </c>
      <c r="F255" s="159">
        <f t="shared" si="19"/>
        <v>6.5129698466162678</v>
      </c>
      <c r="G255" s="98">
        <f t="shared" si="21"/>
        <v>1.8335189562114806</v>
      </c>
    </row>
    <row r="256" spans="1:7" x14ac:dyDescent="0.25">
      <c r="A256" s="93">
        <f>2014</f>
        <v>2014</v>
      </c>
      <c r="B256" s="94" t="s">
        <v>21</v>
      </c>
      <c r="C256" s="95">
        <f t="shared" si="24"/>
        <v>3991.2400000000061</v>
      </c>
      <c r="D256" s="158">
        <v>0.56997142583568028</v>
      </c>
      <c r="E256" s="95">
        <f t="shared" si="25"/>
        <v>4.608965269605414</v>
      </c>
      <c r="F256" s="159">
        <f t="shared" si="19"/>
        <v>6.7464743152562123</v>
      </c>
      <c r="G256" s="98">
        <f t="shared" si="21"/>
        <v>1.8231276495525217</v>
      </c>
    </row>
    <row r="257" spans="1:7" x14ac:dyDescent="0.25">
      <c r="A257" s="93">
        <f>2014</f>
        <v>2014</v>
      </c>
      <c r="B257" s="94" t="s">
        <v>22</v>
      </c>
      <c r="C257" s="95">
        <f t="shared" si="24"/>
        <v>4008.0000000000064</v>
      </c>
      <c r="D257" s="158">
        <v>0.41991962397651683</v>
      </c>
      <c r="E257" s="95">
        <f t="shared" si="25"/>
        <v>5.0482388432112613</v>
      </c>
      <c r="F257" s="159">
        <f t="shared" si="19"/>
        <v>6.5872403797568868</v>
      </c>
      <c r="G257" s="98">
        <f t="shared" si="21"/>
        <v>1.8155039920159697</v>
      </c>
    </row>
    <row r="258" spans="1:7" x14ac:dyDescent="0.25">
      <c r="A258" s="93">
        <f>2014</f>
        <v>2014</v>
      </c>
      <c r="B258" s="94" t="s">
        <v>23</v>
      </c>
      <c r="C258" s="95">
        <f t="shared" si="24"/>
        <v>4028.4400000000064</v>
      </c>
      <c r="D258" s="158">
        <v>0.50998003992015484</v>
      </c>
      <c r="E258" s="95">
        <f t="shared" si="25"/>
        <v>5.5839638935992975</v>
      </c>
      <c r="F258" s="159">
        <f t="shared" si="19"/>
        <v>6.5552913418733594</v>
      </c>
      <c r="G258" s="98">
        <f t="shared" si="21"/>
        <v>1.8062922620170603</v>
      </c>
    </row>
    <row r="259" spans="1:7" x14ac:dyDescent="0.25">
      <c r="A259" s="93">
        <f>2014</f>
        <v>2014</v>
      </c>
      <c r="B259" s="94" t="s">
        <v>12</v>
      </c>
      <c r="C259" s="95">
        <f t="shared" si="24"/>
        <v>4059.8600000000065</v>
      </c>
      <c r="D259" s="158">
        <v>0.77995452333905479</v>
      </c>
      <c r="E259" s="95">
        <f t="shared" si="25"/>
        <v>6.4074707959081101</v>
      </c>
      <c r="F259" s="159">
        <f t="shared" si="19"/>
        <v>6.4074707959081101</v>
      </c>
      <c r="G259" s="98">
        <f t="shared" si="21"/>
        <v>1.7923130354248684</v>
      </c>
    </row>
    <row r="260" spans="1:7" x14ac:dyDescent="0.25">
      <c r="A260" s="93">
        <f>2015</f>
        <v>2015</v>
      </c>
      <c r="B260" s="94" t="s">
        <v>13</v>
      </c>
      <c r="C260" s="95">
        <f t="shared" si="24"/>
        <v>4110.2000000000062</v>
      </c>
      <c r="D260" s="158">
        <v>1.2399442345302436</v>
      </c>
      <c r="E260" s="95">
        <f t="shared" ref="E260:E271" si="26">+((C260/$C$259)-1)*100</f>
        <v>1.2399442345302436</v>
      </c>
      <c r="F260" s="159">
        <f t="shared" si="19"/>
        <v>7.1377369753177655</v>
      </c>
      <c r="G260" s="98">
        <f t="shared" si="21"/>
        <v>1.7703615395844503</v>
      </c>
    </row>
    <row r="261" spans="1:7" x14ac:dyDescent="0.25">
      <c r="A261" s="93">
        <f>2015</f>
        <v>2015</v>
      </c>
      <c r="B261" s="94" t="s">
        <v>14</v>
      </c>
      <c r="C261" s="95">
        <f t="shared" si="24"/>
        <v>4160.3400000000065</v>
      </c>
      <c r="D261" s="158">
        <v>1.2198919760595617</v>
      </c>
      <c r="E261" s="95">
        <f t="shared" si="26"/>
        <v>2.474962190814467</v>
      </c>
      <c r="F261" s="159">
        <f t="shared" si="19"/>
        <v>7.7015874330802925</v>
      </c>
      <c r="G261" s="98">
        <f t="shared" si="21"/>
        <v>1.7490253200459593</v>
      </c>
    </row>
    <row r="262" spans="1:7" x14ac:dyDescent="0.25">
      <c r="A262" s="93">
        <f>2015</f>
        <v>2015</v>
      </c>
      <c r="B262" s="94" t="s">
        <v>15</v>
      </c>
      <c r="C262" s="95">
        <f t="shared" si="24"/>
        <v>4215.2600000000066</v>
      </c>
      <c r="D262" s="158">
        <v>1.3200844161775249</v>
      </c>
      <c r="E262" s="95">
        <f t="shared" si="26"/>
        <v>3.8277181971792196</v>
      </c>
      <c r="F262" s="159">
        <f t="shared" si="19"/>
        <v>8.1285046609103961</v>
      </c>
      <c r="G262" s="98">
        <f t="shared" si="21"/>
        <v>1.726237527459755</v>
      </c>
    </row>
    <row r="263" spans="1:7" x14ac:dyDescent="0.25">
      <c r="A263" s="93">
        <f>2015</f>
        <v>2015</v>
      </c>
      <c r="B263" s="94" t="s">
        <v>16</v>
      </c>
      <c r="C263" s="95">
        <f t="shared" si="24"/>
        <v>4245.1900000000069</v>
      </c>
      <c r="D263" s="158">
        <v>0.71003923838623972</v>
      </c>
      <c r="E263" s="95">
        <f t="shared" si="26"/>
        <v>4.564935736700293</v>
      </c>
      <c r="F263" s="159">
        <f t="shared" si="19"/>
        <v>8.1714868136068208</v>
      </c>
      <c r="G263" s="98">
        <f t="shared" si="21"/>
        <v>1.7140669793342598</v>
      </c>
    </row>
    <row r="264" spans="1:7" x14ac:dyDescent="0.25">
      <c r="A264" s="93">
        <f>2015</f>
        <v>2015</v>
      </c>
      <c r="B264" s="94" t="s">
        <v>17</v>
      </c>
      <c r="C264" s="95">
        <f t="shared" si="24"/>
        <v>4276.6000000000076</v>
      </c>
      <c r="D264" s="158">
        <v>0.73989621194812116</v>
      </c>
      <c r="E264" s="95">
        <f t="shared" si="26"/>
        <v>5.3386077352421291</v>
      </c>
      <c r="F264" s="159">
        <f t="shared" si="19"/>
        <v>8.4729426386475737</v>
      </c>
      <c r="G264" s="98">
        <f t="shared" si="21"/>
        <v>1.7014778094748177</v>
      </c>
    </row>
    <row r="265" spans="1:7" x14ac:dyDescent="0.25">
      <c r="A265" s="93">
        <f>2015</f>
        <v>2015</v>
      </c>
      <c r="B265" s="94" t="s">
        <v>18</v>
      </c>
      <c r="C265" s="95">
        <f t="shared" si="24"/>
        <v>4310.3900000000076</v>
      </c>
      <c r="D265" s="158">
        <v>0.79011364167795861</v>
      </c>
      <c r="E265" s="95">
        <f t="shared" si="26"/>
        <v>6.1709024449119187</v>
      </c>
      <c r="F265" s="159">
        <f t="shared" si="19"/>
        <v>8.8944299601851249</v>
      </c>
      <c r="G265" s="98">
        <f t="shared" si="21"/>
        <v>1.688139588297116</v>
      </c>
    </row>
    <row r="266" spans="1:7" x14ac:dyDescent="0.25">
      <c r="A266" s="93">
        <f>2015</f>
        <v>2015</v>
      </c>
      <c r="B266" s="94" t="s">
        <v>19</v>
      </c>
      <c r="C266" s="95">
        <f t="shared" si="24"/>
        <v>4337.1100000000069</v>
      </c>
      <c r="D266" s="158">
        <v>0.61989750347415384</v>
      </c>
      <c r="E266" s="95">
        <f t="shared" si="26"/>
        <v>6.8290532185838915</v>
      </c>
      <c r="F266" s="159">
        <f t="shared" si="19"/>
        <v>9.5583926117532858</v>
      </c>
      <c r="G266" s="98">
        <f t="shared" si="21"/>
        <v>1.6777393241121408</v>
      </c>
    </row>
    <row r="267" spans="1:7" x14ac:dyDescent="0.25">
      <c r="A267" s="93">
        <f>2015</f>
        <v>2015</v>
      </c>
      <c r="B267" s="94" t="s">
        <v>20</v>
      </c>
      <c r="C267" s="95">
        <f t="shared" si="24"/>
        <v>4346.6500000000069</v>
      </c>
      <c r="D267" s="158">
        <v>0.21996214068815689</v>
      </c>
      <c r="E267" s="95">
        <f t="shared" si="26"/>
        <v>7.0640366909203722</v>
      </c>
      <c r="F267" s="159">
        <f t="shared" si="19"/>
        <v>9.5254773699674047</v>
      </c>
      <c r="G267" s="98">
        <f t="shared" si="21"/>
        <v>1.674057032427273</v>
      </c>
    </row>
    <row r="268" spans="1:7" x14ac:dyDescent="0.25">
      <c r="A268" s="93">
        <f>2015</f>
        <v>2015</v>
      </c>
      <c r="B268" s="94" t="s">
        <v>21</v>
      </c>
      <c r="C268" s="95">
        <f t="shared" si="24"/>
        <v>4370.1200000000072</v>
      </c>
      <c r="D268" s="158">
        <v>0.53995605811372194</v>
      </c>
      <c r="E268" s="95">
        <f t="shared" si="26"/>
        <v>7.6421354430941113</v>
      </c>
      <c r="F268" s="159">
        <f t="shared" si="19"/>
        <v>9.4927892083663359</v>
      </c>
      <c r="G268" s="98">
        <f t="shared" si="21"/>
        <v>1.665066405499164</v>
      </c>
    </row>
    <row r="269" spans="1:7" x14ac:dyDescent="0.25">
      <c r="A269" s="93">
        <f>2015</f>
        <v>2015</v>
      </c>
      <c r="B269" s="94" t="s">
        <v>22</v>
      </c>
      <c r="C269" s="95">
        <f t="shared" si="24"/>
        <v>4405.9500000000071</v>
      </c>
      <c r="D269" s="158">
        <v>0.81988595278847942</v>
      </c>
      <c r="E269" s="95">
        <f t="shared" si="26"/>
        <v>8.5246781908735692</v>
      </c>
      <c r="F269" s="159">
        <f t="shared" si="19"/>
        <v>9.9288922155688741</v>
      </c>
      <c r="G269" s="98">
        <f t="shared" si="21"/>
        <v>1.6515257776415997</v>
      </c>
    </row>
    <row r="270" spans="1:7" x14ac:dyDescent="0.25">
      <c r="A270" s="93">
        <f>2015</f>
        <v>2015</v>
      </c>
      <c r="B270" s="94" t="s">
        <v>23</v>
      </c>
      <c r="C270" s="95">
        <f t="shared" si="24"/>
        <v>4450.4500000000071</v>
      </c>
      <c r="D270" s="158">
        <v>1.009997843824828</v>
      </c>
      <c r="E270" s="95">
        <f t="shared" si="26"/>
        <v>9.6207751006192268</v>
      </c>
      <c r="F270" s="159">
        <f t="shared" si="19"/>
        <v>10.475767294535853</v>
      </c>
      <c r="G270" s="98">
        <f t="shared" si="21"/>
        <v>1.6350121897785632</v>
      </c>
    </row>
    <row r="271" spans="1:7" x14ac:dyDescent="0.25">
      <c r="A271" s="93">
        <f>2015</f>
        <v>2015</v>
      </c>
      <c r="B271" s="94" t="s">
        <v>12</v>
      </c>
      <c r="C271" s="95">
        <f t="shared" si="24"/>
        <v>4493.1700000000083</v>
      </c>
      <c r="D271" s="158">
        <v>0.95990293116428038</v>
      </c>
      <c r="E271" s="95">
        <f t="shared" si="26"/>
        <v>10.673028133975082</v>
      </c>
      <c r="F271" s="159">
        <f t="shared" si="19"/>
        <v>10.673028133975082</v>
      </c>
      <c r="G271" s="98">
        <f t="shared" si="21"/>
        <v>1.6194668797307925</v>
      </c>
    </row>
    <row r="272" spans="1:7" x14ac:dyDescent="0.25">
      <c r="A272" s="93">
        <f>2016</f>
        <v>2016</v>
      </c>
      <c r="B272" s="94" t="s">
        <v>13</v>
      </c>
      <c r="C272" s="95">
        <f t="shared" si="24"/>
        <v>4550.2300000000077</v>
      </c>
      <c r="D272" s="158">
        <v>1.2699274676898353</v>
      </c>
      <c r="E272" s="95">
        <f t="shared" ref="E272:E283" si="27">+((C272/$C$271)-1)*100</f>
        <v>1.2699274676898353</v>
      </c>
      <c r="F272" s="159">
        <f t="shared" si="19"/>
        <v>10.705805070312913</v>
      </c>
      <c r="G272" s="98">
        <f t="shared" si="21"/>
        <v>1.59915872384473</v>
      </c>
    </row>
    <row r="273" spans="1:7" x14ac:dyDescent="0.25">
      <c r="A273" s="93">
        <f>2016</f>
        <v>2016</v>
      </c>
      <c r="B273" s="94" t="s">
        <v>14</v>
      </c>
      <c r="C273" s="95">
        <f t="shared" si="24"/>
        <v>4591.1800000000085</v>
      </c>
      <c r="D273" s="158">
        <v>0.89995450779412067</v>
      </c>
      <c r="E273" s="95">
        <f t="shared" si="27"/>
        <v>2.1813107449751623</v>
      </c>
      <c r="F273" s="159">
        <f t="shared" si="19"/>
        <v>10.35588437483479</v>
      </c>
      <c r="G273" s="98">
        <f t="shared" si="21"/>
        <v>1.5848953863712607</v>
      </c>
    </row>
    <row r="274" spans="1:7" x14ac:dyDescent="0.25">
      <c r="A274" s="93">
        <f>2016</f>
        <v>2016</v>
      </c>
      <c r="B274" s="94" t="s">
        <v>15</v>
      </c>
      <c r="C274" s="95">
        <f t="shared" si="24"/>
        <v>4610.9200000000092</v>
      </c>
      <c r="D274" s="158">
        <v>0.42995482642806948</v>
      </c>
      <c r="E274" s="95">
        <f t="shared" si="27"/>
        <v>2.6206442222306503</v>
      </c>
      <c r="F274" s="159">
        <f t="shared" si="19"/>
        <v>9.3863723708621052</v>
      </c>
      <c r="G274" s="98">
        <f t="shared" si="21"/>
        <v>1.578110225291266</v>
      </c>
    </row>
    <row r="275" spans="1:7" x14ac:dyDescent="0.25">
      <c r="A275" s="93">
        <f>2016</f>
        <v>2016</v>
      </c>
      <c r="B275" s="94" t="s">
        <v>16</v>
      </c>
      <c r="C275" s="95">
        <f t="shared" si="24"/>
        <v>4639.0500000000093</v>
      </c>
      <c r="D275" s="158">
        <v>0.61007347774413301</v>
      </c>
      <c r="E275" s="95">
        <f t="shared" si="27"/>
        <v>3.2467055553206503</v>
      </c>
      <c r="F275" s="159">
        <f t="shared" ref="F275:F338" si="28">100*((C275/C263)-1)</f>
        <v>9.2777943978950681</v>
      </c>
      <c r="G275" s="98">
        <f t="shared" si="21"/>
        <v>1.5685409728284894</v>
      </c>
    </row>
    <row r="276" spans="1:7" x14ac:dyDescent="0.25">
      <c r="A276" s="93">
        <f>2016</f>
        <v>2016</v>
      </c>
      <c r="B276" s="94" t="s">
        <v>17</v>
      </c>
      <c r="C276" s="95">
        <f t="shared" si="24"/>
        <v>4675.2300000000087</v>
      </c>
      <c r="D276" s="158">
        <v>0.77990105732852477</v>
      </c>
      <c r="E276" s="95">
        <f t="shared" si="27"/>
        <v>4.0519277036034751</v>
      </c>
      <c r="F276" s="159">
        <f t="shared" si="28"/>
        <v>9.3211897301594746</v>
      </c>
      <c r="G276" s="98">
        <f t="shared" si="21"/>
        <v>1.5564025727076538</v>
      </c>
    </row>
    <row r="277" spans="1:7" x14ac:dyDescent="0.25">
      <c r="A277" s="93">
        <f>2016</f>
        <v>2016</v>
      </c>
      <c r="B277" s="94" t="s">
        <v>18</v>
      </c>
      <c r="C277" s="95">
        <f t="shared" si="24"/>
        <v>4691.5900000000092</v>
      </c>
      <c r="D277" s="158">
        <v>0.34992930829071955</v>
      </c>
      <c r="E277" s="95">
        <f t="shared" si="27"/>
        <v>4.4160358944798528</v>
      </c>
      <c r="F277" s="159">
        <f t="shared" si="28"/>
        <v>8.8437473175281269</v>
      </c>
      <c r="G277" s="98">
        <f t="shared" si="21"/>
        <v>1.5509752557235401</v>
      </c>
    </row>
    <row r="278" spans="1:7" x14ac:dyDescent="0.25">
      <c r="A278" s="93">
        <f>2016</f>
        <v>2016</v>
      </c>
      <c r="B278" s="94" t="s">
        <v>19</v>
      </c>
      <c r="C278" s="95">
        <f t="shared" si="24"/>
        <v>4715.9900000000089</v>
      </c>
      <c r="D278" s="158">
        <v>0.5200795465929442</v>
      </c>
      <c r="E278" s="95">
        <f t="shared" si="27"/>
        <v>4.9590823405301965</v>
      </c>
      <c r="F278" s="159">
        <f t="shared" si="28"/>
        <v>8.7357710549190948</v>
      </c>
      <c r="G278" s="98">
        <f t="shared" ref="G278:G341" si="29">+$C$383/C278</f>
        <v>1.5429506847978907</v>
      </c>
    </row>
    <row r="279" spans="1:7" x14ac:dyDescent="0.25">
      <c r="A279" s="93">
        <f>2016</f>
        <v>2016</v>
      </c>
      <c r="B279" s="94" t="s">
        <v>20</v>
      </c>
      <c r="C279" s="95">
        <f t="shared" si="24"/>
        <v>4736.7400000000089</v>
      </c>
      <c r="D279" s="158">
        <v>0.43999245121384423</v>
      </c>
      <c r="E279" s="95">
        <f t="shared" si="27"/>
        <v>5.420894379691843</v>
      </c>
      <c r="F279" s="159">
        <f t="shared" si="28"/>
        <v>8.9744976016012714</v>
      </c>
      <c r="G279" s="98">
        <f t="shared" si="29"/>
        <v>1.5361915579069159</v>
      </c>
    </row>
    <row r="280" spans="1:7" x14ac:dyDescent="0.25">
      <c r="A280" s="93">
        <f>2016</f>
        <v>2016</v>
      </c>
      <c r="B280" s="94" t="s">
        <v>21</v>
      </c>
      <c r="C280" s="95">
        <f t="shared" si="24"/>
        <v>4740.5300000000088</v>
      </c>
      <c r="D280" s="158">
        <v>8.0012835832232732E-2</v>
      </c>
      <c r="E280" s="95">
        <f t="shared" si="27"/>
        <v>5.5052446268447408</v>
      </c>
      <c r="F280" s="159">
        <f t="shared" si="28"/>
        <v>8.4759686232872546</v>
      </c>
      <c r="G280" s="98">
        <f t="shared" si="29"/>
        <v>1.5349633901694546</v>
      </c>
    </row>
    <row r="281" spans="1:7" x14ac:dyDescent="0.25">
      <c r="A281" s="93">
        <f>2016</f>
        <v>2016</v>
      </c>
      <c r="B281" s="94" t="s">
        <v>22</v>
      </c>
      <c r="C281" s="95">
        <f t="shared" si="24"/>
        <v>4752.8600000000088</v>
      </c>
      <c r="D281" s="158">
        <v>0.26009749964666096</v>
      </c>
      <c r="E281" s="95">
        <f t="shared" si="27"/>
        <v>5.7796611301152545</v>
      </c>
      <c r="F281" s="159">
        <f t="shared" si="28"/>
        <v>7.8736708314892656</v>
      </c>
      <c r="G281" s="98">
        <f t="shared" si="29"/>
        <v>1.5309813459685335</v>
      </c>
    </row>
    <row r="282" spans="1:7" x14ac:dyDescent="0.25">
      <c r="A282" s="93">
        <f>2016</f>
        <v>2016</v>
      </c>
      <c r="B282" s="94" t="s">
        <v>23</v>
      </c>
      <c r="C282" s="95">
        <f t="shared" si="24"/>
        <v>4761.4200000000092</v>
      </c>
      <c r="D282" s="158">
        <v>0.18010208590197863</v>
      </c>
      <c r="E282" s="95">
        <f t="shared" si="27"/>
        <v>5.9701725062706323</v>
      </c>
      <c r="F282" s="159">
        <f t="shared" si="28"/>
        <v>6.9873832983181838</v>
      </c>
      <c r="G282" s="98">
        <f t="shared" si="29"/>
        <v>1.5282289737095245</v>
      </c>
    </row>
    <row r="283" spans="1:7" x14ac:dyDescent="0.25">
      <c r="A283" s="93">
        <f>2016</f>
        <v>2016</v>
      </c>
      <c r="B283" s="94" t="s">
        <v>12</v>
      </c>
      <c r="C283" s="95">
        <f t="shared" si="24"/>
        <v>4775.7000000000089</v>
      </c>
      <c r="D283" s="158">
        <v>0.29991053089204467</v>
      </c>
      <c r="E283" s="95">
        <f t="shared" si="27"/>
        <v>6.2879882132214071</v>
      </c>
      <c r="F283" s="159">
        <f t="shared" si="28"/>
        <v>6.2879882132214071</v>
      </c>
      <c r="G283" s="98">
        <f t="shared" si="29"/>
        <v>1.523659358837449</v>
      </c>
    </row>
    <row r="284" spans="1:7" x14ac:dyDescent="0.25">
      <c r="A284" s="93">
        <f>2017</f>
        <v>2017</v>
      </c>
      <c r="B284" s="94" t="s">
        <v>13</v>
      </c>
      <c r="C284" s="95">
        <f t="shared" si="24"/>
        <v>4793.8500000000104</v>
      </c>
      <c r="D284" s="158">
        <v>0.38004899805266223</v>
      </c>
      <c r="E284" s="95">
        <f t="shared" ref="E284:E295" si="30">+((C284/$C$283)-1)*100</f>
        <v>0.38004899805266223</v>
      </c>
      <c r="F284" s="159">
        <f t="shared" si="28"/>
        <v>5.3540150717656498</v>
      </c>
      <c r="G284" s="98">
        <f t="shared" si="29"/>
        <v>1.5178906307039233</v>
      </c>
    </row>
    <row r="285" spans="1:7" x14ac:dyDescent="0.25">
      <c r="A285" s="93">
        <f>2017</f>
        <v>2017</v>
      </c>
      <c r="B285" s="94" t="s">
        <v>14</v>
      </c>
      <c r="C285" s="95">
        <f t="shared" si="24"/>
        <v>4809.670000000011</v>
      </c>
      <c r="D285" s="158">
        <v>0.33000615371778785</v>
      </c>
      <c r="E285" s="95">
        <f t="shared" si="30"/>
        <v>0.71130933685117359</v>
      </c>
      <c r="F285" s="159">
        <f t="shared" si="28"/>
        <v>4.7589072961635503</v>
      </c>
      <c r="G285" s="98">
        <f t="shared" si="29"/>
        <v>1.5128979742892967</v>
      </c>
    </row>
    <row r="286" spans="1:7" x14ac:dyDescent="0.25">
      <c r="A286" s="93">
        <f>2017</f>
        <v>2017</v>
      </c>
      <c r="B286" s="94" t="s">
        <v>15</v>
      </c>
      <c r="C286" s="95">
        <f t="shared" si="24"/>
        <v>4821.6900000000105</v>
      </c>
      <c r="D286" s="158">
        <v>0.24991319570779602</v>
      </c>
      <c r="E286" s="95">
        <f t="shared" si="30"/>
        <v>0.96300018845407731</v>
      </c>
      <c r="F286" s="159">
        <f t="shared" si="28"/>
        <v>4.5711051156819282</v>
      </c>
      <c r="G286" s="98">
        <f t="shared" si="29"/>
        <v>1.5091264681055818</v>
      </c>
    </row>
    <row r="287" spans="1:7" x14ac:dyDescent="0.25">
      <c r="A287" s="93">
        <f>2017</f>
        <v>2017</v>
      </c>
      <c r="B287" s="94" t="s">
        <v>16</v>
      </c>
      <c r="C287" s="95">
        <f t="shared" si="24"/>
        <v>4828.4400000000105</v>
      </c>
      <c r="D287" s="158">
        <v>0.13999240930047119</v>
      </c>
      <c r="E287" s="95">
        <f t="shared" si="30"/>
        <v>1.1043407249199388</v>
      </c>
      <c r="F287" s="159">
        <f t="shared" si="28"/>
        <v>4.0825168946228452</v>
      </c>
      <c r="G287" s="98">
        <f t="shared" si="29"/>
        <v>1.5070167590360453</v>
      </c>
    </row>
    <row r="288" spans="1:7" x14ac:dyDescent="0.25">
      <c r="A288" s="93">
        <f>2017</f>
        <v>2017</v>
      </c>
      <c r="B288" s="94" t="s">
        <v>17</v>
      </c>
      <c r="C288" s="95">
        <f t="shared" si="24"/>
        <v>4843.4100000000108</v>
      </c>
      <c r="D288" s="158">
        <v>0.3100380247036405</v>
      </c>
      <c r="E288" s="95">
        <f t="shared" si="30"/>
        <v>1.4178026257931187</v>
      </c>
      <c r="F288" s="159">
        <f t="shared" si="28"/>
        <v>3.5972561777709799</v>
      </c>
      <c r="G288" s="98">
        <f t="shared" si="29"/>
        <v>1.5023588752552441</v>
      </c>
    </row>
    <row r="289" spans="1:7" x14ac:dyDescent="0.25">
      <c r="A289" s="93">
        <f>2017</f>
        <v>2017</v>
      </c>
      <c r="B289" s="94" t="s">
        <v>18</v>
      </c>
      <c r="C289" s="95">
        <f t="shared" si="24"/>
        <v>4832.2700000000114</v>
      </c>
      <c r="D289" s="96">
        <v>-0.23000324151783991</v>
      </c>
      <c r="E289" s="95">
        <f t="shared" si="30"/>
        <v>1.184538392277612</v>
      </c>
      <c r="F289" s="159">
        <f t="shared" si="28"/>
        <v>2.9985569924055877</v>
      </c>
      <c r="G289" s="98">
        <f t="shared" si="29"/>
        <v>1.5058223153921451</v>
      </c>
    </row>
    <row r="290" spans="1:7" x14ac:dyDescent="0.25">
      <c r="A290" s="93">
        <f>2017</f>
        <v>2017</v>
      </c>
      <c r="B290" s="94" t="s">
        <v>19</v>
      </c>
      <c r="C290" s="95">
        <f t="shared" si="24"/>
        <v>4843.8700000000108</v>
      </c>
      <c r="D290" s="96">
        <v>0.24005281161854075</v>
      </c>
      <c r="E290" s="95">
        <f t="shared" si="30"/>
        <v>1.4274347216115313</v>
      </c>
      <c r="F290" s="159">
        <f t="shared" si="28"/>
        <v>2.7116257668061472</v>
      </c>
      <c r="G290" s="98">
        <f t="shared" si="29"/>
        <v>1.5022162031598705</v>
      </c>
    </row>
    <row r="291" spans="1:7" x14ac:dyDescent="0.25">
      <c r="A291" s="93">
        <f>2017</f>
        <v>2017</v>
      </c>
      <c r="B291" s="94" t="s">
        <v>20</v>
      </c>
      <c r="C291" s="95">
        <f t="shared" si="24"/>
        <v>4853.0700000000106</v>
      </c>
      <c r="D291" s="96">
        <v>0.18993077848910023</v>
      </c>
      <c r="E291" s="95">
        <f t="shared" si="30"/>
        <v>1.6200766379798059</v>
      </c>
      <c r="F291" s="159">
        <f t="shared" si="28"/>
        <v>2.4559084940275699</v>
      </c>
      <c r="G291" s="98">
        <f t="shared" si="29"/>
        <v>1.4993684410074453</v>
      </c>
    </row>
    <row r="292" spans="1:7" x14ac:dyDescent="0.25">
      <c r="A292" s="93">
        <f>2017</f>
        <v>2017</v>
      </c>
      <c r="B292" s="94" t="s">
        <v>21</v>
      </c>
      <c r="C292" s="95">
        <f t="shared" si="24"/>
        <v>4860.8300000000108</v>
      </c>
      <c r="D292" s="96">
        <v>0.15989878571709415</v>
      </c>
      <c r="E292" s="95">
        <f t="shared" si="30"/>
        <v>1.7825659065687116</v>
      </c>
      <c r="F292" s="159">
        <f t="shared" si="28"/>
        <v>2.5376909332923026</v>
      </c>
      <c r="G292" s="98">
        <f t="shared" si="29"/>
        <v>1.4969747964853743</v>
      </c>
    </row>
    <row r="293" spans="1:7" x14ac:dyDescent="0.25">
      <c r="A293" s="93">
        <f>2017</f>
        <v>2017</v>
      </c>
      <c r="B293" s="94" t="s">
        <v>22</v>
      </c>
      <c r="C293" s="95">
        <f t="shared" si="24"/>
        <v>4881.2500000000109</v>
      </c>
      <c r="D293" s="96">
        <v>0.42009286479880448</v>
      </c>
      <c r="E293" s="95">
        <f t="shared" si="30"/>
        <v>2.2101472035513492</v>
      </c>
      <c r="F293" s="159">
        <f t="shared" si="28"/>
        <v>2.701320888896408</v>
      </c>
      <c r="G293" s="98">
        <f t="shared" si="29"/>
        <v>1.4907124199743922</v>
      </c>
    </row>
    <row r="294" spans="1:7" x14ac:dyDescent="0.25">
      <c r="A294" s="93">
        <f>2017</f>
        <v>2017</v>
      </c>
      <c r="B294" s="94" t="s">
        <v>23</v>
      </c>
      <c r="C294" s="95">
        <f t="shared" si="24"/>
        <v>4894.920000000011</v>
      </c>
      <c r="D294" s="96">
        <v>0.28005121638925434</v>
      </c>
      <c r="E294" s="95">
        <f t="shared" si="30"/>
        <v>2.4963879640681252</v>
      </c>
      <c r="F294" s="159">
        <f t="shared" si="28"/>
        <v>2.803785425356331</v>
      </c>
      <c r="G294" s="98">
        <f t="shared" si="29"/>
        <v>1.4865493205200497</v>
      </c>
    </row>
    <row r="295" spans="1:7" x14ac:dyDescent="0.25">
      <c r="A295" s="93">
        <f>2017</f>
        <v>2017</v>
      </c>
      <c r="B295" s="94" t="s">
        <v>12</v>
      </c>
      <c r="C295" s="95">
        <f t="shared" si="24"/>
        <v>4916.460000000011</v>
      </c>
      <c r="D295" s="96">
        <v>0.44004804981490064</v>
      </c>
      <c r="E295" s="95">
        <f t="shared" si="30"/>
        <v>2.9474213204347288</v>
      </c>
      <c r="F295" s="159">
        <f t="shared" si="28"/>
        <v>2.9474213204347288</v>
      </c>
      <c r="G295" s="98">
        <f t="shared" si="29"/>
        <v>1.4800364489897206</v>
      </c>
    </row>
    <row r="296" spans="1:7" x14ac:dyDescent="0.25">
      <c r="A296" s="93">
        <f>2018</f>
        <v>2018</v>
      </c>
      <c r="B296" s="94" t="s">
        <v>13</v>
      </c>
      <c r="C296" s="95">
        <f t="shared" si="24"/>
        <v>4930.7200000000112</v>
      </c>
      <c r="D296" s="96">
        <v>0.29004609007294846</v>
      </c>
      <c r="E296" s="95">
        <f t="shared" ref="E296:E307" si="31">+((C296/$C$295)-1)*100</f>
        <v>0.29004609007294846</v>
      </c>
      <c r="F296" s="159">
        <f t="shared" si="28"/>
        <v>2.8551164512865546</v>
      </c>
      <c r="G296" s="98">
        <f t="shared" si="29"/>
        <v>1.4757560761917128</v>
      </c>
    </row>
    <row r="297" spans="1:7" x14ac:dyDescent="0.25">
      <c r="A297" s="93">
        <f>2018</f>
        <v>2018</v>
      </c>
      <c r="B297" s="94" t="s">
        <v>14</v>
      </c>
      <c r="C297" s="95">
        <f t="shared" si="24"/>
        <v>4946.5000000000109</v>
      </c>
      <c r="D297" s="96">
        <v>0.32003439659926691</v>
      </c>
      <c r="E297" s="95">
        <f t="shared" si="31"/>
        <v>0.61100873392643251</v>
      </c>
      <c r="F297" s="159">
        <f t="shared" si="28"/>
        <v>2.8448937245174832</v>
      </c>
      <c r="G297" s="98">
        <f t="shared" si="29"/>
        <v>1.47104821591024</v>
      </c>
    </row>
    <row r="298" spans="1:7" x14ac:dyDescent="0.25">
      <c r="A298" s="93">
        <f>2018</f>
        <v>2018</v>
      </c>
      <c r="B298" s="94" t="s">
        <v>15</v>
      </c>
      <c r="C298" s="95">
        <f t="shared" si="24"/>
        <v>4950.9500000000098</v>
      </c>
      <c r="D298" s="96">
        <v>8.9962599818038669E-2</v>
      </c>
      <c r="E298" s="95">
        <f t="shared" si="31"/>
        <v>0.70152101308662562</v>
      </c>
      <c r="F298" s="159">
        <f t="shared" si="28"/>
        <v>2.6808027890635744</v>
      </c>
      <c r="G298" s="98">
        <f t="shared" si="29"/>
        <v>1.4697260121794815</v>
      </c>
    </row>
    <row r="299" spans="1:7" x14ac:dyDescent="0.25">
      <c r="A299" s="93">
        <f>2018</f>
        <v>2018</v>
      </c>
      <c r="B299" s="94" t="s">
        <v>16</v>
      </c>
      <c r="C299" s="95">
        <f t="shared" si="24"/>
        <v>4961.8400000000101</v>
      </c>
      <c r="D299" s="96">
        <v>0.21995778587948767</v>
      </c>
      <c r="E299" s="95">
        <f t="shared" si="31"/>
        <v>0.92302184905397322</v>
      </c>
      <c r="F299" s="159">
        <f t="shared" si="28"/>
        <v>2.762797093885383</v>
      </c>
      <c r="G299" s="98">
        <f t="shared" si="29"/>
        <v>1.4665003305225488</v>
      </c>
    </row>
    <row r="300" spans="1:7" x14ac:dyDescent="0.25">
      <c r="A300" s="93">
        <f>2018</f>
        <v>2018</v>
      </c>
      <c r="B300" s="94" t="s">
        <v>17</v>
      </c>
      <c r="C300" s="95">
        <f t="shared" si="24"/>
        <v>4981.6900000000096</v>
      </c>
      <c r="D300" s="96">
        <v>0.40005320606870676</v>
      </c>
      <c r="E300" s="95">
        <f t="shared" si="31"/>
        <v>1.3267676336225387</v>
      </c>
      <c r="F300" s="159">
        <f t="shared" si="28"/>
        <v>2.8550133067404726</v>
      </c>
      <c r="G300" s="98">
        <f t="shared" si="29"/>
        <v>1.4606569256617743</v>
      </c>
    </row>
    <row r="301" spans="1:7" x14ac:dyDescent="0.25">
      <c r="A301" s="93">
        <f>2018</f>
        <v>2018</v>
      </c>
      <c r="B301" s="94" t="s">
        <v>18</v>
      </c>
      <c r="C301" s="95">
        <f t="shared" si="24"/>
        <v>5044.46000000001</v>
      </c>
      <c r="D301" s="96">
        <v>1.2600141718974944</v>
      </c>
      <c r="E301" s="95">
        <f t="shared" si="31"/>
        <v>2.6034992657318234</v>
      </c>
      <c r="F301" s="159">
        <f t="shared" si="28"/>
        <v>4.3911039739086943</v>
      </c>
      <c r="G301" s="98">
        <f t="shared" si="29"/>
        <v>1.4424814549030032</v>
      </c>
    </row>
    <row r="302" spans="1:7" x14ac:dyDescent="0.25">
      <c r="A302" s="93">
        <f>2018</f>
        <v>2018</v>
      </c>
      <c r="B302" s="94" t="s">
        <v>19</v>
      </c>
      <c r="C302" s="95">
        <f t="shared" si="24"/>
        <v>5061.1100000000097</v>
      </c>
      <c r="D302" s="96">
        <v>0.33006506147337245</v>
      </c>
      <c r="E302" s="95">
        <f t="shared" si="31"/>
        <v>2.9421575686571</v>
      </c>
      <c r="F302" s="159">
        <f t="shared" si="28"/>
        <v>4.4848437303230293</v>
      </c>
      <c r="G302" s="98">
        <f t="shared" si="29"/>
        <v>1.4377359907214038</v>
      </c>
    </row>
    <row r="303" spans="1:7" x14ac:dyDescent="0.25">
      <c r="A303" s="93">
        <f>2018</f>
        <v>2018</v>
      </c>
      <c r="B303" s="94" t="s">
        <v>20</v>
      </c>
      <c r="C303" s="95">
        <f t="shared" si="24"/>
        <v>5056.5600000000104</v>
      </c>
      <c r="D303" s="96">
        <v>-8.990122720112792E-2</v>
      </c>
      <c r="E303" s="95">
        <f t="shared" si="31"/>
        <v>2.849611305695543</v>
      </c>
      <c r="F303" s="159">
        <f t="shared" si="28"/>
        <v>4.1930159672124878</v>
      </c>
      <c r="G303" s="98">
        <f t="shared" si="29"/>
        <v>1.4390296960779667</v>
      </c>
    </row>
    <row r="304" spans="1:7" x14ac:dyDescent="0.25">
      <c r="A304" s="93">
        <f>2018</f>
        <v>2018</v>
      </c>
      <c r="B304" s="94" t="s">
        <v>21</v>
      </c>
      <c r="C304" s="95">
        <f t="shared" ref="C304:C367" si="32">+C303*(1+D304/100)</f>
        <v>5080.8300000000099</v>
      </c>
      <c r="D304" s="96">
        <v>0.47997057287958445</v>
      </c>
      <c r="E304" s="95">
        <f t="shared" si="31"/>
        <v>3.343259174283908</v>
      </c>
      <c r="F304" s="159">
        <f t="shared" si="28"/>
        <v>4.5259760164416019</v>
      </c>
      <c r="G304" s="98">
        <f t="shared" si="29"/>
        <v>1.4321557698250096</v>
      </c>
    </row>
    <row r="305" spans="1:7" x14ac:dyDescent="0.25">
      <c r="A305" s="93">
        <f>2018</f>
        <v>2018</v>
      </c>
      <c r="B305" s="94" t="s">
        <v>22</v>
      </c>
      <c r="C305" s="95">
        <f t="shared" si="32"/>
        <v>5103.6900000000096</v>
      </c>
      <c r="D305" s="96">
        <v>0.44992648838870775</v>
      </c>
      <c r="E305" s="95">
        <f t="shared" si="31"/>
        <v>3.8082278712731954</v>
      </c>
      <c r="F305" s="159">
        <f t="shared" si="28"/>
        <v>4.5570294494237773</v>
      </c>
      <c r="G305" s="98">
        <f t="shared" si="29"/>
        <v>1.4257409834844994</v>
      </c>
    </row>
    <row r="306" spans="1:7" x14ac:dyDescent="0.25">
      <c r="A306" s="93">
        <f>2018</f>
        <v>2018</v>
      </c>
      <c r="B306" s="94" t="s">
        <v>23</v>
      </c>
      <c r="C306" s="95">
        <f t="shared" si="32"/>
        <v>5092.9700000000103</v>
      </c>
      <c r="D306" s="96">
        <v>-0.21004410534337659</v>
      </c>
      <c r="E306" s="95">
        <f t="shared" si="31"/>
        <v>3.5901848077681597</v>
      </c>
      <c r="F306" s="159">
        <f t="shared" si="28"/>
        <v>4.046031395814409</v>
      </c>
      <c r="G306" s="98">
        <f t="shared" si="29"/>
        <v>1.4287419717767831</v>
      </c>
    </row>
    <row r="307" spans="1:7" x14ac:dyDescent="0.25">
      <c r="A307" s="93">
        <f>2018</f>
        <v>2018</v>
      </c>
      <c r="B307" s="94" t="s">
        <v>12</v>
      </c>
      <c r="C307" s="95">
        <f t="shared" si="32"/>
        <v>5100.6100000000088</v>
      </c>
      <c r="D307" s="96">
        <v>0.15001070102511616</v>
      </c>
      <c r="E307" s="95">
        <f t="shared" si="31"/>
        <v>3.7455811701915032</v>
      </c>
      <c r="F307" s="159">
        <f t="shared" si="28"/>
        <v>3.7455811701915032</v>
      </c>
      <c r="G307" s="98">
        <f t="shared" si="29"/>
        <v>1.4266019162413919</v>
      </c>
    </row>
    <row r="308" spans="1:7" x14ac:dyDescent="0.25">
      <c r="A308" s="93">
        <f>2019</f>
        <v>2019</v>
      </c>
      <c r="B308" s="94" t="s">
        <v>13</v>
      </c>
      <c r="C308" s="95">
        <f t="shared" si="32"/>
        <v>5116.9300000000094</v>
      </c>
      <c r="D308" s="96">
        <v>0.3199617300675861</v>
      </c>
      <c r="E308" s="95">
        <f t="shared" ref="E308:E319" si="33">+((C308/$C$307)-1)*100</f>
        <v>0.3199617300675861</v>
      </c>
      <c r="F308" s="159">
        <f t="shared" si="28"/>
        <v>3.7765275659538133</v>
      </c>
      <c r="G308" s="98">
        <f t="shared" si="29"/>
        <v>1.4220518943976184</v>
      </c>
    </row>
    <row r="309" spans="1:7" x14ac:dyDescent="0.25">
      <c r="A309" s="99">
        <f>2019</f>
        <v>2019</v>
      </c>
      <c r="B309" s="100" t="s">
        <v>14</v>
      </c>
      <c r="C309" s="101">
        <f t="shared" si="32"/>
        <v>5138.9300000000094</v>
      </c>
      <c r="D309" s="102">
        <v>0.42994529923214841</v>
      </c>
      <c r="E309" s="101">
        <f t="shared" si="33"/>
        <v>0.751282689717514</v>
      </c>
      <c r="F309" s="160">
        <f t="shared" si="28"/>
        <v>3.8902254119073776</v>
      </c>
      <c r="G309" s="98">
        <f t="shared" si="29"/>
        <v>1.4159640236391633</v>
      </c>
    </row>
    <row r="310" spans="1:7" x14ac:dyDescent="0.25">
      <c r="A310" s="99">
        <f>2019</f>
        <v>2019</v>
      </c>
      <c r="B310" s="100" t="s">
        <v>15</v>
      </c>
      <c r="C310" s="101">
        <f t="shared" si="32"/>
        <v>5177.4700000000103</v>
      </c>
      <c r="D310" s="102">
        <v>0.74996156787503487</v>
      </c>
      <c r="E310" s="101">
        <f t="shared" si="33"/>
        <v>1.506878589031535</v>
      </c>
      <c r="F310" s="160">
        <f t="shared" si="28"/>
        <v>4.5752835314434526</v>
      </c>
      <c r="G310" s="98">
        <f t="shared" si="29"/>
        <v>1.4054238846386369</v>
      </c>
    </row>
    <row r="311" spans="1:7" x14ac:dyDescent="0.25">
      <c r="A311" s="99">
        <f>2019</f>
        <v>2019</v>
      </c>
      <c r="B311" s="100" t="s">
        <v>16</v>
      </c>
      <c r="C311" s="101">
        <f t="shared" si="32"/>
        <v>5206.9800000000105</v>
      </c>
      <c r="D311" s="102">
        <v>0.56996950247900635</v>
      </c>
      <c r="E311" s="101">
        <f t="shared" si="33"/>
        <v>2.0854368399074064</v>
      </c>
      <c r="F311" s="160">
        <f t="shared" si="28"/>
        <v>4.940505941344342</v>
      </c>
      <c r="G311" s="98">
        <f t="shared" si="29"/>
        <v>1.3974587956934736</v>
      </c>
    </row>
    <row r="312" spans="1:7" x14ac:dyDescent="0.25">
      <c r="A312" s="99">
        <f>2019</f>
        <v>2019</v>
      </c>
      <c r="B312" s="100" t="s">
        <v>17</v>
      </c>
      <c r="C312" s="101">
        <f t="shared" si="32"/>
        <v>5213.7500000000109</v>
      </c>
      <c r="D312" s="102">
        <v>0.13001778382095708</v>
      </c>
      <c r="E312" s="101">
        <f t="shared" si="33"/>
        <v>2.2181660624906119</v>
      </c>
      <c r="F312" s="160">
        <f t="shared" si="28"/>
        <v>4.6582585427836998</v>
      </c>
      <c r="G312" s="98">
        <f t="shared" si="29"/>
        <v>1.395644210021578</v>
      </c>
    </row>
    <row r="313" spans="1:7" x14ac:dyDescent="0.25">
      <c r="A313" s="99">
        <f>2019</f>
        <v>2019</v>
      </c>
      <c r="B313" s="100" t="s">
        <v>18</v>
      </c>
      <c r="C313" s="101">
        <f t="shared" si="32"/>
        <v>5214.2700000000104</v>
      </c>
      <c r="D313" s="102">
        <v>9.9736274274730974E-3</v>
      </c>
      <c r="E313" s="101">
        <f t="shared" si="33"/>
        <v>2.2283609215368649</v>
      </c>
      <c r="F313" s="160">
        <f t="shared" si="28"/>
        <v>3.3662671524801402</v>
      </c>
      <c r="G313" s="98">
        <f t="shared" si="29"/>
        <v>1.3955050275493988</v>
      </c>
    </row>
    <row r="314" spans="1:7" x14ac:dyDescent="0.25">
      <c r="A314" s="99">
        <f>2019</f>
        <v>2019</v>
      </c>
      <c r="B314" s="100" t="s">
        <v>19</v>
      </c>
      <c r="C314" s="101">
        <f t="shared" si="32"/>
        <v>5224.1800000000112</v>
      </c>
      <c r="D314" s="102">
        <v>0.19005536729015393</v>
      </c>
      <c r="E314" s="101">
        <f t="shared" si="33"/>
        <v>2.4226514083609985</v>
      </c>
      <c r="F314" s="160">
        <f t="shared" si="28"/>
        <v>3.2220204658662155</v>
      </c>
      <c r="G314" s="98">
        <f t="shared" si="29"/>
        <v>1.3928578264914306</v>
      </c>
    </row>
    <row r="315" spans="1:7" x14ac:dyDescent="0.25">
      <c r="A315" s="99">
        <f>2019</f>
        <v>2019</v>
      </c>
      <c r="B315" s="100" t="s">
        <v>20</v>
      </c>
      <c r="C315" s="101">
        <f t="shared" si="32"/>
        <v>5229.9300000000112</v>
      </c>
      <c r="D315" s="102">
        <v>0.11006512026767723</v>
      </c>
      <c r="E315" s="101">
        <f t="shared" si="33"/>
        <v>2.5353830228149521</v>
      </c>
      <c r="F315" s="160">
        <f t="shared" si="28"/>
        <v>3.4286155014476405</v>
      </c>
      <c r="G315" s="98">
        <f t="shared" si="29"/>
        <v>1.3913264613484315</v>
      </c>
    </row>
    <row r="316" spans="1:7" x14ac:dyDescent="0.25">
      <c r="A316" s="99">
        <f>2019</f>
        <v>2019</v>
      </c>
      <c r="B316" s="100" t="s">
        <v>21</v>
      </c>
      <c r="C316" s="101">
        <f t="shared" si="32"/>
        <v>5227.8400000000111</v>
      </c>
      <c r="D316" s="102">
        <v>-3.996229395040185E-2</v>
      </c>
      <c r="E316" s="101">
        <f t="shared" si="33"/>
        <v>2.4944075316482239</v>
      </c>
      <c r="F316" s="160">
        <f t="shared" si="28"/>
        <v>2.8934248931769213</v>
      </c>
      <c r="G316" s="98">
        <f t="shared" si="29"/>
        <v>1.3918826896002943</v>
      </c>
    </row>
    <row r="317" spans="1:7" x14ac:dyDescent="0.25">
      <c r="A317" s="99">
        <f>2019</f>
        <v>2019</v>
      </c>
      <c r="B317" s="100" t="s">
        <v>22</v>
      </c>
      <c r="C317" s="101">
        <f t="shared" si="32"/>
        <v>5233.0700000000106</v>
      </c>
      <c r="D317" s="102">
        <v>0.10004131725529497</v>
      </c>
      <c r="E317" s="101">
        <f t="shared" si="33"/>
        <v>2.5969442870559023</v>
      </c>
      <c r="F317" s="160">
        <f t="shared" si="28"/>
        <v>2.5350285773626746</v>
      </c>
      <c r="G317" s="98">
        <f t="shared" si="29"/>
        <v>1.3904916234638565</v>
      </c>
    </row>
    <row r="318" spans="1:7" x14ac:dyDescent="0.25">
      <c r="A318" s="99">
        <f>2019</f>
        <v>2019</v>
      </c>
      <c r="B318" s="100" t="s">
        <v>23</v>
      </c>
      <c r="C318" s="101">
        <f t="shared" si="32"/>
        <v>5259.7600000000111</v>
      </c>
      <c r="D318" s="102">
        <v>0.51002566371174396</v>
      </c>
      <c r="E318" s="101">
        <f t="shared" si="33"/>
        <v>3.1202150331039347</v>
      </c>
      <c r="F318" s="160">
        <f t="shared" si="28"/>
        <v>3.2749063905736842</v>
      </c>
      <c r="G318" s="98">
        <f t="shared" si="29"/>
        <v>1.383435746117694</v>
      </c>
    </row>
    <row r="319" spans="1:7" x14ac:dyDescent="0.25">
      <c r="A319" s="99">
        <f>2019</f>
        <v>2019</v>
      </c>
      <c r="B319" s="100" t="s">
        <v>12</v>
      </c>
      <c r="C319" s="101">
        <f t="shared" si="32"/>
        <v>5320.2500000000118</v>
      </c>
      <c r="D319" s="102">
        <v>1.1500524738771389</v>
      </c>
      <c r="E319" s="101">
        <f t="shared" si="33"/>
        <v>4.3061516171595704</v>
      </c>
      <c r="F319" s="160">
        <f t="shared" si="28"/>
        <v>4.3061516171595704</v>
      </c>
      <c r="G319" s="98">
        <f t="shared" si="29"/>
        <v>1.367706404774212</v>
      </c>
    </row>
    <row r="320" spans="1:7" x14ac:dyDescent="0.25">
      <c r="A320" s="99">
        <f>2020</f>
        <v>2020</v>
      </c>
      <c r="B320" s="100" t="s">
        <v>13</v>
      </c>
      <c r="C320" s="101">
        <f t="shared" si="32"/>
        <v>5331.4200000000119</v>
      </c>
      <c r="D320" s="102">
        <v>0.2099525398242541</v>
      </c>
      <c r="E320" s="101">
        <f t="shared" ref="E320:E331" si="34">+((C320/$C$319)-1)*100</f>
        <v>0.2099525398242541</v>
      </c>
      <c r="F320" s="160">
        <f t="shared" si="28"/>
        <v>4.1917712378320982</v>
      </c>
      <c r="G320" s="98">
        <f t="shared" si="29"/>
        <v>1.3648408866680926</v>
      </c>
    </row>
    <row r="321" spans="1:7" x14ac:dyDescent="0.25">
      <c r="A321" s="99">
        <f>2020</f>
        <v>2020</v>
      </c>
      <c r="B321" s="100" t="s">
        <v>14</v>
      </c>
      <c r="C321" s="101">
        <f t="shared" si="32"/>
        <v>5344.7500000000118</v>
      </c>
      <c r="D321" s="102">
        <v>0.25002719725701894</v>
      </c>
      <c r="E321" s="101">
        <f t="shared" si="34"/>
        <v>0.46050467553215846</v>
      </c>
      <c r="F321" s="160">
        <f t="shared" si="28"/>
        <v>4.0051139050347517</v>
      </c>
      <c r="G321" s="98">
        <f t="shared" si="29"/>
        <v>1.3614369240843822</v>
      </c>
    </row>
    <row r="322" spans="1:7" x14ac:dyDescent="0.25">
      <c r="A322" s="99">
        <f>2020</f>
        <v>2020</v>
      </c>
      <c r="B322" s="100" t="s">
        <v>15</v>
      </c>
      <c r="C322" s="101">
        <f t="shared" si="32"/>
        <v>5348.4900000000116</v>
      </c>
      <c r="D322" s="102">
        <v>6.9975209317552078E-2</v>
      </c>
      <c r="E322" s="101">
        <f t="shared" si="34"/>
        <v>0.53080212396032778</v>
      </c>
      <c r="F322" s="160">
        <f t="shared" si="28"/>
        <v>3.3031577198902262</v>
      </c>
      <c r="G322" s="98">
        <f t="shared" si="29"/>
        <v>1.3604849219125403</v>
      </c>
    </row>
    <row r="323" spans="1:7" x14ac:dyDescent="0.25">
      <c r="A323" s="99">
        <f>2020</f>
        <v>2020</v>
      </c>
      <c r="B323" s="100" t="s">
        <v>16</v>
      </c>
      <c r="C323" s="101">
        <f t="shared" si="32"/>
        <v>5331.9100000000117</v>
      </c>
      <c r="D323" s="102">
        <v>-0.30999403569978989</v>
      </c>
      <c r="E323" s="101">
        <f t="shared" si="34"/>
        <v>0.21916263333490171</v>
      </c>
      <c r="F323" s="160">
        <f t="shared" si="28"/>
        <v>2.3992794287667873</v>
      </c>
      <c r="G323" s="98">
        <f t="shared" si="29"/>
        <v>1.364715458437971</v>
      </c>
    </row>
    <row r="324" spans="1:7" x14ac:dyDescent="0.25">
      <c r="A324" s="99">
        <f>2020</f>
        <v>2020</v>
      </c>
      <c r="B324" s="100" t="s">
        <v>17</v>
      </c>
      <c r="C324" s="101">
        <f t="shared" si="32"/>
        <v>5311.6500000000115</v>
      </c>
      <c r="D324" s="102">
        <v>-0.37997640620340833</v>
      </c>
      <c r="E324" s="101">
        <f t="shared" si="34"/>
        <v>-0.16164653916639349</v>
      </c>
      <c r="F324" s="160">
        <f t="shared" si="28"/>
        <v>1.8777271637496984</v>
      </c>
      <c r="G324" s="98">
        <f t="shared" si="29"/>
        <v>1.3699208343923268</v>
      </c>
    </row>
    <row r="325" spans="1:7" x14ac:dyDescent="0.25">
      <c r="A325" s="99">
        <f>2020</f>
        <v>2020</v>
      </c>
      <c r="B325" s="100" t="s">
        <v>18</v>
      </c>
      <c r="C325" s="101">
        <f t="shared" si="32"/>
        <v>5325.4600000000119</v>
      </c>
      <c r="D325" s="102">
        <v>0.25999454030292135</v>
      </c>
      <c r="E325" s="101">
        <f t="shared" si="34"/>
        <v>9.7927728960112148E-2</v>
      </c>
      <c r="F325" s="160">
        <f t="shared" si="28"/>
        <v>2.132417385367491</v>
      </c>
      <c r="G325" s="98">
        <f t="shared" si="29"/>
        <v>1.3663683512785754</v>
      </c>
    </row>
    <row r="326" spans="1:7" x14ac:dyDescent="0.25">
      <c r="A326" s="99">
        <f>2020</f>
        <v>2020</v>
      </c>
      <c r="B326" s="100" t="s">
        <v>19</v>
      </c>
      <c r="C326" s="101">
        <f t="shared" si="32"/>
        <v>5344.6300000000119</v>
      </c>
      <c r="D326" s="102">
        <v>0.3599689040946652</v>
      </c>
      <c r="E326" s="101">
        <f t="shared" si="34"/>
        <v>0.45824914242751369</v>
      </c>
      <c r="F326" s="160">
        <f t="shared" si="28"/>
        <v>2.3056249976072918</v>
      </c>
      <c r="G326" s="98">
        <f t="shared" si="29"/>
        <v>1.3614674916692084</v>
      </c>
    </row>
    <row r="327" spans="1:7" x14ac:dyDescent="0.25">
      <c r="A327" s="99">
        <f>2020</f>
        <v>2020</v>
      </c>
      <c r="B327" s="100" t="s">
        <v>20</v>
      </c>
      <c r="C327" s="101">
        <f t="shared" si="32"/>
        <v>5357.4600000000128</v>
      </c>
      <c r="D327" s="102">
        <v>0.24005403554596683</v>
      </c>
      <c r="E327" s="101">
        <f t="shared" si="34"/>
        <v>0.69940322353274631</v>
      </c>
      <c r="F327" s="160">
        <f t="shared" si="28"/>
        <v>2.4384647595665943</v>
      </c>
      <c r="G327" s="98">
        <f t="shared" si="29"/>
        <v>1.3582070608086669</v>
      </c>
    </row>
    <row r="328" spans="1:7" x14ac:dyDescent="0.25">
      <c r="A328" s="99">
        <f>2020</f>
        <v>2020</v>
      </c>
      <c r="B328" s="100" t="s">
        <v>21</v>
      </c>
      <c r="C328" s="101">
        <f t="shared" si="32"/>
        <v>5391.7500000000127</v>
      </c>
      <c r="D328" s="102">
        <v>0.64004210950712181</v>
      </c>
      <c r="E328" s="101">
        <f t="shared" si="34"/>
        <v>1.3439218081857218</v>
      </c>
      <c r="F328" s="160">
        <f t="shared" si="28"/>
        <v>3.1353293138275395</v>
      </c>
      <c r="G328" s="98">
        <f t="shared" si="29"/>
        <v>1.3495692493160849</v>
      </c>
    </row>
    <row r="329" spans="1:7" x14ac:dyDescent="0.25">
      <c r="A329" s="99">
        <f>2020</f>
        <v>2020</v>
      </c>
      <c r="B329" s="100" t="s">
        <v>22</v>
      </c>
      <c r="C329" s="101">
        <f t="shared" si="32"/>
        <v>5438.1200000000126</v>
      </c>
      <c r="D329" s="102">
        <v>0.86001761951128852</v>
      </c>
      <c r="E329" s="101">
        <f t="shared" si="34"/>
        <v>2.2154973920398557</v>
      </c>
      <c r="F329" s="160">
        <f t="shared" si="28"/>
        <v>3.9183500316258169</v>
      </c>
      <c r="G329" s="98">
        <f t="shared" si="29"/>
        <v>1.3380616830816534</v>
      </c>
    </row>
    <row r="330" spans="1:7" x14ac:dyDescent="0.25">
      <c r="A330" s="99">
        <f>2020</f>
        <v>2020</v>
      </c>
      <c r="B330" s="100" t="s">
        <v>23</v>
      </c>
      <c r="C330" s="101">
        <f t="shared" si="32"/>
        <v>5486.5200000000132</v>
      </c>
      <c r="D330" s="102">
        <v>0.89001346053416697</v>
      </c>
      <c r="E330" s="101">
        <f t="shared" si="34"/>
        <v>3.1252290775809488</v>
      </c>
      <c r="F330" s="160">
        <f t="shared" si="28"/>
        <v>4.3112233257791566</v>
      </c>
      <c r="G330" s="98">
        <f t="shared" si="29"/>
        <v>1.3262578100508156</v>
      </c>
    </row>
    <row r="331" spans="1:7" x14ac:dyDescent="0.25">
      <c r="A331" s="99">
        <f>2020</f>
        <v>2020</v>
      </c>
      <c r="B331" s="100" t="s">
        <v>12</v>
      </c>
      <c r="C331" s="101">
        <f t="shared" si="32"/>
        <v>5560.5900000000129</v>
      </c>
      <c r="D331" s="102">
        <v>1.3500360884495022</v>
      </c>
      <c r="E331" s="101">
        <f t="shared" si="34"/>
        <v>4.517456886424509</v>
      </c>
      <c r="F331" s="160">
        <f t="shared" si="28"/>
        <v>4.517456886424509</v>
      </c>
      <c r="G331" s="98">
        <f t="shared" si="29"/>
        <v>1.3085913545145391</v>
      </c>
    </row>
    <row r="332" spans="1:7" x14ac:dyDescent="0.25">
      <c r="A332" s="99">
        <f>2021</f>
        <v>2021</v>
      </c>
      <c r="B332" s="100" t="s">
        <v>13</v>
      </c>
      <c r="C332" s="101">
        <f t="shared" si="32"/>
        <v>5574.4900000000125</v>
      </c>
      <c r="D332" s="102">
        <v>0.24997347403781234</v>
      </c>
      <c r="E332" s="101">
        <f t="shared" ref="E332:E343" si="35">+((C332/$C$331)-1)*100</f>
        <v>0.24997347403781234</v>
      </c>
      <c r="F332" s="160">
        <f t="shared" si="28"/>
        <v>4.5591981123227932</v>
      </c>
      <c r="G332" s="98">
        <f t="shared" si="29"/>
        <v>1.3053283798159117</v>
      </c>
    </row>
    <row r="333" spans="1:7" x14ac:dyDescent="0.25">
      <c r="A333" s="99">
        <f>2021</f>
        <v>2021</v>
      </c>
      <c r="B333" s="100" t="s">
        <v>14</v>
      </c>
      <c r="C333" s="101">
        <f t="shared" si="32"/>
        <v>5622.430000000013</v>
      </c>
      <c r="D333" s="102">
        <v>0.85998898553949488</v>
      </c>
      <c r="E333" s="101">
        <f t="shared" si="35"/>
        <v>1.1121122039208009</v>
      </c>
      <c r="F333" s="160">
        <f t="shared" si="28"/>
        <v>5.1953786425932069</v>
      </c>
      <c r="G333" s="98">
        <f t="shared" si="29"/>
        <v>1.2941984159873936</v>
      </c>
    </row>
    <row r="334" spans="1:7" x14ac:dyDescent="0.25">
      <c r="A334" s="99">
        <f>2021</f>
        <v>2021</v>
      </c>
      <c r="B334" s="100" t="s">
        <v>15</v>
      </c>
      <c r="C334" s="101">
        <f t="shared" si="32"/>
        <v>5674.7200000000139</v>
      </c>
      <c r="D334" s="102">
        <v>0.93002491805145304</v>
      </c>
      <c r="E334" s="101">
        <f t="shared" si="35"/>
        <v>2.052480042585425</v>
      </c>
      <c r="F334" s="160">
        <f t="shared" si="28"/>
        <v>6.0994785444116406</v>
      </c>
      <c r="G334" s="98">
        <f t="shared" si="29"/>
        <v>1.2822729579609216</v>
      </c>
    </row>
    <row r="335" spans="1:7" x14ac:dyDescent="0.25">
      <c r="A335" s="99">
        <f>2021</f>
        <v>2021</v>
      </c>
      <c r="B335" s="100" t="s">
        <v>16</v>
      </c>
      <c r="C335" s="101">
        <f t="shared" si="32"/>
        <v>5692.310000000014</v>
      </c>
      <c r="D335" s="102">
        <v>0.30997124087179806</v>
      </c>
      <c r="E335" s="101">
        <f t="shared" si="35"/>
        <v>2.3688133813138723</v>
      </c>
      <c r="F335" s="160">
        <f t="shared" si="28"/>
        <v>6.7593038892254764</v>
      </c>
      <c r="G335" s="98">
        <f t="shared" si="29"/>
        <v>1.2783105628470692</v>
      </c>
    </row>
    <row r="336" spans="1:7" x14ac:dyDescent="0.25">
      <c r="A336" s="99">
        <f>2021</f>
        <v>2021</v>
      </c>
      <c r="B336" s="100" t="s">
        <v>17</v>
      </c>
      <c r="C336" s="101">
        <f t="shared" si="32"/>
        <v>5739.560000000015</v>
      </c>
      <c r="D336" s="102">
        <v>0.83006723105383262</v>
      </c>
      <c r="E336" s="101">
        <f t="shared" si="35"/>
        <v>3.2185433560108168</v>
      </c>
      <c r="F336" s="160">
        <f t="shared" si="28"/>
        <v>8.0560654410588572</v>
      </c>
      <c r="G336" s="98">
        <f t="shared" si="29"/>
        <v>1.267787077755089</v>
      </c>
    </row>
    <row r="337" spans="1:7" x14ac:dyDescent="0.25">
      <c r="A337" s="99">
        <f>2021</f>
        <v>2021</v>
      </c>
      <c r="B337" s="100" t="s">
        <v>18</v>
      </c>
      <c r="C337" s="101">
        <f t="shared" si="32"/>
        <v>5769.9800000000141</v>
      </c>
      <c r="D337" s="102">
        <v>0.53000578441551038</v>
      </c>
      <c r="E337" s="101">
        <f t="shared" si="35"/>
        <v>3.7656076063871113</v>
      </c>
      <c r="F337" s="160">
        <f t="shared" si="28"/>
        <v>8.3470723655797219</v>
      </c>
      <c r="G337" s="98">
        <f t="shared" si="29"/>
        <v>1.2611031580698719</v>
      </c>
    </row>
    <row r="338" spans="1:7" x14ac:dyDescent="0.25">
      <c r="A338" s="99">
        <f>2021</f>
        <v>2021</v>
      </c>
      <c r="B338" s="100" t="s">
        <v>19</v>
      </c>
      <c r="C338" s="101">
        <f t="shared" si="32"/>
        <v>5825.3700000000154</v>
      </c>
      <c r="D338" s="102">
        <v>0.95996866540266623</v>
      </c>
      <c r="E338" s="101">
        <f t="shared" si="35"/>
        <v>4.761724924873123</v>
      </c>
      <c r="F338" s="160">
        <f t="shared" si="28"/>
        <v>8.9948228408702313</v>
      </c>
      <c r="G338" s="98">
        <f t="shared" si="29"/>
        <v>1.2491120735678591</v>
      </c>
    </row>
    <row r="339" spans="1:7" x14ac:dyDescent="0.25">
      <c r="A339" s="99">
        <f>2021</f>
        <v>2021</v>
      </c>
      <c r="B339" s="100" t="s">
        <v>20</v>
      </c>
      <c r="C339" s="101">
        <f t="shared" si="32"/>
        <v>5876.0500000000156</v>
      </c>
      <c r="D339" s="102">
        <v>0.8699876574363552</v>
      </c>
      <c r="E339" s="101">
        <f t="shared" si="35"/>
        <v>5.6731390014369332</v>
      </c>
      <c r="F339" s="160">
        <f t="shared" ref="F339:F380" si="36">100*((C339/C327)-1)</f>
        <v>9.6797736240681544</v>
      </c>
      <c r="G339" s="98">
        <f t="shared" si="29"/>
        <v>1.2383386798955078</v>
      </c>
    </row>
    <row r="340" spans="1:7" x14ac:dyDescent="0.25">
      <c r="A340" s="99">
        <f>2021</f>
        <v>2021</v>
      </c>
      <c r="B340" s="100" t="s">
        <v>21</v>
      </c>
      <c r="C340" s="101">
        <f t="shared" si="32"/>
        <v>5944.2100000000146</v>
      </c>
      <c r="D340" s="102">
        <v>1.159962900247602</v>
      </c>
      <c r="E340" s="101">
        <f t="shared" si="35"/>
        <v>6.8989082093806831</v>
      </c>
      <c r="F340" s="160">
        <f t="shared" si="36"/>
        <v>10.246394955255722</v>
      </c>
      <c r="G340" s="98">
        <f t="shared" si="29"/>
        <v>1.224139120253154</v>
      </c>
    </row>
    <row r="341" spans="1:7" x14ac:dyDescent="0.25">
      <c r="A341" s="99">
        <f>2021</f>
        <v>2021</v>
      </c>
      <c r="B341" s="100" t="s">
        <v>22</v>
      </c>
      <c r="C341" s="101">
        <f t="shared" si="32"/>
        <v>6018.5100000000148</v>
      </c>
      <c r="D341" s="102">
        <v>1.2499558393798349</v>
      </c>
      <c r="E341" s="101">
        <f t="shared" si="35"/>
        <v>8.2350973547771211</v>
      </c>
      <c r="F341" s="160">
        <f t="shared" si="36"/>
        <v>10.672622156186339</v>
      </c>
      <c r="G341" s="98">
        <f t="shared" si="29"/>
        <v>1.2090268189302669</v>
      </c>
    </row>
    <row r="342" spans="1:7" x14ac:dyDescent="0.25">
      <c r="A342" s="99">
        <f>2021</f>
        <v>2021</v>
      </c>
      <c r="B342" s="100" t="s">
        <v>23</v>
      </c>
      <c r="C342" s="101">
        <f t="shared" si="32"/>
        <v>6075.6900000000142</v>
      </c>
      <c r="D342" s="102">
        <v>0.95006903702077317</v>
      </c>
      <c r="E342" s="101">
        <f t="shared" si="35"/>
        <v>9.263405501934141</v>
      </c>
      <c r="F342" s="160">
        <f t="shared" si="36"/>
        <v>10.738500907679182</v>
      </c>
      <c r="G342" s="98">
        <f t="shared" ref="G342:G383" si="37">+$C$383/C342</f>
        <v>1.1976483329465462</v>
      </c>
    </row>
    <row r="343" spans="1:7" x14ac:dyDescent="0.25">
      <c r="A343" s="99">
        <f>2021</f>
        <v>2021</v>
      </c>
      <c r="B343" s="100" t="s">
        <v>12</v>
      </c>
      <c r="C343" s="101">
        <f t="shared" si="32"/>
        <v>6120.0400000000145</v>
      </c>
      <c r="D343" s="102">
        <v>0.72995824342585447</v>
      </c>
      <c r="E343" s="101">
        <f t="shared" si="35"/>
        <v>10.060982737443336</v>
      </c>
      <c r="F343" s="160">
        <f t="shared" si="36"/>
        <v>10.060982737443336</v>
      </c>
      <c r="G343" s="98">
        <f t="shared" si="37"/>
        <v>1.1889693531414829</v>
      </c>
    </row>
    <row r="344" spans="1:7" x14ac:dyDescent="0.25">
      <c r="A344" s="99">
        <f>2022</f>
        <v>2022</v>
      </c>
      <c r="B344" s="100" t="s">
        <v>13</v>
      </c>
      <c r="C344" s="101">
        <f t="shared" si="32"/>
        <v>6153.0900000000138</v>
      </c>
      <c r="D344" s="102">
        <v>0.54002915013626751</v>
      </c>
      <c r="E344" s="101">
        <f t="shared" ref="E344:E355" si="38">+((C344/$C$343)-1)*100</f>
        <v>0.54002915013626751</v>
      </c>
      <c r="F344" s="160">
        <f t="shared" si="36"/>
        <v>10.379424844245833</v>
      </c>
      <c r="G344" s="98">
        <f t="shared" si="37"/>
        <v>1.1825830598934848</v>
      </c>
    </row>
    <row r="345" spans="1:7" x14ac:dyDescent="0.25">
      <c r="A345" s="99">
        <f>2022</f>
        <v>2022</v>
      </c>
      <c r="B345" s="100" t="s">
        <v>14</v>
      </c>
      <c r="C345" s="101">
        <f t="shared" si="32"/>
        <v>6215.2400000000134</v>
      </c>
      <c r="D345" s="102">
        <v>1.0100616113204897</v>
      </c>
      <c r="E345" s="101">
        <f t="shared" si="38"/>
        <v>1.5555453885922166</v>
      </c>
      <c r="F345" s="160">
        <f t="shared" si="36"/>
        <v>10.543661726335385</v>
      </c>
      <c r="G345" s="98">
        <f t="shared" si="37"/>
        <v>1.1707576859461586</v>
      </c>
    </row>
    <row r="346" spans="1:7" x14ac:dyDescent="0.25">
      <c r="A346" s="99">
        <f>2022</f>
        <v>2022</v>
      </c>
      <c r="B346" s="100" t="s">
        <v>15</v>
      </c>
      <c r="C346" s="101">
        <f t="shared" si="32"/>
        <v>6315.9300000000139</v>
      </c>
      <c r="D346" s="102">
        <v>1.6200500704719456</v>
      </c>
      <c r="E346" s="101">
        <f t="shared" si="38"/>
        <v>3.2007960732282514</v>
      </c>
      <c r="F346" s="160">
        <f t="shared" si="36"/>
        <v>11.299412129585228</v>
      </c>
      <c r="G346" s="98">
        <f t="shared" si="37"/>
        <v>1.1520931992596501</v>
      </c>
    </row>
    <row r="347" spans="1:7" x14ac:dyDescent="0.25">
      <c r="A347" s="99">
        <f>2022</f>
        <v>2022</v>
      </c>
      <c r="B347" s="100" t="s">
        <v>16</v>
      </c>
      <c r="C347" s="101">
        <f t="shared" si="32"/>
        <v>6382.8800000000138</v>
      </c>
      <c r="D347" s="102">
        <v>1.0600180812643467</v>
      </c>
      <c r="E347" s="101">
        <f t="shared" si="38"/>
        <v>4.2947431716132245</v>
      </c>
      <c r="F347" s="160">
        <f t="shared" si="36"/>
        <v>12.131630216906641</v>
      </c>
      <c r="G347" s="98">
        <f t="shared" si="37"/>
        <v>1.1400088988043018</v>
      </c>
    </row>
    <row r="348" spans="1:7" x14ac:dyDescent="0.25">
      <c r="A348" s="99">
        <f>2022</f>
        <v>2022</v>
      </c>
      <c r="B348" s="100" t="s">
        <v>17</v>
      </c>
      <c r="C348" s="101">
        <f t="shared" si="32"/>
        <v>6412.8800000000138</v>
      </c>
      <c r="D348" s="102">
        <v>0.47000726944577131</v>
      </c>
      <c r="E348" s="101">
        <f t="shared" si="38"/>
        <v>4.7849360461696078</v>
      </c>
      <c r="F348" s="160">
        <f t="shared" si="36"/>
        <v>11.731212845583938</v>
      </c>
      <c r="G348" s="98">
        <f t="shared" si="37"/>
        <v>1.1346758398722574</v>
      </c>
    </row>
    <row r="349" spans="1:7" x14ac:dyDescent="0.25">
      <c r="A349" s="99">
        <f>2022</f>
        <v>2022</v>
      </c>
      <c r="B349" s="100" t="s">
        <v>18</v>
      </c>
      <c r="C349" s="101">
        <f t="shared" si="32"/>
        <v>6455.850000000014</v>
      </c>
      <c r="D349" s="102">
        <v>0.67005775876050055</v>
      </c>
      <c r="E349" s="101">
        <f t="shared" si="38"/>
        <v>5.4870556401591886</v>
      </c>
      <c r="F349" s="160">
        <f t="shared" si="36"/>
        <v>11.886869625197981</v>
      </c>
      <c r="G349" s="98">
        <f t="shared" si="37"/>
        <v>1.1271234616665509</v>
      </c>
    </row>
    <row r="350" spans="1:7" x14ac:dyDescent="0.25">
      <c r="A350" s="99">
        <f>2022</f>
        <v>2022</v>
      </c>
      <c r="B350" s="100" t="s">
        <v>19</v>
      </c>
      <c r="C350" s="101">
        <f t="shared" si="32"/>
        <v>6411.9500000000135</v>
      </c>
      <c r="D350" s="102">
        <v>-0.68000340776196433</v>
      </c>
      <c r="E350" s="101">
        <f t="shared" si="38"/>
        <v>4.7697400670583479</v>
      </c>
      <c r="F350" s="160">
        <f t="shared" si="36"/>
        <v>10.069403316870806</v>
      </c>
      <c r="G350" s="98">
        <f t="shared" si="37"/>
        <v>1.1348404151623146</v>
      </c>
    </row>
    <row r="351" spans="1:7" x14ac:dyDescent="0.25">
      <c r="A351" s="99">
        <f>2022</f>
        <v>2022</v>
      </c>
      <c r="B351" s="100" t="s">
        <v>20</v>
      </c>
      <c r="C351" s="101">
        <f t="shared" si="32"/>
        <v>6388.8700000000135</v>
      </c>
      <c r="D351" s="102">
        <v>-0.3599529004437052</v>
      </c>
      <c r="E351" s="101">
        <f t="shared" si="38"/>
        <v>4.3926183488996573</v>
      </c>
      <c r="F351" s="160">
        <f t="shared" si="36"/>
        <v>8.7272912926199773</v>
      </c>
      <c r="G351" s="98">
        <f t="shared" si="37"/>
        <v>1.13894006295323</v>
      </c>
    </row>
    <row r="352" spans="1:7" x14ac:dyDescent="0.25">
      <c r="A352" s="99">
        <f>2022</f>
        <v>2022</v>
      </c>
      <c r="B352" s="100" t="s">
        <v>21</v>
      </c>
      <c r="C352" s="101">
        <f t="shared" si="32"/>
        <v>6370.3400000000138</v>
      </c>
      <c r="D352" s="102">
        <v>-0.29003564010536831</v>
      </c>
      <c r="E352" s="101">
        <f t="shared" si="38"/>
        <v>4.0898425500486724</v>
      </c>
      <c r="F352" s="160">
        <f t="shared" si="36"/>
        <v>7.1688247891645407</v>
      </c>
      <c r="G352" s="98">
        <f t="shared" si="37"/>
        <v>1.1422530037643206</v>
      </c>
    </row>
    <row r="353" spans="1:7" x14ac:dyDescent="0.25">
      <c r="A353" s="99">
        <f>2022</f>
        <v>2022</v>
      </c>
      <c r="B353" s="100" t="s">
        <v>22</v>
      </c>
      <c r="C353" s="101">
        <f t="shared" si="32"/>
        <v>6407.9300000000148</v>
      </c>
      <c r="D353" s="102">
        <v>0.59007839455980093</v>
      </c>
      <c r="E353" s="101">
        <f t="shared" si="38"/>
        <v>4.704054221867815</v>
      </c>
      <c r="F353" s="160">
        <f t="shared" si="36"/>
        <v>6.4703722349883863</v>
      </c>
      <c r="G353" s="98">
        <f t="shared" si="37"/>
        <v>1.1355523546605537</v>
      </c>
    </row>
    <row r="354" spans="1:7" x14ac:dyDescent="0.25">
      <c r="A354" s="99">
        <f>2022</f>
        <v>2022</v>
      </c>
      <c r="B354" s="100" t="s">
        <v>23</v>
      </c>
      <c r="C354" s="101">
        <f t="shared" si="32"/>
        <v>6434.2000000000153</v>
      </c>
      <c r="D354" s="102">
        <v>0.40996078296735572</v>
      </c>
      <c r="E354" s="101">
        <f t="shared" si="38"/>
        <v>5.1332997823543725</v>
      </c>
      <c r="F354" s="160">
        <f t="shared" si="36"/>
        <v>5.9007289707012855</v>
      </c>
      <c r="G354" s="98">
        <f t="shared" si="37"/>
        <v>1.1309160423984335</v>
      </c>
    </row>
    <row r="355" spans="1:7" x14ac:dyDescent="0.25">
      <c r="A355" s="99">
        <f>2022</f>
        <v>2022</v>
      </c>
      <c r="B355" s="100" t="s">
        <v>12</v>
      </c>
      <c r="C355" s="101">
        <f t="shared" si="32"/>
        <v>6474.0900000000147</v>
      </c>
      <c r="D355" s="102">
        <v>0.6199682944266538</v>
      </c>
      <c r="E355" s="101">
        <f t="shared" si="38"/>
        <v>5.7850929078894886</v>
      </c>
      <c r="F355" s="160">
        <f t="shared" si="36"/>
        <v>5.7850929078894886</v>
      </c>
      <c r="G355" s="98">
        <f t="shared" si="37"/>
        <v>1.1239479216384081</v>
      </c>
    </row>
    <row r="356" spans="1:7" x14ac:dyDescent="0.25">
      <c r="A356" s="99">
        <f>2023</f>
        <v>2023</v>
      </c>
      <c r="B356" s="100" t="s">
        <v>13</v>
      </c>
      <c r="C356" s="101">
        <f t="shared" si="32"/>
        <v>6508.4000000000142</v>
      </c>
      <c r="D356" s="102">
        <v>0.52995865055938118</v>
      </c>
      <c r="E356" s="101">
        <f t="shared" ref="E356:E367" si="39">+((C356/$C$355)-1)*100</f>
        <v>0.52995865055938118</v>
      </c>
      <c r="F356" s="160">
        <f t="shared" si="36"/>
        <v>5.774497041323956</v>
      </c>
      <c r="G356" s="98">
        <f t="shared" si="37"/>
        <v>1.1180228627619695</v>
      </c>
    </row>
    <row r="357" spans="1:7" x14ac:dyDescent="0.25">
      <c r="A357" s="99">
        <f>2023</f>
        <v>2023</v>
      </c>
      <c r="B357" s="100" t="s">
        <v>14</v>
      </c>
      <c r="C357" s="101">
        <f t="shared" si="32"/>
        <v>6563.0700000000143</v>
      </c>
      <c r="D357" s="102">
        <v>0.83999139573474046</v>
      </c>
      <c r="E357" s="101">
        <f t="shared" si="39"/>
        <v>1.3744016533597581</v>
      </c>
      <c r="F357" s="160">
        <f t="shared" si="36"/>
        <v>5.596404965858115</v>
      </c>
      <c r="G357" s="98">
        <f t="shared" si="37"/>
        <v>1.1087097958729684</v>
      </c>
    </row>
    <row r="358" spans="1:7" x14ac:dyDescent="0.25">
      <c r="A358" s="99">
        <f>2023</f>
        <v>2023</v>
      </c>
      <c r="B358" s="100" t="s">
        <v>15</v>
      </c>
      <c r="C358" s="101">
        <f t="shared" si="32"/>
        <v>6609.6700000000155</v>
      </c>
      <c r="D358" s="102">
        <v>0.71003356660832573</v>
      </c>
      <c r="E358" s="101">
        <f t="shared" si="39"/>
        <v>2.0941939330469728</v>
      </c>
      <c r="F358" s="160">
        <f t="shared" si="36"/>
        <v>4.6507798534816125</v>
      </c>
      <c r="G358" s="98">
        <f t="shared" si="37"/>
        <v>1.1008930854339174</v>
      </c>
    </row>
    <row r="359" spans="1:7" x14ac:dyDescent="0.25">
      <c r="A359" s="99">
        <f>2023</f>
        <v>2023</v>
      </c>
      <c r="B359" s="100" t="s">
        <v>16</v>
      </c>
      <c r="C359" s="101">
        <f t="shared" si="32"/>
        <v>6649.9900000000152</v>
      </c>
      <c r="D359" s="102">
        <v>0.61001532602988906</v>
      </c>
      <c r="E359" s="101">
        <f t="shared" si="39"/>
        <v>2.7169841630252378</v>
      </c>
      <c r="F359" s="160">
        <f t="shared" si="36"/>
        <v>4.184788058055311</v>
      </c>
      <c r="G359" s="98">
        <f t="shared" si="37"/>
        <v>1.094218186794266</v>
      </c>
    </row>
    <row r="360" spans="1:7" x14ac:dyDescent="0.25">
      <c r="A360" s="99">
        <f>2023</f>
        <v>2023</v>
      </c>
      <c r="B360" s="100" t="s">
        <v>17</v>
      </c>
      <c r="C360" s="101">
        <f t="shared" si="32"/>
        <v>6665.2800000000152</v>
      </c>
      <c r="D360" s="102">
        <v>0.22992515778219591</v>
      </c>
      <c r="E360" s="101">
        <f t="shared" si="39"/>
        <v>2.9531563509311853</v>
      </c>
      <c r="F360" s="160">
        <f t="shared" si="36"/>
        <v>3.9358291438480242</v>
      </c>
      <c r="G360" s="98">
        <f t="shared" si="37"/>
        <v>1.0917080752796584</v>
      </c>
    </row>
    <row r="361" spans="1:7" x14ac:dyDescent="0.25">
      <c r="A361" s="99">
        <f>2023</f>
        <v>2023</v>
      </c>
      <c r="B361" s="100" t="s">
        <v>18</v>
      </c>
      <c r="C361" s="101">
        <f t="shared" si="32"/>
        <v>6659.9500000000153</v>
      </c>
      <c r="D361" s="102">
        <v>-7.9966633059680436E-2</v>
      </c>
      <c r="E361" s="101">
        <f t="shared" si="39"/>
        <v>2.8708281781686606</v>
      </c>
      <c r="F361" s="160">
        <f t="shared" si="36"/>
        <v>3.1614737021461226</v>
      </c>
      <c r="G361" s="98">
        <f t="shared" si="37"/>
        <v>1.0925817761394607</v>
      </c>
    </row>
    <row r="362" spans="1:7" x14ac:dyDescent="0.25">
      <c r="A362" s="99">
        <f>2023</f>
        <v>2023</v>
      </c>
      <c r="B362" s="100" t="s">
        <v>19</v>
      </c>
      <c r="C362" s="101">
        <f t="shared" si="32"/>
        <v>6667.940000000016</v>
      </c>
      <c r="D362" s="102">
        <v>0.11997087065218626</v>
      </c>
      <c r="E362" s="101">
        <f t="shared" si="39"/>
        <v>2.9942432063811308</v>
      </c>
      <c r="F362" s="160">
        <f t="shared" si="36"/>
        <v>3.9923892107705417</v>
      </c>
      <c r="G362" s="98">
        <f t="shared" si="37"/>
        <v>1.0912725669397145</v>
      </c>
    </row>
    <row r="363" spans="1:7" x14ac:dyDescent="0.25">
      <c r="A363" s="99">
        <f>2023</f>
        <v>2023</v>
      </c>
      <c r="B363" s="100" t="s">
        <v>20</v>
      </c>
      <c r="C363" s="101">
        <f t="shared" si="32"/>
        <v>6683.2800000000161</v>
      </c>
      <c r="D363" s="102">
        <v>0.23005605929267148</v>
      </c>
      <c r="E363" s="101">
        <f t="shared" si="39"/>
        <v>3.2311877036000469</v>
      </c>
      <c r="F363" s="160">
        <f t="shared" si="36"/>
        <v>4.6081701458943858</v>
      </c>
      <c r="G363" s="98">
        <f t="shared" si="37"/>
        <v>1.0887677906656612</v>
      </c>
    </row>
    <row r="364" spans="1:7" x14ac:dyDescent="0.25">
      <c r="A364" s="99">
        <f>2023</f>
        <v>2023</v>
      </c>
      <c r="B364" s="100" t="s">
        <v>21</v>
      </c>
      <c r="C364" s="101">
        <f t="shared" si="32"/>
        <v>6700.6600000000171</v>
      </c>
      <c r="D364" s="102">
        <v>0.260051950539264</v>
      </c>
      <c r="E364" s="101">
        <f t="shared" si="39"/>
        <v>3.4996424207881294</v>
      </c>
      <c r="F364" s="160">
        <f t="shared" si="36"/>
        <v>5.1852805344769992</v>
      </c>
      <c r="G364" s="98">
        <f t="shared" si="37"/>
        <v>1.0859437727029875</v>
      </c>
    </row>
    <row r="365" spans="1:7" x14ac:dyDescent="0.25">
      <c r="A365" s="99">
        <f>2023</f>
        <v>2023</v>
      </c>
      <c r="B365" s="100" t="s">
        <v>22</v>
      </c>
      <c r="C365" s="101">
        <f t="shared" si="32"/>
        <v>6716.7400000000162</v>
      </c>
      <c r="D365" s="102">
        <v>0.23997636053760818</v>
      </c>
      <c r="E365" s="101">
        <f t="shared" si="39"/>
        <v>3.7480170958389625</v>
      </c>
      <c r="F365" s="160">
        <f t="shared" si="36"/>
        <v>4.8191849786124452</v>
      </c>
      <c r="G365" s="98">
        <f t="shared" si="37"/>
        <v>1.0833440031920247</v>
      </c>
    </row>
    <row r="366" spans="1:7" x14ac:dyDescent="0.25">
      <c r="A366" s="99">
        <f>2023</f>
        <v>2023</v>
      </c>
      <c r="B366" s="100" t="s">
        <v>23</v>
      </c>
      <c r="C366" s="101">
        <f t="shared" si="32"/>
        <v>6735.5500000000166</v>
      </c>
      <c r="D366" s="102">
        <v>0.28004657021114543</v>
      </c>
      <c r="E366" s="101">
        <f t="shared" si="39"/>
        <v>4.0385598593779326</v>
      </c>
      <c r="F366" s="160">
        <f t="shared" si="36"/>
        <v>4.6835659444841804</v>
      </c>
      <c r="G366" s="98">
        <f t="shared" si="37"/>
        <v>1.0803186079830156</v>
      </c>
    </row>
    <row r="367" spans="1:7" x14ac:dyDescent="0.25">
      <c r="A367" s="99">
        <f>2023</f>
        <v>2023</v>
      </c>
      <c r="B367" s="100" t="s">
        <v>12</v>
      </c>
      <c r="C367" s="101">
        <f t="shared" si="32"/>
        <v>6773.2700000000168</v>
      </c>
      <c r="D367" s="102">
        <v>0.56001365886972909</v>
      </c>
      <c r="E367" s="101">
        <f t="shared" si="39"/>
        <v>4.62119000508181</v>
      </c>
      <c r="F367" s="160">
        <f t="shared" si="36"/>
        <v>4.62119000508181</v>
      </c>
      <c r="G367" s="98">
        <f t="shared" si="37"/>
        <v>1.0743023679847401</v>
      </c>
    </row>
    <row r="368" spans="1:7" x14ac:dyDescent="0.25">
      <c r="A368" s="99">
        <f>2024</f>
        <v>2024</v>
      </c>
      <c r="B368" s="100" t="s">
        <v>13</v>
      </c>
      <c r="C368" s="101">
        <f t="shared" ref="C368:C380" si="40">+C367*(1+D368/100)</f>
        <v>6801.7200000000166</v>
      </c>
      <c r="D368" s="102">
        <v>0.42003345503722755</v>
      </c>
      <c r="E368" s="101">
        <f t="shared" ref="E368:E379" si="41">+((C368/$C$367)-1)*100</f>
        <v>0.42003345503722755</v>
      </c>
      <c r="F368" s="160">
        <f t="shared" si="36"/>
        <v>4.5067912236494756</v>
      </c>
      <c r="G368" s="98">
        <f t="shared" si="37"/>
        <v>1.0698088130649306</v>
      </c>
    </row>
    <row r="369" spans="1:7" x14ac:dyDescent="0.25">
      <c r="A369" s="99">
        <f>2024</f>
        <v>2024</v>
      </c>
      <c r="B369" s="100" t="s">
        <v>14</v>
      </c>
      <c r="C369" s="101">
        <f t="shared" si="40"/>
        <v>6858.1700000000174</v>
      </c>
      <c r="D369" s="102">
        <v>0.82993713354857501</v>
      </c>
      <c r="E369" s="101">
        <f t="shared" si="41"/>
        <v>1.2534566022024851</v>
      </c>
      <c r="F369" s="160">
        <f t="shared" si="36"/>
        <v>4.4963713627921509</v>
      </c>
      <c r="G369" s="98">
        <f t="shared" si="37"/>
        <v>1.0610031539025717</v>
      </c>
    </row>
    <row r="370" spans="1:7" x14ac:dyDescent="0.25">
      <c r="A370" s="99">
        <f>2024</f>
        <v>2024</v>
      </c>
      <c r="B370" s="100" t="s">
        <v>15</v>
      </c>
      <c r="C370" s="101">
        <f t="shared" si="40"/>
        <v>6869.1400000000176</v>
      </c>
      <c r="D370" s="102">
        <v>0.15995520670966101</v>
      </c>
      <c r="E370" s="101">
        <f t="shared" si="41"/>
        <v>1.4154167780112248</v>
      </c>
      <c r="F370" s="160">
        <f t="shared" si="36"/>
        <v>3.9256120199647082</v>
      </c>
      <c r="G370" s="98">
        <f t="shared" si="37"/>
        <v>1.0593087344267258</v>
      </c>
    </row>
    <row r="371" spans="1:7" x14ac:dyDescent="0.25">
      <c r="A371" s="99">
        <f>2024</f>
        <v>2024</v>
      </c>
      <c r="B371" s="100" t="s">
        <v>16</v>
      </c>
      <c r="C371" s="101">
        <f t="shared" si="40"/>
        <v>6895.240000000018</v>
      </c>
      <c r="D371" s="102">
        <v>0.37996022791790818</v>
      </c>
      <c r="E371" s="101">
        <f t="shared" si="41"/>
        <v>1.8007550267448602</v>
      </c>
      <c r="F371" s="160">
        <f t="shared" si="36"/>
        <v>3.6879754706398371</v>
      </c>
      <c r="G371" s="98">
        <f t="shared" si="37"/>
        <v>1.0552990178731994</v>
      </c>
    </row>
    <row r="372" spans="1:7" x14ac:dyDescent="0.25">
      <c r="A372" s="99">
        <f>2024</f>
        <v>2024</v>
      </c>
      <c r="B372" s="100" t="s">
        <v>17</v>
      </c>
      <c r="C372" s="101">
        <f t="shared" si="40"/>
        <v>6926.9600000000182</v>
      </c>
      <c r="D372" s="102">
        <v>0.4600274972299756</v>
      </c>
      <c r="E372" s="101">
        <f t="shared" si="41"/>
        <v>2.2690664922556003</v>
      </c>
      <c r="F372" s="160">
        <f t="shared" si="36"/>
        <v>3.9260166114552186</v>
      </c>
      <c r="G372" s="98">
        <f t="shared" si="37"/>
        <v>1.0504665827433679</v>
      </c>
    </row>
    <row r="373" spans="1:7" x14ac:dyDescent="0.25">
      <c r="A373" s="99">
        <f>2024</f>
        <v>2024</v>
      </c>
      <c r="B373" s="100" t="s">
        <v>18</v>
      </c>
      <c r="C373" s="101">
        <f t="shared" si="40"/>
        <v>6941.5100000000184</v>
      </c>
      <c r="D373" s="102">
        <v>0.21004885259912065</v>
      </c>
      <c r="E373" s="101">
        <f t="shared" si="41"/>
        <v>2.4838814929864172</v>
      </c>
      <c r="F373" s="160">
        <f t="shared" si="36"/>
        <v>4.2276593668121087</v>
      </c>
      <c r="G373" s="98">
        <f t="shared" si="37"/>
        <v>1.0482647147378594</v>
      </c>
    </row>
    <row r="374" spans="1:7" x14ac:dyDescent="0.25">
      <c r="A374" s="99">
        <f>2024</f>
        <v>2024</v>
      </c>
      <c r="B374" s="100" t="s">
        <v>19</v>
      </c>
      <c r="C374" s="101">
        <f t="shared" si="40"/>
        <v>6967.8900000000185</v>
      </c>
      <c r="D374" s="102">
        <v>0.38003258656977845</v>
      </c>
      <c r="E374" s="101">
        <f t="shared" si="41"/>
        <v>2.8733536386413183</v>
      </c>
      <c r="F374" s="160">
        <f t="shared" si="36"/>
        <v>4.4983908073558121</v>
      </c>
      <c r="G374" s="98">
        <f t="shared" si="37"/>
        <v>1.0442960494496898</v>
      </c>
    </row>
    <row r="375" spans="1:7" x14ac:dyDescent="0.25">
      <c r="A375" s="99">
        <f>2024</f>
        <v>2024</v>
      </c>
      <c r="B375" s="100" t="s">
        <v>20</v>
      </c>
      <c r="C375" s="101">
        <f t="shared" si="40"/>
        <v>6966.5000000000182</v>
      </c>
      <c r="D375" s="102">
        <v>-1.9948650165257931E-2</v>
      </c>
      <c r="E375" s="101">
        <f t="shared" si="41"/>
        <v>2.852831793210675</v>
      </c>
      <c r="F375" s="160">
        <f t="shared" si="36"/>
        <v>4.2377395530338591</v>
      </c>
      <c r="G375" s="98">
        <f t="shared" si="37"/>
        <v>1.0445044139811956</v>
      </c>
    </row>
    <row r="376" spans="1:7" x14ac:dyDescent="0.25">
      <c r="A376" s="99">
        <f>2024</f>
        <v>2024</v>
      </c>
      <c r="B376" s="100" t="s">
        <v>21</v>
      </c>
      <c r="C376" s="101">
        <f t="shared" si="40"/>
        <v>6997.1500000000178</v>
      </c>
      <c r="D376" s="102">
        <v>0.439962678532968</v>
      </c>
      <c r="E376" s="101">
        <f t="shared" si="41"/>
        <v>3.3053458669151103</v>
      </c>
      <c r="F376" s="160">
        <f t="shared" si="36"/>
        <v>4.424788005957625</v>
      </c>
      <c r="G376" s="98">
        <f t="shared" si="37"/>
        <v>1.0399291139964129</v>
      </c>
    </row>
    <row r="377" spans="1:7" x14ac:dyDescent="0.25">
      <c r="A377" s="99">
        <f>2024</f>
        <v>2024</v>
      </c>
      <c r="B377" s="100" t="s">
        <v>22</v>
      </c>
      <c r="C377" s="101">
        <f t="shared" si="40"/>
        <v>7036.330000000019</v>
      </c>
      <c r="D377" s="102">
        <v>0.55994226220676957</v>
      </c>
      <c r="E377" s="101">
        <f t="shared" si="41"/>
        <v>3.8837961575428404</v>
      </c>
      <c r="F377" s="160">
        <f t="shared" si="36"/>
        <v>4.7581118221042162</v>
      </c>
      <c r="G377" s="98">
        <f t="shared" si="37"/>
        <v>1.0341385352875716</v>
      </c>
    </row>
    <row r="378" spans="1:7" x14ac:dyDescent="0.25">
      <c r="A378" s="99">
        <f>2024</f>
        <v>2024</v>
      </c>
      <c r="B378" s="100" t="s">
        <v>23</v>
      </c>
      <c r="C378" s="101">
        <f t="shared" si="40"/>
        <v>7063.7700000000195</v>
      </c>
      <c r="D378" s="102">
        <v>0.38997602443320289</v>
      </c>
      <c r="E378" s="101">
        <f t="shared" si="41"/>
        <v>4.2889180558283169</v>
      </c>
      <c r="F378" s="160">
        <f t="shared" si="36"/>
        <v>4.8729502416284154</v>
      </c>
      <c r="G378" s="98">
        <f t="shared" si="37"/>
        <v>1.0301213091592731</v>
      </c>
    </row>
    <row r="379" spans="1:7" x14ac:dyDescent="0.25">
      <c r="A379" s="99">
        <f>2024</f>
        <v>2024</v>
      </c>
      <c r="B379" s="100" t="s">
        <v>12</v>
      </c>
      <c r="C379" s="101">
        <f t="shared" si="40"/>
        <v>7100.5000000000191</v>
      </c>
      <c r="D379" s="102">
        <v>0.51997729257888814</v>
      </c>
      <c r="E379" s="101">
        <f t="shared" si="41"/>
        <v>4.831196748394806</v>
      </c>
      <c r="F379" s="160">
        <f t="shared" si="36"/>
        <v>4.831196748394806</v>
      </c>
      <c r="G379" s="98">
        <f t="shared" si="37"/>
        <v>1.0247926202380111</v>
      </c>
    </row>
    <row r="380" spans="1:7" x14ac:dyDescent="0.25">
      <c r="A380" s="99">
        <f>2025</f>
        <v>2025</v>
      </c>
      <c r="B380" s="100" t="s">
        <v>13</v>
      </c>
      <c r="C380" s="101">
        <f t="shared" si="40"/>
        <v>7111.8600000000179</v>
      </c>
      <c r="D380" s="102">
        <v>0.15998873318778806</v>
      </c>
      <c r="E380" s="101">
        <f>+((C380/$C$379)-1)*100</f>
        <v>0.15998873318778806</v>
      </c>
      <c r="F380" s="160">
        <f t="shared" si="36"/>
        <v>4.5597290097210808</v>
      </c>
      <c r="G380" s="98">
        <f t="shared" si="37"/>
        <v>1.0231556864167741</v>
      </c>
    </row>
    <row r="381" spans="1:7" x14ac:dyDescent="0.25">
      <c r="A381" s="99">
        <f>2025</f>
        <v>2025</v>
      </c>
      <c r="B381" s="100" t="s">
        <v>14</v>
      </c>
      <c r="C381" s="101">
        <f t="shared" ref="C381" si="42">+C380*(1+D381/100)</f>
        <v>7205.0300000000188</v>
      </c>
      <c r="D381" s="102">
        <v>1.3100651587629741</v>
      </c>
      <c r="E381" s="101">
        <f>+((C381/$C$379)-1)*100</f>
        <v>1.4721498486022</v>
      </c>
      <c r="F381" s="160">
        <f t="shared" ref="F381" si="43">100*((C381/C369)-1)</f>
        <v>5.0576174110586347</v>
      </c>
      <c r="G381" s="98">
        <f t="shared" si="37"/>
        <v>1.0099250107216762</v>
      </c>
    </row>
    <row r="382" spans="1:7" x14ac:dyDescent="0.25">
      <c r="A382" s="99">
        <f>2025</f>
        <v>2025</v>
      </c>
      <c r="B382" s="100" t="s">
        <v>15</v>
      </c>
      <c r="C382" s="101">
        <f t="shared" ref="C382" si="44">+C381*(1+D382/100)</f>
        <v>7245.3800000000183</v>
      </c>
      <c r="D382" s="102">
        <v>0.56002542668107669</v>
      </c>
      <c r="E382" s="101">
        <f>+((C382/$C$379)-1)*100</f>
        <v>2.0404196887543025</v>
      </c>
      <c r="F382" s="160">
        <f t="shared" ref="F382" si="45">100*((C382/C370)-1)</f>
        <v>5.4772504272732725</v>
      </c>
      <c r="G382" s="104">
        <f t="shared" si="37"/>
        <v>1.0043006716003853</v>
      </c>
    </row>
    <row r="383" spans="1:7" ht="16.5" thickBot="1" x14ac:dyDescent="0.3">
      <c r="A383" s="105">
        <f>2025</f>
        <v>2025</v>
      </c>
      <c r="B383" s="106" t="s">
        <v>16</v>
      </c>
      <c r="C383" s="107">
        <f t="shared" ref="C383" si="46">+C382*(1+D383/100)</f>
        <v>7276.5400000000182</v>
      </c>
      <c r="D383" s="108">
        <v>0.43006716003852752</v>
      </c>
      <c r="E383" s="107">
        <f>+((C383/$C$379)-1)*100</f>
        <v>2.4792620238011098</v>
      </c>
      <c r="F383" s="161">
        <f t="shared" ref="F383" si="47">100*((C383/C371)-1)</f>
        <v>5.5299017873199352</v>
      </c>
      <c r="G383" s="110">
        <f t="shared" si="37"/>
        <v>1</v>
      </c>
    </row>
    <row r="384" spans="1:7" s="163" customFormat="1" x14ac:dyDescent="0.25">
      <c r="A384" s="162" t="s">
        <v>44</v>
      </c>
      <c r="F384" s="164"/>
      <c r="G384" s="165"/>
    </row>
    <row r="385" spans="1:7" x14ac:dyDescent="0.25">
      <c r="A385" s="113" t="s">
        <v>45</v>
      </c>
      <c r="D385" s="166"/>
      <c r="E385" s="166"/>
      <c r="F385" s="166"/>
      <c r="G385" s="167"/>
    </row>
    <row r="386" spans="1:7" x14ac:dyDescent="0.25">
      <c r="A386" s="113" t="s">
        <v>46</v>
      </c>
      <c r="D386" s="166"/>
      <c r="E386" s="166"/>
      <c r="F386" s="166"/>
      <c r="G386" s="168"/>
    </row>
    <row r="387" spans="1:7" x14ac:dyDescent="0.25">
      <c r="A387" s="169" t="s">
        <v>52</v>
      </c>
      <c r="D387" s="166"/>
      <c r="E387" s="166"/>
      <c r="F387" s="166"/>
      <c r="G387" s="168"/>
    </row>
    <row r="388" spans="1:7" x14ac:dyDescent="0.25">
      <c r="A388" s="113" t="s">
        <v>53</v>
      </c>
      <c r="D388" s="166"/>
      <c r="E388" s="166"/>
      <c r="F388" s="166"/>
    </row>
    <row r="389" spans="1:7" x14ac:dyDescent="0.25">
      <c r="A389" s="113" t="s">
        <v>54</v>
      </c>
      <c r="D389" s="166"/>
      <c r="E389" s="166"/>
      <c r="F389" s="166"/>
    </row>
    <row r="390" spans="1:7" x14ac:dyDescent="0.25">
      <c r="A390" s="113" t="s">
        <v>55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008F-E0B0-467C-8305-28F3512C1E6E}">
  <dimension ref="A1:G391"/>
  <sheetViews>
    <sheetView showGridLines="0" workbookViewId="0">
      <pane ySplit="2610" topLeftCell="A289" activePane="bottomLeft"/>
      <selection activeCell="A275" sqref="A275"/>
      <selection pane="bottomLeft" activeCell="F299" sqref="F299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82" t="s">
        <v>62</v>
      </c>
      <c r="B1" s="682"/>
      <c r="C1" s="682"/>
      <c r="D1" s="682"/>
      <c r="E1" s="682"/>
      <c r="F1" s="682"/>
      <c r="G1" s="682"/>
    </row>
    <row r="2" spans="1:7" ht="15.75" customHeight="1" x14ac:dyDescent="0.25">
      <c r="A2" s="682"/>
      <c r="B2" s="682"/>
      <c r="C2" s="682"/>
      <c r="D2" s="682"/>
      <c r="E2" s="682"/>
      <c r="F2" s="682"/>
      <c r="G2" s="682"/>
    </row>
    <row r="3" spans="1:7" ht="15" customHeight="1" thickBot="1" x14ac:dyDescent="0.3">
      <c r="A3" s="683"/>
      <c r="B3" s="683"/>
      <c r="C3" s="683"/>
      <c r="D3" s="683"/>
      <c r="E3" s="683"/>
      <c r="F3" s="683"/>
      <c r="G3" s="683"/>
    </row>
    <row r="4" spans="1:7" ht="17.25" customHeight="1" thickBot="1" x14ac:dyDescent="0.3">
      <c r="A4" s="684" t="s">
        <v>57</v>
      </c>
      <c r="B4" s="685"/>
      <c r="C4" s="686"/>
      <c r="D4" s="687" t="s">
        <v>58</v>
      </c>
      <c r="E4" s="688"/>
      <c r="F4" s="688"/>
      <c r="G4" s="688"/>
    </row>
    <row r="5" spans="1:7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695" t="s">
        <v>51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170" t="s">
        <v>9</v>
      </c>
      <c r="E6" s="170" t="s">
        <v>10</v>
      </c>
      <c r="F6" s="170" t="s">
        <v>11</v>
      </c>
      <c r="G6" s="696"/>
    </row>
    <row r="7" spans="1:7" ht="16.5" hidden="1" thickBot="1" x14ac:dyDescent="0.3">
      <c r="A7" s="69">
        <v>2000</v>
      </c>
      <c r="B7" s="70" t="s">
        <v>22</v>
      </c>
      <c r="C7" s="71">
        <v>100</v>
      </c>
      <c r="D7" s="171">
        <v>0.18</v>
      </c>
      <c r="E7" s="171"/>
      <c r="F7" s="172"/>
      <c r="G7" s="74">
        <f>+$C$301/C7</f>
        <v>4.3460231512009502</v>
      </c>
    </row>
    <row r="8" spans="1:7" ht="16.5" hidden="1" thickBot="1" x14ac:dyDescent="0.3">
      <c r="A8" s="75">
        <v>2000</v>
      </c>
      <c r="B8" s="76" t="s">
        <v>23</v>
      </c>
      <c r="C8" s="77">
        <f>+C7*(1+D8/100)</f>
        <v>100.17</v>
      </c>
      <c r="D8" s="83">
        <v>0.17</v>
      </c>
      <c r="E8" s="83"/>
      <c r="F8" s="84"/>
      <c r="G8" s="80">
        <f>+$C$301/C8</f>
        <v>4.3386474505350403</v>
      </c>
    </row>
    <row r="9" spans="1:7" ht="16.5" hidden="1" thickBot="1" x14ac:dyDescent="0.3">
      <c r="A9" s="75">
        <v>2000</v>
      </c>
      <c r="B9" s="76" t="s">
        <v>12</v>
      </c>
      <c r="C9" s="77">
        <f t="shared" ref="C9:C45" si="0">+C8*(1+D9/100)</f>
        <v>100.77102000000001</v>
      </c>
      <c r="D9" s="83">
        <v>0.6</v>
      </c>
      <c r="E9" s="83"/>
      <c r="F9" s="84"/>
      <c r="G9" s="80">
        <f>+$C$301/C9</f>
        <v>4.3127708255815511</v>
      </c>
    </row>
    <row r="10" spans="1:7" ht="16.5" hidden="1" thickBot="1" x14ac:dyDescent="0.3">
      <c r="A10" s="75">
        <v>2001</v>
      </c>
      <c r="B10" s="76" t="s">
        <v>13</v>
      </c>
      <c r="C10" s="77">
        <f>+C9*(1+D10/100)</f>
        <v>101.405877426</v>
      </c>
      <c r="D10" s="83">
        <v>0.63</v>
      </c>
      <c r="E10" s="83">
        <f t="shared" ref="E10:E21" si="1">100*((C10/$C$9)-1)</f>
        <v>0.62999999999999723</v>
      </c>
      <c r="F10" s="84"/>
      <c r="G10" s="80">
        <f>+$C$301/C10</f>
        <v>4.2857704716104053</v>
      </c>
    </row>
    <row r="11" spans="1:7" ht="16.5" hidden="1" thickBot="1" x14ac:dyDescent="0.3">
      <c r="A11" s="75">
        <v>2001</v>
      </c>
      <c r="B11" s="76" t="s">
        <v>14</v>
      </c>
      <c r="C11" s="77">
        <f t="shared" si="0"/>
        <v>101.91290681312999</v>
      </c>
      <c r="D11" s="83">
        <v>0.5</v>
      </c>
      <c r="E11" s="83">
        <f t="shared" si="1"/>
        <v>1.1331499999999828</v>
      </c>
      <c r="F11" s="84"/>
      <c r="G11" s="80">
        <f>+$C$301/C11</f>
        <v>4.2644482304581155</v>
      </c>
    </row>
    <row r="12" spans="1:7" ht="16.5" hidden="1" thickBot="1" x14ac:dyDescent="0.3">
      <c r="A12" s="75">
        <v>2001</v>
      </c>
      <c r="B12" s="76" t="s">
        <v>15</v>
      </c>
      <c r="C12" s="77">
        <f t="shared" si="0"/>
        <v>102.27979327765726</v>
      </c>
      <c r="D12" s="83">
        <v>0.36</v>
      </c>
      <c r="E12" s="83">
        <f t="shared" si="1"/>
        <v>1.4972293399999836</v>
      </c>
      <c r="F12" s="84"/>
      <c r="G12" s="80">
        <f>+$C$301/C12</f>
        <v>4.2491512858291305</v>
      </c>
    </row>
    <row r="13" spans="1:7" ht="16.5" hidden="1" thickBot="1" x14ac:dyDescent="0.3">
      <c r="A13" s="75">
        <v>2001</v>
      </c>
      <c r="B13" s="76" t="s">
        <v>16</v>
      </c>
      <c r="C13" s="77">
        <f t="shared" si="0"/>
        <v>102.79119224404553</v>
      </c>
      <c r="D13" s="83">
        <v>0.5</v>
      </c>
      <c r="E13" s="83">
        <f t="shared" si="1"/>
        <v>2.0047154866999817</v>
      </c>
      <c r="F13" s="84"/>
      <c r="G13" s="80">
        <f>+$C$301/C13</f>
        <v>4.2280112296807273</v>
      </c>
    </row>
    <row r="14" spans="1:7" ht="16.5" hidden="1" thickBot="1" x14ac:dyDescent="0.3">
      <c r="A14" s="75">
        <v>2001</v>
      </c>
      <c r="B14" s="76" t="s">
        <v>17</v>
      </c>
      <c r="C14" s="77">
        <f t="shared" si="0"/>
        <v>103.29486908604134</v>
      </c>
      <c r="D14" s="83">
        <v>0.49</v>
      </c>
      <c r="E14" s="83">
        <f t="shared" si="1"/>
        <v>2.5045385925847929</v>
      </c>
      <c r="F14" s="84"/>
      <c r="G14" s="80">
        <f>+$C$301/C14</f>
        <v>4.2073949942091033</v>
      </c>
    </row>
    <row r="15" spans="1:7" ht="16.5" hidden="1" thickBot="1" x14ac:dyDescent="0.3">
      <c r="A15" s="75">
        <v>2001</v>
      </c>
      <c r="B15" s="76" t="s">
        <v>18</v>
      </c>
      <c r="C15" s="77">
        <f t="shared" si="0"/>
        <v>103.68738958856831</v>
      </c>
      <c r="D15" s="83">
        <v>0.38</v>
      </c>
      <c r="E15" s="83">
        <f t="shared" si="1"/>
        <v>2.8940558392366089</v>
      </c>
      <c r="F15" s="84"/>
      <c r="G15" s="80">
        <f>+$C$301/C15</f>
        <v>4.1914674180206246</v>
      </c>
    </row>
    <row r="16" spans="1:7" ht="16.5" hidden="1" thickBot="1" x14ac:dyDescent="0.3">
      <c r="A16" s="75">
        <v>2001</v>
      </c>
      <c r="B16" s="76" t="s">
        <v>19</v>
      </c>
      <c r="C16" s="77">
        <f t="shared" si="0"/>
        <v>104.66205105070085</v>
      </c>
      <c r="D16" s="83">
        <v>0.94</v>
      </c>
      <c r="E16" s="83">
        <f t="shared" si="1"/>
        <v>3.8612599641254519</v>
      </c>
      <c r="F16" s="84"/>
      <c r="G16" s="80">
        <f>+$C$301/C16</f>
        <v>4.1524345334066028</v>
      </c>
    </row>
    <row r="17" spans="1:7" ht="16.5" hidden="1" thickBot="1" x14ac:dyDescent="0.3">
      <c r="A17" s="75">
        <v>2001</v>
      </c>
      <c r="B17" s="76" t="s">
        <v>20</v>
      </c>
      <c r="C17" s="77">
        <f t="shared" si="0"/>
        <v>105.89706325309913</v>
      </c>
      <c r="D17" s="83">
        <v>1.18</v>
      </c>
      <c r="E17" s="83">
        <f t="shared" si="1"/>
        <v>5.0868228317021424</v>
      </c>
      <c r="F17" s="84"/>
      <c r="G17" s="80">
        <f>+$C$301/C17</f>
        <v>4.104007247881599</v>
      </c>
    </row>
    <row r="18" spans="1:7" ht="16.5" hidden="1" thickBot="1" x14ac:dyDescent="0.3">
      <c r="A18" s="75">
        <v>2001</v>
      </c>
      <c r="B18" s="76" t="s">
        <v>21</v>
      </c>
      <c r="C18" s="77">
        <f t="shared" si="0"/>
        <v>106.29947209346091</v>
      </c>
      <c r="D18" s="83">
        <v>0.38</v>
      </c>
      <c r="E18" s="83">
        <f t="shared" si="1"/>
        <v>5.4861527584626035</v>
      </c>
      <c r="F18" s="84"/>
      <c r="G18" s="80">
        <f>+$C$301/C18</f>
        <v>4.0884710578617245</v>
      </c>
    </row>
    <row r="19" spans="1:7" ht="16.5" hidden="1" thickBot="1" x14ac:dyDescent="0.3">
      <c r="A19" s="75">
        <v>2001</v>
      </c>
      <c r="B19" s="76" t="s">
        <v>22</v>
      </c>
      <c r="C19" s="77">
        <f t="shared" si="0"/>
        <v>106.69278014020672</v>
      </c>
      <c r="D19" s="83">
        <v>0.37</v>
      </c>
      <c r="E19" s="83">
        <f t="shared" si="1"/>
        <v>5.876451523668913</v>
      </c>
      <c r="F19" s="84">
        <f t="shared" ref="F19:F43" si="2">100*((C19/C7)-1)</f>
        <v>6.6927801402067111</v>
      </c>
      <c r="G19" s="80">
        <f>+$C$301/C19</f>
        <v>4.0733994797865138</v>
      </c>
    </row>
    <row r="20" spans="1:7" ht="16.5" hidden="1" thickBot="1" x14ac:dyDescent="0.3">
      <c r="A20" s="75">
        <v>2001</v>
      </c>
      <c r="B20" s="76" t="s">
        <v>23</v>
      </c>
      <c r="C20" s="77">
        <f t="shared" si="0"/>
        <v>107.74903866359477</v>
      </c>
      <c r="D20" s="83">
        <v>0.99</v>
      </c>
      <c r="E20" s="83">
        <f t="shared" si="1"/>
        <v>6.9246283937532516</v>
      </c>
      <c r="F20" s="84">
        <f t="shared" si="2"/>
        <v>7.5661761641157677</v>
      </c>
      <c r="G20" s="80">
        <f>+$C$301/C20</f>
        <v>4.0334681451495333</v>
      </c>
    </row>
    <row r="21" spans="1:7" ht="16.5" hidden="1" thickBot="1" x14ac:dyDescent="0.3">
      <c r="A21" s="75">
        <v>2001</v>
      </c>
      <c r="B21" s="76" t="s">
        <v>12</v>
      </c>
      <c r="C21" s="77">
        <f t="shared" si="0"/>
        <v>108.34165837624455</v>
      </c>
      <c r="D21" s="83">
        <v>0.55000000000000004</v>
      </c>
      <c r="E21" s="83">
        <f t="shared" si="1"/>
        <v>7.512713849918895</v>
      </c>
      <c r="F21" s="84">
        <f t="shared" si="2"/>
        <v>7.512713849918895</v>
      </c>
      <c r="G21" s="80">
        <f>+$C$301/C21</f>
        <v>4.0114054153650258</v>
      </c>
    </row>
    <row r="22" spans="1:7" ht="16.5" hidden="1" thickBot="1" x14ac:dyDescent="0.3">
      <c r="A22" s="75">
        <v>2002</v>
      </c>
      <c r="B22" s="76" t="s">
        <v>13</v>
      </c>
      <c r="C22" s="77">
        <f>+C21*(1+D22/100)</f>
        <v>109.01337665817726</v>
      </c>
      <c r="D22" s="83">
        <v>0.62</v>
      </c>
      <c r="E22" s="83">
        <f t="shared" ref="E22:E28" si="3">100*((C22/$C$21)-1)</f>
        <v>0.61999999999999833</v>
      </c>
      <c r="F22" s="84">
        <f t="shared" si="2"/>
        <v>7.5020298874971747</v>
      </c>
      <c r="G22" s="80">
        <f>+$C$301/C22</f>
        <v>3.9866879500745638</v>
      </c>
    </row>
    <row r="23" spans="1:7" ht="16.5" hidden="1" thickBot="1" x14ac:dyDescent="0.3">
      <c r="A23" s="75">
        <v>2002</v>
      </c>
      <c r="B23" s="76" t="s">
        <v>14</v>
      </c>
      <c r="C23" s="77">
        <f t="shared" si="0"/>
        <v>109.49303551547324</v>
      </c>
      <c r="D23" s="83">
        <v>0.44</v>
      </c>
      <c r="E23" s="83">
        <f t="shared" si="3"/>
        <v>1.0627279999999795</v>
      </c>
      <c r="F23" s="84">
        <f t="shared" si="2"/>
        <v>7.4378495711464154</v>
      </c>
      <c r="G23" s="80">
        <f>+$C$301/C23</f>
        <v>3.9692233672586257</v>
      </c>
    </row>
    <row r="24" spans="1:7" ht="16.5" hidden="1" thickBot="1" x14ac:dyDescent="0.3">
      <c r="A24" s="75">
        <v>2002</v>
      </c>
      <c r="B24" s="76" t="s">
        <v>15</v>
      </c>
      <c r="C24" s="77">
        <f t="shared" si="0"/>
        <v>109.93100765753513</v>
      </c>
      <c r="D24" s="83">
        <v>0.4</v>
      </c>
      <c r="E24" s="83">
        <f t="shared" si="3"/>
        <v>1.4669789119999832</v>
      </c>
      <c r="F24" s="84">
        <f t="shared" si="2"/>
        <v>7.4806705554314679</v>
      </c>
      <c r="G24" s="80">
        <f>+$C$301/C24</f>
        <v>3.9534097283452447</v>
      </c>
    </row>
    <row r="25" spans="1:7" ht="16.5" hidden="1" thickBot="1" x14ac:dyDescent="0.3">
      <c r="A25" s="75">
        <v>2002</v>
      </c>
      <c r="B25" s="76" t="s">
        <v>16</v>
      </c>
      <c r="C25" s="77">
        <f t="shared" si="0"/>
        <v>110.78846951726391</v>
      </c>
      <c r="D25" s="83">
        <v>0.78</v>
      </c>
      <c r="E25" s="83">
        <f t="shared" si="3"/>
        <v>2.258421347513595</v>
      </c>
      <c r="F25" s="84">
        <f t="shared" si="2"/>
        <v>7.7801191898147604</v>
      </c>
      <c r="G25" s="80">
        <f>+$C$301/C25</f>
        <v>3.9228117963338409</v>
      </c>
    </row>
    <row r="26" spans="1:7" ht="16.5" hidden="1" thickBot="1" x14ac:dyDescent="0.3">
      <c r="A26" s="75">
        <v>2002</v>
      </c>
      <c r="B26" s="76" t="s">
        <v>17</v>
      </c>
      <c r="C26" s="77">
        <f t="shared" si="0"/>
        <v>111.25378108923641</v>
      </c>
      <c r="D26" s="83">
        <v>0.42</v>
      </c>
      <c r="E26" s="83">
        <f t="shared" si="3"/>
        <v>2.6879067171731386</v>
      </c>
      <c r="F26" s="84">
        <f t="shared" si="2"/>
        <v>7.7050409895631278</v>
      </c>
      <c r="G26" s="80">
        <f>+$C$301/C26</f>
        <v>3.9064048957716002</v>
      </c>
    </row>
    <row r="27" spans="1:7" ht="16.5" hidden="1" thickBot="1" x14ac:dyDescent="0.3">
      <c r="A27" s="75">
        <v>2002</v>
      </c>
      <c r="B27" s="76" t="s">
        <v>18</v>
      </c>
      <c r="C27" s="77">
        <f t="shared" si="0"/>
        <v>111.62091856683089</v>
      </c>
      <c r="D27" s="83">
        <v>0.33</v>
      </c>
      <c r="E27" s="83">
        <f t="shared" si="3"/>
        <v>3.0267768093398262</v>
      </c>
      <c r="F27" s="84">
        <f t="shared" si="2"/>
        <v>7.651392333959639</v>
      </c>
      <c r="G27" s="80">
        <f>+$C$301/C27</f>
        <v>3.8935561604421411</v>
      </c>
    </row>
    <row r="28" spans="1:7" ht="16.5" hidden="1" thickBot="1" x14ac:dyDescent="0.3">
      <c r="A28" s="75">
        <v>2002</v>
      </c>
      <c r="B28" s="76" t="s">
        <v>19</v>
      </c>
      <c r="C28" s="77">
        <f t="shared" si="0"/>
        <v>112.48039963979549</v>
      </c>
      <c r="D28" s="83">
        <v>0.77</v>
      </c>
      <c r="E28" s="83">
        <f t="shared" si="3"/>
        <v>3.8200829907717448</v>
      </c>
      <c r="F28" s="84">
        <f t="shared" si="2"/>
        <v>7.470089216297926</v>
      </c>
      <c r="G28" s="80">
        <f>+$C$301/C28</f>
        <v>3.8638048629970636</v>
      </c>
    </row>
    <row r="29" spans="1:7" ht="16.5" hidden="1" thickBot="1" x14ac:dyDescent="0.3">
      <c r="A29" s="75">
        <v>2002</v>
      </c>
      <c r="B29" s="76" t="s">
        <v>20</v>
      </c>
      <c r="C29" s="77">
        <f t="shared" si="0"/>
        <v>113.60520363619345</v>
      </c>
      <c r="D29" s="83">
        <v>1</v>
      </c>
      <c r="E29" s="83">
        <f>100*((C29/$C$21)-1)</f>
        <v>4.8582838206794543</v>
      </c>
      <c r="F29" s="84">
        <f t="shared" si="2"/>
        <v>7.2788990990916291</v>
      </c>
      <c r="G29" s="80">
        <f>+$C$301/C29</f>
        <v>3.8255493693040235</v>
      </c>
    </row>
    <row r="30" spans="1:7" ht="16.5" hidden="1" thickBot="1" x14ac:dyDescent="0.3">
      <c r="A30" s="75">
        <v>2002</v>
      </c>
      <c r="B30" s="76" t="s">
        <v>21</v>
      </c>
      <c r="C30" s="77">
        <f t="shared" si="0"/>
        <v>114.30955589873786</v>
      </c>
      <c r="D30" s="83">
        <v>0.62</v>
      </c>
      <c r="E30" s="83">
        <f>100*((C30/$C$21)-1)</f>
        <v>5.5084051803676815</v>
      </c>
      <c r="F30" s="84">
        <f t="shared" si="2"/>
        <v>7.5353937771528212</v>
      </c>
      <c r="G30" s="80">
        <f>+$C$301/C30</f>
        <v>3.8019771112144936</v>
      </c>
    </row>
    <row r="31" spans="1:7" ht="16.5" hidden="1" thickBot="1" x14ac:dyDescent="0.3">
      <c r="A31" s="75">
        <v>2002</v>
      </c>
      <c r="B31" s="76" t="s">
        <v>22</v>
      </c>
      <c r="C31" s="77">
        <f t="shared" si="0"/>
        <v>115.33834190182648</v>
      </c>
      <c r="D31" s="83">
        <v>0.9</v>
      </c>
      <c r="E31" s="83">
        <f>100*((C31/$C$21)-1)</f>
        <v>6.4579808269909611</v>
      </c>
      <c r="F31" s="84">
        <f t="shared" si="2"/>
        <v>8.1032303687826648</v>
      </c>
      <c r="G31" s="80">
        <f>+$C$301/C31</f>
        <v>3.7680645304405291</v>
      </c>
    </row>
    <row r="32" spans="1:7" ht="16.5" hidden="1" thickBot="1" x14ac:dyDescent="0.3">
      <c r="A32" s="75">
        <v>2002</v>
      </c>
      <c r="B32" s="76" t="s">
        <v>23</v>
      </c>
      <c r="C32" s="77">
        <f t="shared" si="0"/>
        <v>117.73737941338446</v>
      </c>
      <c r="D32" s="83">
        <v>2.08</v>
      </c>
      <c r="E32" s="83">
        <f>100*((C32/$C$21)-1)</f>
        <v>8.6723068281923776</v>
      </c>
      <c r="F32" s="84">
        <f t="shared" si="2"/>
        <v>9.2700045157474431</v>
      </c>
      <c r="G32" s="80">
        <f>+$C$301/C32</f>
        <v>3.6912857860898605</v>
      </c>
    </row>
    <row r="33" spans="1:7" ht="16.5" hidden="1" thickBot="1" x14ac:dyDescent="0.3">
      <c r="A33" s="75">
        <v>2002</v>
      </c>
      <c r="B33" s="76" t="s">
        <v>12</v>
      </c>
      <c r="C33" s="77">
        <f t="shared" si="0"/>
        <v>121.32836948549269</v>
      </c>
      <c r="D33" s="83">
        <v>3.05</v>
      </c>
      <c r="E33" s="83">
        <f>100*((C33/$C$21)-1)</f>
        <v>11.986812186452234</v>
      </c>
      <c r="F33" s="84">
        <f t="shared" si="2"/>
        <v>11.986812186452234</v>
      </c>
      <c r="G33" s="80">
        <f>+$C$301/C33</f>
        <v>3.5820337565161187</v>
      </c>
    </row>
    <row r="34" spans="1:7" ht="16.5" hidden="1" thickBot="1" x14ac:dyDescent="0.3">
      <c r="A34" s="75">
        <v>2003</v>
      </c>
      <c r="B34" s="76" t="s">
        <v>13</v>
      </c>
      <c r="C34" s="77">
        <f t="shared" si="0"/>
        <v>123.73067120130544</v>
      </c>
      <c r="D34" s="83">
        <v>1.98</v>
      </c>
      <c r="E34" s="83">
        <f t="shared" ref="E34:E39" si="4">100*((C34/$C$33)-1)</f>
        <v>1.980000000000004</v>
      </c>
      <c r="F34" s="84">
        <f t="shared" si="2"/>
        <v>13.500448288356193</v>
      </c>
      <c r="G34" s="80">
        <f>+$C$301/C34</f>
        <v>3.512486523353715</v>
      </c>
    </row>
    <row r="35" spans="1:7" ht="16.5" hidden="1" thickBot="1" x14ac:dyDescent="0.3">
      <c r="A35" s="75">
        <v>2003</v>
      </c>
      <c r="B35" s="76" t="s">
        <v>14</v>
      </c>
      <c r="C35" s="77">
        <f t="shared" si="0"/>
        <v>126.44037290061404</v>
      </c>
      <c r="D35" s="83">
        <v>2.19</v>
      </c>
      <c r="E35" s="83">
        <f t="shared" si="4"/>
        <v>4.2133619999999983</v>
      </c>
      <c r="F35" s="84">
        <f t="shared" si="2"/>
        <v>15.478004884379937</v>
      </c>
      <c r="G35" s="80">
        <f>+$C$301/C35</f>
        <v>3.4372115895427293</v>
      </c>
    </row>
    <row r="36" spans="1:7" ht="16.5" hidden="1" thickBot="1" x14ac:dyDescent="0.3">
      <c r="A36" s="75">
        <v>2003</v>
      </c>
      <c r="B36" s="76" t="s">
        <v>15</v>
      </c>
      <c r="C36" s="155">
        <f t="shared" si="0"/>
        <v>127.88179315168105</v>
      </c>
      <c r="D36" s="83">
        <v>1.1399999999999999</v>
      </c>
      <c r="E36" s="83">
        <f t="shared" si="4"/>
        <v>5.4013943268000242</v>
      </c>
      <c r="F36" s="84">
        <f t="shared" si="2"/>
        <v>16.32913758970307</v>
      </c>
      <c r="G36" s="80">
        <f>+$C$301/C36</f>
        <v>3.3984690424586996</v>
      </c>
    </row>
    <row r="37" spans="1:7" ht="16.5" hidden="1" thickBot="1" x14ac:dyDescent="0.3">
      <c r="A37" s="75">
        <v>2003</v>
      </c>
      <c r="B37" s="76" t="s">
        <v>16</v>
      </c>
      <c r="C37" s="155">
        <f t="shared" si="0"/>
        <v>129.33964559361021</v>
      </c>
      <c r="D37" s="83">
        <v>1.1399999999999999</v>
      </c>
      <c r="E37" s="83">
        <f t="shared" si="4"/>
        <v>6.602970222125526</v>
      </c>
      <c r="F37" s="84">
        <f t="shared" si="2"/>
        <v>16.744681244518421</v>
      </c>
      <c r="G37" s="80">
        <f>+$C$301/C37</f>
        <v>3.360163182181827</v>
      </c>
    </row>
    <row r="38" spans="1:7" ht="16.5" hidden="1" thickBot="1" x14ac:dyDescent="0.3">
      <c r="A38" s="75">
        <v>2003</v>
      </c>
      <c r="B38" s="76" t="s">
        <v>17</v>
      </c>
      <c r="C38" s="155">
        <f t="shared" si="0"/>
        <v>130.43903258115589</v>
      </c>
      <c r="D38" s="83">
        <v>0.85</v>
      </c>
      <c r="E38" s="83">
        <f t="shared" si="4"/>
        <v>7.5090954690135936</v>
      </c>
      <c r="F38" s="84">
        <f t="shared" si="2"/>
        <v>17.244583783207347</v>
      </c>
      <c r="G38" s="80">
        <f>+$C$301/C38</f>
        <v>3.3318425207554063</v>
      </c>
    </row>
    <row r="39" spans="1:7" ht="16.5" hidden="1" thickBot="1" x14ac:dyDescent="0.3">
      <c r="A39" s="75">
        <v>2003</v>
      </c>
      <c r="B39" s="76" t="s">
        <v>18</v>
      </c>
      <c r="C39" s="155">
        <f t="shared" si="0"/>
        <v>130.72599845283443</v>
      </c>
      <c r="D39" s="83">
        <v>0.22</v>
      </c>
      <c r="E39" s="83">
        <f t="shared" si="4"/>
        <v>7.7456154790454201</v>
      </c>
      <c r="F39" s="84">
        <f t="shared" si="2"/>
        <v>17.116038939031597</v>
      </c>
      <c r="G39" s="80">
        <f>+$C$301/C39</f>
        <v>3.3245285579279646</v>
      </c>
    </row>
    <row r="40" spans="1:7" ht="16.5" hidden="1" thickBot="1" x14ac:dyDescent="0.3">
      <c r="A40" s="75">
        <v>2003</v>
      </c>
      <c r="B40" s="76" t="s">
        <v>19</v>
      </c>
      <c r="C40" s="155">
        <f t="shared" si="0"/>
        <v>130.49069165561932</v>
      </c>
      <c r="D40" s="83">
        <v>-0.18</v>
      </c>
      <c r="E40" s="83">
        <f>100*((C40/$C$33)-1)</f>
        <v>7.5516733711831208</v>
      </c>
      <c r="F40" s="84">
        <f t="shared" si="2"/>
        <v>16.011938145223127</v>
      </c>
      <c r="G40" s="80">
        <f>+$C$301/C40</f>
        <v>3.330523500228376</v>
      </c>
    </row>
    <row r="41" spans="1:7" ht="16.5" hidden="1" thickBot="1" x14ac:dyDescent="0.3">
      <c r="A41" s="75">
        <v>2003</v>
      </c>
      <c r="B41" s="76" t="s">
        <v>20</v>
      </c>
      <c r="C41" s="155">
        <f t="shared" si="0"/>
        <v>130.84301652308949</v>
      </c>
      <c r="D41" s="83">
        <v>0.27</v>
      </c>
      <c r="E41" s="83">
        <f>100*((C41/$C$33)-1)</f>
        <v>7.8420628892853284</v>
      </c>
      <c r="F41" s="84">
        <f t="shared" si="2"/>
        <v>15.17343601803487</v>
      </c>
      <c r="G41" s="80">
        <f>+$C$301/C41</f>
        <v>3.3215553009159033</v>
      </c>
    </row>
    <row r="42" spans="1:7" ht="16.5" hidden="1" thickBot="1" x14ac:dyDescent="0.3">
      <c r="A42" s="75">
        <v>2003</v>
      </c>
      <c r="B42" s="76" t="s">
        <v>21</v>
      </c>
      <c r="C42" s="155">
        <f t="shared" si="0"/>
        <v>131.58882171727112</v>
      </c>
      <c r="D42" s="83">
        <v>0.56999999999999995</v>
      </c>
      <c r="E42" s="83">
        <f>100*((C42/$C$33)-1)</f>
        <v>8.4567626477542568</v>
      </c>
      <c r="F42" s="84">
        <f t="shared" si="2"/>
        <v>15.116204137684042</v>
      </c>
      <c r="G42" s="80">
        <f>+$C$301/C42</f>
        <v>3.3027297413899799</v>
      </c>
    </row>
    <row r="43" spans="1:7" ht="16.5" hidden="1" thickBot="1" x14ac:dyDescent="0.3">
      <c r="A43" s="75">
        <v>2003</v>
      </c>
      <c r="B43" s="76" t="s">
        <v>22</v>
      </c>
      <c r="C43" s="77">
        <f t="shared" si="0"/>
        <v>132.45730794060509</v>
      </c>
      <c r="D43" s="83">
        <v>0.66</v>
      </c>
      <c r="E43" s="83">
        <f>100*((C43/$C$33)-1)</f>
        <v>9.1725772812294224</v>
      </c>
      <c r="F43" s="84">
        <f t="shared" si="2"/>
        <v>14.842389578783699</v>
      </c>
      <c r="G43" s="80">
        <f>+$C$301/C43</f>
        <v>3.2810746487085041</v>
      </c>
    </row>
    <row r="44" spans="1:7" ht="16.5" hidden="1" thickBot="1" x14ac:dyDescent="0.3">
      <c r="A44" s="75">
        <v>2003</v>
      </c>
      <c r="B44" s="76" t="s">
        <v>23</v>
      </c>
      <c r="C44" s="77">
        <f t="shared" si="0"/>
        <v>132.68248536410411</v>
      </c>
      <c r="D44" s="83">
        <v>0.17</v>
      </c>
      <c r="E44" s="83">
        <f>100*((C44/$C$33)-1)</f>
        <v>9.3581706626075132</v>
      </c>
      <c r="F44" s="84">
        <f>100*((C44/C32)-1)</f>
        <v>12.693594867817048</v>
      </c>
      <c r="G44" s="80">
        <f>+$C$301/C44</f>
        <v>3.2755062880188723</v>
      </c>
    </row>
    <row r="45" spans="1:7" ht="16.5" hidden="1" thickBot="1" x14ac:dyDescent="0.3">
      <c r="A45" s="75">
        <v>2003</v>
      </c>
      <c r="B45" s="76" t="s">
        <v>12</v>
      </c>
      <c r="C45" s="77">
        <f t="shared" si="0"/>
        <v>133.29282479677897</v>
      </c>
      <c r="D45" s="83">
        <v>0.46</v>
      </c>
      <c r="E45" s="83">
        <f>100*((C45/$C$44)-1)</f>
        <v>0.45999999999999375</v>
      </c>
      <c r="F45" s="84">
        <f>100*((C45/C33)-1)</f>
        <v>9.8612182476554899</v>
      </c>
      <c r="G45" s="80">
        <f>+$C$301/C45</f>
        <v>3.2605079514422384</v>
      </c>
    </row>
    <row r="46" spans="1:7" ht="16.5" hidden="1" thickBot="1" x14ac:dyDescent="0.3">
      <c r="A46" s="75">
        <v>2004</v>
      </c>
      <c r="B46" s="76" t="s">
        <v>27</v>
      </c>
      <c r="C46" s="77">
        <f>+C45*(1+D46/100)</f>
        <v>134.19921600539706</v>
      </c>
      <c r="D46" s="83">
        <v>0.68</v>
      </c>
      <c r="E46" s="83">
        <f>100*((C46/$C$45)-1)</f>
        <v>0.67999999999999172</v>
      </c>
      <c r="F46" s="84">
        <f t="shared" ref="F46:F69" si="5">100*((C46/C34)-1)</f>
        <v>8.4607516490876158</v>
      </c>
      <c r="G46" s="80">
        <f>+$C$301/C46</f>
        <v>3.2384862449763991</v>
      </c>
    </row>
    <row r="47" spans="1:7" ht="16.5" hidden="1" thickBot="1" x14ac:dyDescent="0.3">
      <c r="A47" s="75">
        <v>2004</v>
      </c>
      <c r="B47" s="76" t="s">
        <v>28</v>
      </c>
      <c r="C47" s="77">
        <f t="shared" ref="C47:C110" si="6">+C46*(1+D47/100)</f>
        <v>135.40700894944561</v>
      </c>
      <c r="D47" s="83">
        <v>0.9</v>
      </c>
      <c r="E47" s="83">
        <f>100*((C47/$C$45)-1)</f>
        <v>1.5861199999999798</v>
      </c>
      <c r="F47" s="84">
        <f t="shared" si="5"/>
        <v>7.0915925373611577</v>
      </c>
      <c r="G47" s="80">
        <f>+$C$301/C47</f>
        <v>3.2095998463591671</v>
      </c>
    </row>
    <row r="48" spans="1:7" ht="16.5" hidden="1" thickBot="1" x14ac:dyDescent="0.3">
      <c r="A48" s="75">
        <v>2004</v>
      </c>
      <c r="B48" s="76" t="s">
        <v>29</v>
      </c>
      <c r="C48" s="77">
        <f t="shared" si="6"/>
        <v>135.94863698524338</v>
      </c>
      <c r="D48" s="83">
        <v>0.4</v>
      </c>
      <c r="E48" s="83">
        <f>100*((C48/$C$45)-1)</f>
        <v>1.9924644799999669</v>
      </c>
      <c r="F48" s="84">
        <f t="shared" si="5"/>
        <v>6.308047169775155</v>
      </c>
      <c r="G48" s="80">
        <f>+$C$301/C48</f>
        <v>3.1968125959752665</v>
      </c>
    </row>
    <row r="49" spans="1:7" ht="16.5" hidden="1" thickBot="1" x14ac:dyDescent="0.3">
      <c r="A49" s="75">
        <v>2004</v>
      </c>
      <c r="B49" s="76" t="s">
        <v>30</v>
      </c>
      <c r="C49" s="77">
        <f t="shared" si="6"/>
        <v>136.23412912291238</v>
      </c>
      <c r="D49" s="83">
        <v>0.21</v>
      </c>
      <c r="E49" s="83">
        <f>100*((C49/$C$45)-1)</f>
        <v>2.2066486554079612</v>
      </c>
      <c r="F49" s="84">
        <f t="shared" si="5"/>
        <v>5.3305260716152603</v>
      </c>
      <c r="G49" s="80">
        <f>+$C$301/C49</f>
        <v>3.1901133579236269</v>
      </c>
    </row>
    <row r="50" spans="1:7" ht="16.5" hidden="1" thickBot="1" x14ac:dyDescent="0.3">
      <c r="A50" s="75">
        <v>2004</v>
      </c>
      <c r="B50" s="76" t="s">
        <v>31</v>
      </c>
      <c r="C50" s="77">
        <f t="shared" si="6"/>
        <v>136.9697934201761</v>
      </c>
      <c r="D50" s="83">
        <v>0.54</v>
      </c>
      <c r="E50" s="83">
        <f>100*((C50/$C$45)-1)</f>
        <v>2.7585645581471585</v>
      </c>
      <c r="F50" s="84">
        <f t="shared" si="5"/>
        <v>5.0067535075875025</v>
      </c>
      <c r="G50" s="80">
        <f>+$C$301/C50</f>
        <v>3.172979269866349</v>
      </c>
    </row>
    <row r="51" spans="1:7" ht="16.5" hidden="1" thickBot="1" x14ac:dyDescent="0.3">
      <c r="A51" s="75">
        <v>2004</v>
      </c>
      <c r="B51" s="76" t="s">
        <v>32</v>
      </c>
      <c r="C51" s="77">
        <f t="shared" si="6"/>
        <v>137.73682426332908</v>
      </c>
      <c r="D51" s="83">
        <v>0.56000000000000005</v>
      </c>
      <c r="E51" s="83">
        <f t="shared" ref="E51:E57" si="7">100*((C51/$C$45)-1)</f>
        <v>3.3340125196727799</v>
      </c>
      <c r="F51" s="84">
        <f t="shared" si="5"/>
        <v>5.3629927431949387</v>
      </c>
      <c r="G51" s="80">
        <f>+$C$301/C51</f>
        <v>3.1553095364621608</v>
      </c>
    </row>
    <row r="52" spans="1:7" ht="16.5" hidden="1" thickBot="1" x14ac:dyDescent="0.3">
      <c r="A52" s="75">
        <v>2004</v>
      </c>
      <c r="B52" s="76" t="s">
        <v>33</v>
      </c>
      <c r="C52" s="77">
        <f t="shared" si="6"/>
        <v>139.01777672897805</v>
      </c>
      <c r="D52" s="83">
        <v>0.93</v>
      </c>
      <c r="E52" s="83">
        <f t="shared" si="7"/>
        <v>4.2950188361057462</v>
      </c>
      <c r="F52" s="84">
        <f t="shared" si="5"/>
        <v>6.5346309113470946</v>
      </c>
      <c r="G52" s="80">
        <f>+$C$301/C52</f>
        <v>3.1262355458854261</v>
      </c>
    </row>
    <row r="53" spans="1:7" ht="16.5" hidden="1" thickBot="1" x14ac:dyDescent="0.3">
      <c r="A53" s="75">
        <v>2004</v>
      </c>
      <c r="B53" s="76" t="s">
        <v>34</v>
      </c>
      <c r="C53" s="77">
        <f t="shared" si="6"/>
        <v>140.11601716513698</v>
      </c>
      <c r="D53" s="83">
        <v>0.79</v>
      </c>
      <c r="E53" s="83">
        <f t="shared" si="7"/>
        <v>5.118949484910984</v>
      </c>
      <c r="F53" s="84">
        <f t="shared" si="5"/>
        <v>7.0871192735082689</v>
      </c>
      <c r="G53" s="80">
        <f>+$C$301/C53</f>
        <v>3.1017318641585736</v>
      </c>
    </row>
    <row r="54" spans="1:7" ht="16.5" hidden="1" thickBot="1" x14ac:dyDescent="0.3">
      <c r="A54" s="75">
        <v>2004</v>
      </c>
      <c r="B54" s="76" t="s">
        <v>36</v>
      </c>
      <c r="C54" s="77">
        <f t="shared" si="6"/>
        <v>140.80258564924614</v>
      </c>
      <c r="D54" s="83">
        <v>0.49</v>
      </c>
      <c r="E54" s="83">
        <f t="shared" si="7"/>
        <v>5.6340323373870405</v>
      </c>
      <c r="F54" s="84">
        <f t="shared" si="5"/>
        <v>7.0019351277204267</v>
      </c>
      <c r="G54" s="80">
        <f>+$C$301/C54</f>
        <v>3.0866074874699709</v>
      </c>
    </row>
    <row r="55" spans="1:7" ht="16.5" hidden="1" thickBot="1" x14ac:dyDescent="0.3">
      <c r="A55" s="75">
        <v>2004</v>
      </c>
      <c r="B55" s="76" t="s">
        <v>35</v>
      </c>
      <c r="C55" s="77">
        <f t="shared" si="6"/>
        <v>141.25315392332374</v>
      </c>
      <c r="D55" s="83">
        <v>0.32</v>
      </c>
      <c r="E55" s="83">
        <f t="shared" si="7"/>
        <v>5.9720612408666662</v>
      </c>
      <c r="F55" s="84">
        <f t="shared" si="5"/>
        <v>6.6405139282030179</v>
      </c>
      <c r="G55" s="80">
        <f>+$C$301/C55</f>
        <v>3.076761849551406</v>
      </c>
    </row>
    <row r="56" spans="1:7" ht="16.5" hidden="1" thickBot="1" x14ac:dyDescent="0.3">
      <c r="A56" s="75">
        <v>2004</v>
      </c>
      <c r="B56" s="76" t="s">
        <v>25</v>
      </c>
      <c r="C56" s="77">
        <f t="shared" si="6"/>
        <v>142.14304879304066</v>
      </c>
      <c r="D56" s="83">
        <v>0.63</v>
      </c>
      <c r="E56" s="83">
        <f t="shared" si="7"/>
        <v>6.6396852266841222</v>
      </c>
      <c r="F56" s="84">
        <f t="shared" si="5"/>
        <v>7.1302277787268498</v>
      </c>
      <c r="G56" s="80">
        <f>+$C$301/C56</f>
        <v>3.0574996020584382</v>
      </c>
    </row>
    <row r="57" spans="1:7" ht="16.5" hidden="1" thickBot="1" x14ac:dyDescent="0.3">
      <c r="A57" s="75">
        <v>2004</v>
      </c>
      <c r="B57" s="76" t="s">
        <v>12</v>
      </c>
      <c r="C57" s="77">
        <f t="shared" si="6"/>
        <v>143.33705040290221</v>
      </c>
      <c r="D57" s="83">
        <v>0.84</v>
      </c>
      <c r="E57" s="83">
        <f t="shared" si="7"/>
        <v>7.5354585825882836</v>
      </c>
      <c r="F57" s="84">
        <f t="shared" si="5"/>
        <v>7.5354585825882836</v>
      </c>
      <c r="G57" s="80">
        <f>+$C$301/C57</f>
        <v>3.0320305454764362</v>
      </c>
    </row>
    <row r="58" spans="1:7" ht="16.5" hidden="1" thickBot="1" x14ac:dyDescent="0.3">
      <c r="A58" s="75">
        <v>2005</v>
      </c>
      <c r="B58" s="76" t="s">
        <v>13</v>
      </c>
      <c r="C58" s="77">
        <f t="shared" si="6"/>
        <v>144.31174234564193</v>
      </c>
      <c r="D58" s="83">
        <v>0.68</v>
      </c>
      <c r="E58" s="83">
        <f t="shared" ref="E58:E69" si="8">100*((C58/$C$57)-1)</f>
        <v>0.67999999999999172</v>
      </c>
      <c r="F58" s="84">
        <f t="shared" si="5"/>
        <v>7.5354585825882836</v>
      </c>
      <c r="G58" s="80">
        <f>+$C$301/C58</f>
        <v>3.0115519919313036</v>
      </c>
    </row>
    <row r="59" spans="1:7" ht="16.5" hidden="1" thickBot="1" x14ac:dyDescent="0.3">
      <c r="A59" s="75">
        <v>2005</v>
      </c>
      <c r="B59" s="76" t="s">
        <v>14</v>
      </c>
      <c r="C59" s="77">
        <f t="shared" si="6"/>
        <v>145.37964923899969</v>
      </c>
      <c r="D59" s="83">
        <v>0.74</v>
      </c>
      <c r="E59" s="83">
        <f t="shared" si="8"/>
        <v>1.4250319999999927</v>
      </c>
      <c r="F59" s="84">
        <f t="shared" si="5"/>
        <v>7.3649365471748718</v>
      </c>
      <c r="G59" s="80">
        <f>+$C$301/C59</f>
        <v>2.9894302083892232</v>
      </c>
    </row>
    <row r="60" spans="1:7" ht="16.5" hidden="1" thickBot="1" x14ac:dyDescent="0.3">
      <c r="A60" s="75">
        <v>2005</v>
      </c>
      <c r="B60" s="76" t="s">
        <v>15</v>
      </c>
      <c r="C60" s="77">
        <f t="shared" si="6"/>
        <v>145.88847801133619</v>
      </c>
      <c r="D60" s="83">
        <v>0.35</v>
      </c>
      <c r="E60" s="83">
        <f t="shared" si="8"/>
        <v>1.7800196120000056</v>
      </c>
      <c r="F60" s="84">
        <f t="shared" si="5"/>
        <v>7.3114679532768845</v>
      </c>
      <c r="G60" s="80">
        <f>+$C$301/C60</f>
        <v>2.97900369545513</v>
      </c>
    </row>
    <row r="61" spans="1:7" ht="16.5" hidden="1" thickBot="1" x14ac:dyDescent="0.3">
      <c r="A61" s="75">
        <v>2005</v>
      </c>
      <c r="B61" s="76" t="s">
        <v>16</v>
      </c>
      <c r="C61" s="77">
        <f t="shared" si="6"/>
        <v>146.9680527486201</v>
      </c>
      <c r="D61" s="83">
        <v>0.74</v>
      </c>
      <c r="E61" s="83">
        <f t="shared" si="8"/>
        <v>2.5331917571288054</v>
      </c>
      <c r="F61" s="84">
        <f t="shared" si="5"/>
        <v>7.8790268597257462</v>
      </c>
      <c r="G61" s="80">
        <f>+$C$301/C61</f>
        <v>2.9571210000547246</v>
      </c>
    </row>
    <row r="62" spans="1:7" ht="16.5" hidden="1" thickBot="1" x14ac:dyDescent="0.3">
      <c r="A62" s="75">
        <v>2005</v>
      </c>
      <c r="B62" s="76" t="s">
        <v>17</v>
      </c>
      <c r="C62" s="77">
        <f t="shared" si="6"/>
        <v>148.18788758643365</v>
      </c>
      <c r="D62" s="83">
        <v>0.83</v>
      </c>
      <c r="E62" s="83">
        <f t="shared" si="8"/>
        <v>3.384217248712984</v>
      </c>
      <c r="F62" s="84">
        <f t="shared" si="5"/>
        <v>8.1901957257424662</v>
      </c>
      <c r="G62" s="80">
        <f>+$C$301/C62</f>
        <v>2.9327789348950954</v>
      </c>
    </row>
    <row r="63" spans="1:7" ht="16.5" hidden="1" thickBot="1" x14ac:dyDescent="0.3">
      <c r="A63" s="75">
        <v>2005</v>
      </c>
      <c r="B63" s="76" t="s">
        <v>18</v>
      </c>
      <c r="C63" s="77">
        <f t="shared" si="6"/>
        <v>148.36571305153737</v>
      </c>
      <c r="D63" s="83">
        <v>0.12</v>
      </c>
      <c r="E63" s="83">
        <f t="shared" si="8"/>
        <v>3.50827830941145</v>
      </c>
      <c r="F63" s="84">
        <f t="shared" si="5"/>
        <v>7.7168098255900652</v>
      </c>
      <c r="G63" s="80">
        <f>+$C$301/C63</f>
        <v>2.9292638183131197</v>
      </c>
    </row>
    <row r="64" spans="1:7" ht="16.5" hidden="1" thickBot="1" x14ac:dyDescent="0.3">
      <c r="A64" s="75">
        <v>2005</v>
      </c>
      <c r="B64" s="76" t="s">
        <v>19</v>
      </c>
      <c r="C64" s="77">
        <f t="shared" si="6"/>
        <v>148.52891533589408</v>
      </c>
      <c r="D64" s="83">
        <v>0.11</v>
      </c>
      <c r="E64" s="83">
        <f t="shared" si="8"/>
        <v>3.6221374155518182</v>
      </c>
      <c r="F64" s="84">
        <f t="shared" si="5"/>
        <v>6.8416707781613129</v>
      </c>
      <c r="G64" s="80">
        <f>+$C$301/C64</f>
        <v>2.926045168627629</v>
      </c>
    </row>
    <row r="65" spans="1:7" ht="16.5" hidden="1" thickBot="1" x14ac:dyDescent="0.3">
      <c r="A65" s="75">
        <v>2005</v>
      </c>
      <c r="B65" s="76" t="s">
        <v>20</v>
      </c>
      <c r="C65" s="77">
        <f t="shared" si="6"/>
        <v>148.94479629883458</v>
      </c>
      <c r="D65" s="83">
        <v>0.28000000000000003</v>
      </c>
      <c r="E65" s="83">
        <f t="shared" si="8"/>
        <v>3.9122794003153549</v>
      </c>
      <c r="F65" s="84">
        <f t="shared" si="5"/>
        <v>6.3010491679136305</v>
      </c>
      <c r="G65" s="80">
        <f>+$C$301/C65</f>
        <v>2.9178751182963989</v>
      </c>
    </row>
    <row r="66" spans="1:7" ht="16.5" hidden="1" thickBot="1" x14ac:dyDescent="0.3">
      <c r="A66" s="75">
        <v>2005</v>
      </c>
      <c r="B66" s="76" t="s">
        <v>21</v>
      </c>
      <c r="C66" s="77">
        <f t="shared" si="6"/>
        <v>149.18310797291272</v>
      </c>
      <c r="D66" s="83">
        <v>0.16</v>
      </c>
      <c r="E66" s="83">
        <f t="shared" si="8"/>
        <v>4.0785390473558669</v>
      </c>
      <c r="F66" s="84">
        <f t="shared" si="5"/>
        <v>5.951966212142823</v>
      </c>
      <c r="G66" s="80">
        <f>+$C$301/C66</f>
        <v>2.9132139759349029</v>
      </c>
    </row>
    <row r="67" spans="1:7" ht="16.5" hidden="1" thickBot="1" x14ac:dyDescent="0.3">
      <c r="A67" s="75">
        <v>2005</v>
      </c>
      <c r="B67" s="76" t="s">
        <v>22</v>
      </c>
      <c r="C67" s="77">
        <f t="shared" si="6"/>
        <v>150.01853337756103</v>
      </c>
      <c r="D67" s="83">
        <v>0.56000000000000005</v>
      </c>
      <c r="E67" s="83">
        <f t="shared" si="8"/>
        <v>4.6613788660210487</v>
      </c>
      <c r="F67" s="84">
        <f t="shared" si="5"/>
        <v>6.2054398155211299</v>
      </c>
      <c r="G67" s="80">
        <f>+$C$301/C67</f>
        <v>2.896990827302012</v>
      </c>
    </row>
    <row r="68" spans="1:7" ht="16.5" hidden="1" thickBot="1" x14ac:dyDescent="0.3">
      <c r="A68" s="75">
        <v>2005</v>
      </c>
      <c r="B68" s="76" t="s">
        <v>23</v>
      </c>
      <c r="C68" s="77">
        <f t="shared" si="6"/>
        <v>151.18867793790602</v>
      </c>
      <c r="D68" s="83">
        <v>0.78</v>
      </c>
      <c r="E68" s="83">
        <f t="shared" si="8"/>
        <v>5.4777376211760265</v>
      </c>
      <c r="F68" s="84">
        <f t="shared" si="5"/>
        <v>6.3637506171938973</v>
      </c>
      <c r="G68" s="80">
        <f>+$C$301/C68</f>
        <v>2.8745691876384316</v>
      </c>
    </row>
    <row r="69" spans="1:7" ht="16.5" hidden="1" thickBot="1" x14ac:dyDescent="0.3">
      <c r="A69" s="75">
        <v>2005</v>
      </c>
      <c r="B69" s="76" t="s">
        <v>12</v>
      </c>
      <c r="C69" s="77">
        <f t="shared" si="6"/>
        <v>151.76319491407006</v>
      </c>
      <c r="D69" s="83">
        <v>0.38</v>
      </c>
      <c r="E69" s="83">
        <f t="shared" si="8"/>
        <v>5.8785530241364903</v>
      </c>
      <c r="F69" s="84">
        <f t="shared" si="5"/>
        <v>5.8785530241364903</v>
      </c>
      <c r="G69" s="80">
        <f>+$C$301/C69</f>
        <v>2.8636871763682326</v>
      </c>
    </row>
    <row r="70" spans="1:7" ht="16.5" hidden="1" thickBot="1" x14ac:dyDescent="0.3">
      <c r="A70" s="75">
        <v>2006</v>
      </c>
      <c r="B70" s="76" t="s">
        <v>13</v>
      </c>
      <c r="C70" s="77">
        <f t="shared" si="6"/>
        <v>152.53718720813183</v>
      </c>
      <c r="D70" s="83">
        <v>0.51</v>
      </c>
      <c r="E70" s="83">
        <f t="shared" ref="E70:E78" si="9">100*((C70/$C$69)-1)</f>
        <v>0.51000000000001044</v>
      </c>
      <c r="F70" s="84">
        <f t="shared" ref="F70:F133" si="10">100*((C70/$C58)-1)</f>
        <v>5.6997751733806057</v>
      </c>
      <c r="G70" s="80">
        <f>+$C$301/C70</f>
        <v>2.8491564783287555</v>
      </c>
    </row>
    <row r="71" spans="1:7" ht="16.5" hidden="1" thickBot="1" x14ac:dyDescent="0.3">
      <c r="A71" s="75">
        <v>2006</v>
      </c>
      <c r="B71" s="76" t="s">
        <v>14</v>
      </c>
      <c r="C71" s="77">
        <f t="shared" si="6"/>
        <v>153.33038058161412</v>
      </c>
      <c r="D71" s="83">
        <v>0.52</v>
      </c>
      <c r="E71" s="83">
        <f t="shared" si="9"/>
        <v>1.0326520000000228</v>
      </c>
      <c r="F71" s="84">
        <f t="shared" si="10"/>
        <v>5.4689438200140827</v>
      </c>
      <c r="G71" s="80">
        <f>+$C$301/C71</f>
        <v>2.8344175072908433</v>
      </c>
    </row>
    <row r="72" spans="1:7" ht="16.5" hidden="1" thickBot="1" x14ac:dyDescent="0.3">
      <c r="A72" s="75">
        <v>2006</v>
      </c>
      <c r="B72" s="76" t="s">
        <v>15</v>
      </c>
      <c r="C72" s="77">
        <f>+C71*(1+D72/100)</f>
        <v>153.89770298976609</v>
      </c>
      <c r="D72" s="83">
        <v>0.37</v>
      </c>
      <c r="E72" s="83">
        <f t="shared" si="9"/>
        <v>1.4064728124000059</v>
      </c>
      <c r="F72" s="84">
        <f t="shared" si="10"/>
        <v>5.4899640380150938</v>
      </c>
      <c r="G72" s="80">
        <f>+$C$301/C72</f>
        <v>2.823968822647049</v>
      </c>
    </row>
    <row r="73" spans="1:7" ht="16.5" hidden="1" thickBot="1" x14ac:dyDescent="0.3">
      <c r="A73" s="75">
        <v>2006</v>
      </c>
      <c r="B73" s="76" t="s">
        <v>30</v>
      </c>
      <c r="C73" s="77">
        <f t="shared" si="6"/>
        <v>154.15932908484871</v>
      </c>
      <c r="D73" s="83">
        <v>0.17</v>
      </c>
      <c r="E73" s="83">
        <f t="shared" si="9"/>
        <v>1.5788638161811086</v>
      </c>
      <c r="F73" s="84">
        <f t="shared" si="10"/>
        <v>4.8930881247565061</v>
      </c>
      <c r="G73" s="80">
        <f>+$C$301/C73</f>
        <v>2.8191762230678337</v>
      </c>
    </row>
    <row r="74" spans="1:7" ht="16.5" hidden="1" thickBot="1" x14ac:dyDescent="0.3">
      <c r="A74" s="75">
        <v>2006</v>
      </c>
      <c r="B74" s="76" t="s">
        <v>31</v>
      </c>
      <c r="C74" s="77">
        <f t="shared" si="6"/>
        <v>154.57555927337779</v>
      </c>
      <c r="D74" s="83">
        <v>0.27</v>
      </c>
      <c r="E74" s="83">
        <f t="shared" si="9"/>
        <v>1.8531267484847902</v>
      </c>
      <c r="F74" s="84">
        <f t="shared" si="10"/>
        <v>4.3105221290224538</v>
      </c>
      <c r="G74" s="80">
        <f>+$C$301/C74</f>
        <v>2.8115849437197902</v>
      </c>
    </row>
    <row r="75" spans="1:7" ht="16.5" hidden="1" thickBot="1" x14ac:dyDescent="0.3">
      <c r="A75" s="75">
        <v>2006</v>
      </c>
      <c r="B75" s="76" t="s">
        <v>32</v>
      </c>
      <c r="C75" s="77">
        <f t="shared" si="6"/>
        <v>154.34369593446775</v>
      </c>
      <c r="D75" s="83">
        <v>-0.15</v>
      </c>
      <c r="E75" s="83">
        <f t="shared" si="9"/>
        <v>1.7003470583620839</v>
      </c>
      <c r="F75" s="84">
        <f t="shared" si="10"/>
        <v>4.0292212802925942</v>
      </c>
      <c r="G75" s="80">
        <f>+$C$301/C75</f>
        <v>2.815808656704847</v>
      </c>
    </row>
    <row r="76" spans="1:7" ht="16.5" hidden="1" thickBot="1" x14ac:dyDescent="0.3">
      <c r="A76" s="75">
        <v>2006</v>
      </c>
      <c r="B76" s="76" t="s">
        <v>33</v>
      </c>
      <c r="C76" s="77">
        <f t="shared" si="6"/>
        <v>154.31282719528085</v>
      </c>
      <c r="D76" s="83">
        <v>-0.02</v>
      </c>
      <c r="E76" s="83">
        <f t="shared" si="9"/>
        <v>1.6800069889503888</v>
      </c>
      <c r="F76" s="84">
        <f t="shared" si="10"/>
        <v>3.8941318909564426</v>
      </c>
      <c r="G76" s="80">
        <f>+$C$301/C76</f>
        <v>2.8163719310910653</v>
      </c>
    </row>
    <row r="77" spans="1:7" ht="16.5" hidden="1" thickBot="1" x14ac:dyDescent="0.3">
      <c r="A77" s="75">
        <v>2006</v>
      </c>
      <c r="B77" s="76" t="s">
        <v>20</v>
      </c>
      <c r="C77" s="77">
        <f t="shared" si="6"/>
        <v>154.60602156695188</v>
      </c>
      <c r="D77" s="83">
        <v>0.19</v>
      </c>
      <c r="E77" s="83">
        <f t="shared" si="9"/>
        <v>1.8731990022293976</v>
      </c>
      <c r="F77" s="84">
        <f t="shared" si="10"/>
        <v>3.8008882544368516</v>
      </c>
      <c r="G77" s="80">
        <f>+$C$301/C77</f>
        <v>2.8110309722438021</v>
      </c>
    </row>
    <row r="78" spans="1:7" ht="16.5" hidden="1" thickBot="1" x14ac:dyDescent="0.3">
      <c r="A78" s="75">
        <v>2006</v>
      </c>
      <c r="B78" s="76" t="s">
        <v>21</v>
      </c>
      <c r="C78" s="77">
        <f t="shared" si="6"/>
        <v>154.68332457773536</v>
      </c>
      <c r="D78" s="83">
        <v>0.05</v>
      </c>
      <c r="E78" s="83">
        <f t="shared" si="9"/>
        <v>1.9241356017305256</v>
      </c>
      <c r="F78" s="84">
        <f t="shared" si="10"/>
        <v>3.6868896750839264</v>
      </c>
      <c r="G78" s="80">
        <f>+$C$301/C78</f>
        <v>2.8096261591642202</v>
      </c>
    </row>
    <row r="79" spans="1:7" ht="16.5" hidden="1" thickBot="1" x14ac:dyDescent="0.3">
      <c r="A79" s="75">
        <v>2006</v>
      </c>
      <c r="B79" s="76" t="s">
        <v>35</v>
      </c>
      <c r="C79" s="77">
        <f t="shared" si="6"/>
        <v>155.13190621901077</v>
      </c>
      <c r="D79" s="83">
        <v>0.28999999999999998</v>
      </c>
      <c r="E79" s="83">
        <f>100*((C79/$C$69)-1)</f>
        <v>2.2197155949755354</v>
      </c>
      <c r="F79" s="84">
        <f t="shared" si="10"/>
        <v>3.4084940882474823</v>
      </c>
      <c r="G79" s="80">
        <f>+$C$301/C79</f>
        <v>2.8015018039328154</v>
      </c>
    </row>
    <row r="80" spans="1:7" ht="16.5" hidden="1" thickBot="1" x14ac:dyDescent="0.3">
      <c r="A80" s="75">
        <v>2006</v>
      </c>
      <c r="B80" s="82" t="s">
        <v>25</v>
      </c>
      <c r="C80" s="77">
        <f t="shared" si="6"/>
        <v>155.70589427202111</v>
      </c>
      <c r="D80" s="83">
        <v>0.37</v>
      </c>
      <c r="E80" s="83">
        <f>100*((C80/$C$69)-1)</f>
        <v>2.5979285426769305</v>
      </c>
      <c r="F80" s="84">
        <f t="shared" si="10"/>
        <v>2.987800671139107</v>
      </c>
      <c r="G80" s="80">
        <f>+$C$301/C80</f>
        <v>2.7911744584365996</v>
      </c>
    </row>
    <row r="81" spans="1:7" ht="16.5" hidden="1" thickBot="1" x14ac:dyDescent="0.3">
      <c r="A81" s="75">
        <v>2006</v>
      </c>
      <c r="B81" s="82" t="s">
        <v>26</v>
      </c>
      <c r="C81" s="77">
        <f t="shared" si="6"/>
        <v>156.25086490197319</v>
      </c>
      <c r="D81" s="83">
        <v>0.35</v>
      </c>
      <c r="E81" s="83">
        <f>100*((C81/$C$69)-1)</f>
        <v>2.9570212925763117</v>
      </c>
      <c r="F81" s="84">
        <f t="shared" si="10"/>
        <v>2.9570212925763117</v>
      </c>
      <c r="G81" s="80">
        <f>+$C$301/C81</f>
        <v>2.7814394204649724</v>
      </c>
    </row>
    <row r="82" spans="1:7" ht="16.5" hidden="1" thickBot="1" x14ac:dyDescent="0.3">
      <c r="A82" s="75">
        <v>2007</v>
      </c>
      <c r="B82" s="82" t="s">
        <v>27</v>
      </c>
      <c r="C82" s="77">
        <f t="shared" si="6"/>
        <v>157.06336939946345</v>
      </c>
      <c r="D82" s="83">
        <v>0.52</v>
      </c>
      <c r="E82" s="83">
        <f t="shared" ref="E82:E93" si="11">100*((C82/$C$81)-1)</f>
        <v>0.52000000000000934</v>
      </c>
      <c r="F82" s="84">
        <f t="shared" si="10"/>
        <v>2.9672647530571084</v>
      </c>
      <c r="G82" s="80">
        <f>+$C$301/C82</f>
        <v>2.767050756531011</v>
      </c>
    </row>
    <row r="83" spans="1:7" ht="16.5" hidden="1" thickBot="1" x14ac:dyDescent="0.3">
      <c r="A83" s="75">
        <v>2007</v>
      </c>
      <c r="B83" s="82" t="s">
        <v>14</v>
      </c>
      <c r="C83" s="77">
        <f t="shared" si="6"/>
        <v>157.78586089870097</v>
      </c>
      <c r="D83" s="83">
        <v>0.46</v>
      </c>
      <c r="E83" s="83">
        <f t="shared" si="11"/>
        <v>0.9823919999999875</v>
      </c>
      <c r="F83" s="84">
        <f t="shared" si="10"/>
        <v>2.9058039901722621</v>
      </c>
      <c r="G83" s="80">
        <f>+$C$301/C83</f>
        <v>2.7543806057445863</v>
      </c>
    </row>
    <row r="84" spans="1:7" ht="16.5" hidden="1" thickBot="1" x14ac:dyDescent="0.3">
      <c r="A84" s="75">
        <v>2007</v>
      </c>
      <c r="B84" s="82" t="s">
        <v>29</v>
      </c>
      <c r="C84" s="77">
        <f t="shared" si="6"/>
        <v>158.43278292838565</v>
      </c>
      <c r="D84" s="83">
        <v>0.41</v>
      </c>
      <c r="E84" s="83">
        <f t="shared" si="11"/>
        <v>1.3964198072</v>
      </c>
      <c r="F84" s="84">
        <f t="shared" si="10"/>
        <v>2.9468145726132988</v>
      </c>
      <c r="G84" s="80">
        <f>+$C$301/C84</f>
        <v>2.743133757339494</v>
      </c>
    </row>
    <row r="85" spans="1:7" ht="16.5" hidden="1" thickBot="1" x14ac:dyDescent="0.3">
      <c r="A85" s="75">
        <v>2007</v>
      </c>
      <c r="B85" s="82" t="s">
        <v>16</v>
      </c>
      <c r="C85" s="77">
        <f t="shared" si="6"/>
        <v>158.78133505082809</v>
      </c>
      <c r="D85" s="83">
        <v>0.22</v>
      </c>
      <c r="E85" s="83">
        <f t="shared" si="11"/>
        <v>1.6194919307758404</v>
      </c>
      <c r="F85" s="84">
        <f t="shared" si="10"/>
        <v>2.99820062361289</v>
      </c>
      <c r="G85" s="80">
        <f>+$C$301/C85</f>
        <v>2.7371121106959633</v>
      </c>
    </row>
    <row r="86" spans="1:7" ht="16.5" hidden="1" thickBot="1" x14ac:dyDescent="0.3">
      <c r="A86" s="75">
        <v>2007</v>
      </c>
      <c r="B86" s="82" t="s">
        <v>17</v>
      </c>
      <c r="C86" s="77">
        <f t="shared" si="6"/>
        <v>159.19416652196023</v>
      </c>
      <c r="D86" s="83">
        <v>0.26</v>
      </c>
      <c r="E86" s="83">
        <f t="shared" si="11"/>
        <v>1.8837026097958454</v>
      </c>
      <c r="F86" s="84">
        <f t="shared" si="10"/>
        <v>2.9879285381811949</v>
      </c>
      <c r="G86" s="80">
        <f>+$C$301/C86</f>
        <v>2.7300140741032948</v>
      </c>
    </row>
    <row r="87" spans="1:7" ht="16.5" hidden="1" thickBot="1" x14ac:dyDescent="0.3">
      <c r="A87" s="75">
        <v>2007</v>
      </c>
      <c r="B87" s="82" t="s">
        <v>18</v>
      </c>
      <c r="C87" s="77">
        <f t="shared" si="6"/>
        <v>159.6558296048739</v>
      </c>
      <c r="D87" s="83">
        <v>0.28999999999999998</v>
      </c>
      <c r="E87" s="83">
        <f t="shared" si="11"/>
        <v>2.1791653473642425</v>
      </c>
      <c r="F87" s="84">
        <f t="shared" si="10"/>
        <v>3.4417561651896689</v>
      </c>
      <c r="G87" s="80">
        <f>+$C$301/C87</f>
        <v>2.7221199263169757</v>
      </c>
    </row>
    <row r="88" spans="1:7" ht="16.5" hidden="1" thickBot="1" x14ac:dyDescent="0.3">
      <c r="A88" s="75">
        <v>2007</v>
      </c>
      <c r="B88" s="82" t="s">
        <v>19</v>
      </c>
      <c r="C88" s="77">
        <f t="shared" si="6"/>
        <v>160.03900359592558</v>
      </c>
      <c r="D88" s="83">
        <v>0.24</v>
      </c>
      <c r="E88" s="83">
        <f t="shared" si="11"/>
        <v>2.4243953441978938</v>
      </c>
      <c r="F88" s="84">
        <f t="shared" si="10"/>
        <v>3.7107585316924707</v>
      </c>
      <c r="G88" s="80">
        <f>+$C$301/C88</f>
        <v>2.7156024803641023</v>
      </c>
    </row>
    <row r="89" spans="1:7" ht="16.5" hidden="1" thickBot="1" x14ac:dyDescent="0.3">
      <c r="A89" s="75">
        <v>2007</v>
      </c>
      <c r="B89" s="82" t="s">
        <v>20</v>
      </c>
      <c r="C89" s="77">
        <f t="shared" si="6"/>
        <v>160.71116741102847</v>
      </c>
      <c r="D89" s="83">
        <v>0.42</v>
      </c>
      <c r="E89" s="83">
        <f t="shared" si="11"/>
        <v>2.8545778046435322</v>
      </c>
      <c r="F89" s="84">
        <f t="shared" si="10"/>
        <v>3.948840919777985</v>
      </c>
      <c r="G89" s="80">
        <f>+$C$301/C89</f>
        <v>2.7042446528222488</v>
      </c>
    </row>
    <row r="90" spans="1:7" ht="16.5" hidden="1" thickBot="1" x14ac:dyDescent="0.3">
      <c r="A90" s="75">
        <v>2007</v>
      </c>
      <c r="B90" s="82" t="s">
        <v>21</v>
      </c>
      <c r="C90" s="77">
        <f t="shared" si="6"/>
        <v>161.17722979652044</v>
      </c>
      <c r="D90" s="83">
        <v>0.28999999999999998</v>
      </c>
      <c r="E90" s="83">
        <f t="shared" si="11"/>
        <v>3.152856080277</v>
      </c>
      <c r="F90" s="84">
        <f t="shared" si="10"/>
        <v>4.1981934617144834</v>
      </c>
      <c r="G90" s="80">
        <f>+$C$301/C90</f>
        <v>2.6964250202634852</v>
      </c>
    </row>
    <row r="91" spans="1:7" ht="16.5" hidden="1" thickBot="1" x14ac:dyDescent="0.3">
      <c r="A91" s="75">
        <v>2007</v>
      </c>
      <c r="B91" s="82" t="s">
        <v>22</v>
      </c>
      <c r="C91" s="77">
        <f t="shared" si="6"/>
        <v>161.56405514803208</v>
      </c>
      <c r="D91" s="83">
        <v>0.24</v>
      </c>
      <c r="E91" s="83">
        <f t="shared" si="11"/>
        <v>3.4004229348696624</v>
      </c>
      <c r="F91" s="84">
        <f t="shared" si="10"/>
        <v>4.146245015477712</v>
      </c>
      <c r="G91" s="80">
        <f>+$C$301/C91</f>
        <v>2.6899690944368366</v>
      </c>
    </row>
    <row r="92" spans="1:7" ht="16.5" hidden="1" thickBot="1" x14ac:dyDescent="0.3">
      <c r="A92" s="75">
        <v>2007</v>
      </c>
      <c r="B92" s="82" t="s">
        <v>23</v>
      </c>
      <c r="C92" s="77">
        <f t="shared" si="6"/>
        <v>161.93565247487254</v>
      </c>
      <c r="D92" s="83">
        <v>0.23</v>
      </c>
      <c r="E92" s="83">
        <f t="shared" si="11"/>
        <v>3.6382439076198425</v>
      </c>
      <c r="F92" s="84">
        <f t="shared" si="10"/>
        <v>4.0009777612965092</v>
      </c>
      <c r="G92" s="80">
        <f>+$C$301/C92</f>
        <v>2.6837963628023913</v>
      </c>
    </row>
    <row r="93" spans="1:7" ht="16.5" hidden="1" thickBot="1" x14ac:dyDescent="0.3">
      <c r="A93" s="75">
        <v>2007</v>
      </c>
      <c r="B93" s="82" t="s">
        <v>12</v>
      </c>
      <c r="C93" s="77">
        <f t="shared" si="6"/>
        <v>163.06920204219662</v>
      </c>
      <c r="D93" s="83">
        <v>0.7</v>
      </c>
      <c r="E93" s="83">
        <f t="shared" si="11"/>
        <v>4.3637116149731758</v>
      </c>
      <c r="F93" s="84">
        <f t="shared" si="10"/>
        <v>4.3637116149731758</v>
      </c>
      <c r="G93" s="80">
        <f>+$C$301/C93</f>
        <v>2.665140380141402</v>
      </c>
    </row>
    <row r="94" spans="1:7" ht="16.5" hidden="1" thickBot="1" x14ac:dyDescent="0.3">
      <c r="A94" s="75">
        <v>2008</v>
      </c>
      <c r="B94" s="82" t="s">
        <v>13</v>
      </c>
      <c r="C94" s="77">
        <f t="shared" si="6"/>
        <v>164.21068645649197</v>
      </c>
      <c r="D94" s="83">
        <v>0.7</v>
      </c>
      <c r="E94" s="83">
        <f t="shared" ref="E94:E105" si="12">100*((C94/$C$93)-1)</f>
        <v>0.69999999999998952</v>
      </c>
      <c r="F94" s="84">
        <f t="shared" si="10"/>
        <v>4.5505945048527119</v>
      </c>
      <c r="G94" s="80">
        <f>+$C$301/C94</f>
        <v>2.6466140815704096</v>
      </c>
    </row>
    <row r="95" spans="1:7" ht="16.5" hidden="1" thickBot="1" x14ac:dyDescent="0.3">
      <c r="A95" s="75">
        <v>2008</v>
      </c>
      <c r="B95" s="82" t="s">
        <v>14</v>
      </c>
      <c r="C95" s="77">
        <f t="shared" si="6"/>
        <v>165.2616348498135</v>
      </c>
      <c r="D95" s="83">
        <v>0.64</v>
      </c>
      <c r="E95" s="83">
        <f t="shared" si="12"/>
        <v>1.3444799999999812</v>
      </c>
      <c r="F95" s="84">
        <f t="shared" si="10"/>
        <v>4.7379238599281059</v>
      </c>
      <c r="G95" s="80">
        <f>+$C$301/C95</f>
        <v>2.6297834673791831</v>
      </c>
    </row>
    <row r="96" spans="1:7" ht="16.5" hidden="1" thickBot="1" x14ac:dyDescent="0.3">
      <c r="A96" s="75">
        <v>2008</v>
      </c>
      <c r="B96" s="82" t="s">
        <v>15</v>
      </c>
      <c r="C96" s="77">
        <f t="shared" si="6"/>
        <v>165.64173660996806</v>
      </c>
      <c r="D96" s="83">
        <v>0.23</v>
      </c>
      <c r="E96" s="83">
        <f t="shared" si="12"/>
        <v>1.5775723039999745</v>
      </c>
      <c r="F96" s="84">
        <f t="shared" si="10"/>
        <v>4.5501654066387065</v>
      </c>
      <c r="G96" s="80">
        <f>+$C$301/C96</f>
        <v>2.6237488450356015</v>
      </c>
    </row>
    <row r="97" spans="1:7" ht="16.5" hidden="1" thickBot="1" x14ac:dyDescent="0.3">
      <c r="A97" s="75">
        <v>2008</v>
      </c>
      <c r="B97" s="82" t="s">
        <v>16</v>
      </c>
      <c r="C97" s="77">
        <f t="shared" si="6"/>
        <v>166.61902285596688</v>
      </c>
      <c r="D97" s="83">
        <v>0.59</v>
      </c>
      <c r="E97" s="83">
        <f t="shared" si="12"/>
        <v>2.1768799805935712</v>
      </c>
      <c r="F97" s="84">
        <f t="shared" si="10"/>
        <v>4.9361518484712485</v>
      </c>
      <c r="G97" s="80">
        <f>+$C$301/C97</f>
        <v>2.6083595238449164</v>
      </c>
    </row>
    <row r="98" spans="1:7" ht="16.5" hidden="1" thickBot="1" x14ac:dyDescent="0.3">
      <c r="A98" s="75">
        <v>2008</v>
      </c>
      <c r="B98" s="82" t="s">
        <v>17</v>
      </c>
      <c r="C98" s="77">
        <f t="shared" si="6"/>
        <v>167.55208938396029</v>
      </c>
      <c r="D98" s="83">
        <v>0.56000000000000005</v>
      </c>
      <c r="E98" s="83">
        <f t="shared" si="12"/>
        <v>2.7490705084848965</v>
      </c>
      <c r="F98" s="84">
        <f t="shared" si="10"/>
        <v>5.2501439246186887</v>
      </c>
      <c r="G98" s="80">
        <f>+$C$301/C98</f>
        <v>2.5938340531472917</v>
      </c>
    </row>
    <row r="99" spans="1:7" ht="16.5" hidden="1" thickBot="1" x14ac:dyDescent="0.3">
      <c r="A99" s="75">
        <v>2008</v>
      </c>
      <c r="B99" s="82" t="s">
        <v>18</v>
      </c>
      <c r="C99" s="77">
        <f t="shared" si="6"/>
        <v>169.06005818841592</v>
      </c>
      <c r="D99" s="83">
        <v>0.9</v>
      </c>
      <c r="E99" s="83">
        <f t="shared" si="12"/>
        <v>3.6738121430612392</v>
      </c>
      <c r="F99" s="84">
        <f t="shared" si="10"/>
        <v>5.8903133113373807</v>
      </c>
      <c r="G99" s="80">
        <f>+$C$301/C99</f>
        <v>2.5706977731885945</v>
      </c>
    </row>
    <row r="100" spans="1:7" ht="16.5" hidden="1" thickBot="1" x14ac:dyDescent="0.3">
      <c r="A100" s="75">
        <v>2008</v>
      </c>
      <c r="B100" s="82" t="s">
        <v>19</v>
      </c>
      <c r="C100" s="77">
        <f t="shared" si="6"/>
        <v>170.12513655500294</v>
      </c>
      <c r="D100" s="83">
        <v>0.63</v>
      </c>
      <c r="E100" s="83">
        <f t="shared" si="12"/>
        <v>4.3269571595625278</v>
      </c>
      <c r="F100" s="84">
        <f t="shared" si="10"/>
        <v>6.3022967729437607</v>
      </c>
      <c r="G100" s="80">
        <f>+$C$301/C100</f>
        <v>2.5546037694411154</v>
      </c>
    </row>
    <row r="101" spans="1:7" ht="16.5" hidden="1" thickBot="1" x14ac:dyDescent="0.3">
      <c r="A101" s="75">
        <v>2008</v>
      </c>
      <c r="B101" s="82" t="s">
        <v>20</v>
      </c>
      <c r="C101" s="77">
        <f t="shared" si="6"/>
        <v>170.72057453294545</v>
      </c>
      <c r="D101" s="83">
        <v>0.35</v>
      </c>
      <c r="E101" s="83">
        <f t="shared" si="12"/>
        <v>4.692101509621005</v>
      </c>
      <c r="F101" s="84">
        <f t="shared" si="10"/>
        <v>6.2281963868243917</v>
      </c>
      <c r="G101" s="80">
        <f>+$C$301/C101</f>
        <v>2.5456938409976235</v>
      </c>
    </row>
    <row r="102" spans="1:7" ht="16.5" hidden="1" thickBot="1" x14ac:dyDescent="0.3">
      <c r="A102" s="75">
        <v>2008</v>
      </c>
      <c r="B102" s="82" t="s">
        <v>21</v>
      </c>
      <c r="C102" s="77">
        <f t="shared" si="6"/>
        <v>171.16444802673109</v>
      </c>
      <c r="D102" s="83">
        <v>0.26</v>
      </c>
      <c r="E102" s="83">
        <f t="shared" si="12"/>
        <v>4.9643009735460097</v>
      </c>
      <c r="F102" s="84">
        <f t="shared" si="10"/>
        <v>6.1964200792004487</v>
      </c>
      <c r="G102" s="80">
        <f>+$C$301/C102</f>
        <v>2.5390922012743107</v>
      </c>
    </row>
    <row r="103" spans="1:7" ht="16.5" hidden="1" thickBot="1" x14ac:dyDescent="0.3">
      <c r="A103" s="75">
        <v>2008</v>
      </c>
      <c r="B103" s="82" t="s">
        <v>22</v>
      </c>
      <c r="C103" s="77">
        <f t="shared" si="6"/>
        <v>171.67794137081128</v>
      </c>
      <c r="D103" s="83">
        <v>0.3</v>
      </c>
      <c r="E103" s="83">
        <f t="shared" si="12"/>
        <v>5.2791938764666479</v>
      </c>
      <c r="F103" s="84">
        <f t="shared" si="10"/>
        <v>6.2599853745391565</v>
      </c>
      <c r="G103" s="80">
        <f>+$C$301/C103</f>
        <v>2.5314977081498613</v>
      </c>
    </row>
    <row r="104" spans="1:7" ht="16.5" hidden="1" thickBot="1" x14ac:dyDescent="0.3">
      <c r="A104" s="75">
        <v>2008</v>
      </c>
      <c r="B104" s="82" t="s">
        <v>23</v>
      </c>
      <c r="C104" s="77">
        <f t="shared" si="6"/>
        <v>172.51916328352823</v>
      </c>
      <c r="D104" s="83">
        <v>0.49</v>
      </c>
      <c r="E104" s="83">
        <f t="shared" si="12"/>
        <v>5.795061926461309</v>
      </c>
      <c r="F104" s="84">
        <f t="shared" si="10"/>
        <v>6.5356273599465275</v>
      </c>
      <c r="G104" s="80">
        <f>+$C$301/C104</f>
        <v>2.5191538542639682</v>
      </c>
    </row>
    <row r="105" spans="1:7" ht="16.5" hidden="1" thickBot="1" x14ac:dyDescent="0.3">
      <c r="A105" s="75">
        <v>2008</v>
      </c>
      <c r="B105" s="82" t="s">
        <v>12</v>
      </c>
      <c r="C105" s="77">
        <f t="shared" si="6"/>
        <v>173.01946885705044</v>
      </c>
      <c r="D105" s="83">
        <v>0.28999999999999998</v>
      </c>
      <c r="E105" s="83">
        <f t="shared" si="12"/>
        <v>6.1018676060480281</v>
      </c>
      <c r="F105" s="84">
        <f t="shared" si="10"/>
        <v>6.1018676060480281</v>
      </c>
      <c r="G105" s="80">
        <f>+$C$301/C105</f>
        <v>2.5118694329085338</v>
      </c>
    </row>
    <row r="106" spans="1:7" ht="16.5" hidden="1" thickBot="1" x14ac:dyDescent="0.3">
      <c r="A106" s="75">
        <v>2009</v>
      </c>
      <c r="B106" s="82" t="s">
        <v>13</v>
      </c>
      <c r="C106" s="77">
        <f t="shared" si="6"/>
        <v>173.71154673247864</v>
      </c>
      <c r="D106" s="83">
        <v>0.4</v>
      </c>
      <c r="E106" s="83">
        <f t="shared" ref="E106:E117" si="13">100*((C106/$C$105)-1)</f>
        <v>0.40000000000000036</v>
      </c>
      <c r="F106" s="84">
        <f t="shared" si="10"/>
        <v>5.7857746538949817</v>
      </c>
      <c r="G106" s="80">
        <f>+$C$301/C106</f>
        <v>2.501861984968659</v>
      </c>
    </row>
    <row r="107" spans="1:7" ht="16.5" hidden="1" thickBot="1" x14ac:dyDescent="0.3">
      <c r="A107" s="75">
        <v>2009</v>
      </c>
      <c r="B107" s="82" t="s">
        <v>14</v>
      </c>
      <c r="C107" s="77">
        <f t="shared" si="6"/>
        <v>174.80592947689325</v>
      </c>
      <c r="D107" s="83">
        <v>0.63</v>
      </c>
      <c r="E107" s="83">
        <f t="shared" si="13"/>
        <v>1.0325200000000034</v>
      </c>
      <c r="F107" s="84">
        <f t="shared" si="10"/>
        <v>5.7752633487823113</v>
      </c>
      <c r="G107" s="80">
        <f>+$C$301/C107</f>
        <v>2.4861989316989557</v>
      </c>
    </row>
    <row r="108" spans="1:7" ht="16.5" hidden="1" thickBot="1" x14ac:dyDescent="0.3">
      <c r="A108" s="75">
        <v>2009</v>
      </c>
      <c r="B108" s="82" t="s">
        <v>15</v>
      </c>
      <c r="C108" s="77">
        <f t="shared" si="6"/>
        <v>174.99821599931786</v>
      </c>
      <c r="D108" s="83">
        <v>0.11</v>
      </c>
      <c r="E108" s="83">
        <f t="shared" si="13"/>
        <v>1.1436557720000184</v>
      </c>
      <c r="F108" s="84">
        <f t="shared" si="10"/>
        <v>5.6486243025700933</v>
      </c>
      <c r="G108" s="80">
        <f>+$C$301/C108</f>
        <v>2.4834671178692993</v>
      </c>
    </row>
    <row r="109" spans="1:7" ht="16.5" hidden="1" thickBot="1" x14ac:dyDescent="0.3">
      <c r="A109" s="75">
        <v>2009</v>
      </c>
      <c r="B109" s="82" t="s">
        <v>16</v>
      </c>
      <c r="C109" s="77">
        <f t="shared" si="6"/>
        <v>175.62120964827542</v>
      </c>
      <c r="D109" s="83">
        <v>0.35599999999999998</v>
      </c>
      <c r="E109" s="83">
        <f t="shared" si="13"/>
        <v>1.5037271865483204</v>
      </c>
      <c r="F109" s="84">
        <f t="shared" si="10"/>
        <v>5.4028565514337767</v>
      </c>
      <c r="G109" s="80">
        <f>+$C$301/C109</f>
        <v>2.4746573377469203</v>
      </c>
    </row>
    <row r="110" spans="1:7" ht="16.5" hidden="1" thickBot="1" x14ac:dyDescent="0.3">
      <c r="A110" s="75">
        <v>2009</v>
      </c>
      <c r="B110" s="82" t="s">
        <v>17</v>
      </c>
      <c r="C110" s="77">
        <f t="shared" si="6"/>
        <v>176.65737478520026</v>
      </c>
      <c r="D110" s="83">
        <v>0.59</v>
      </c>
      <c r="E110" s="83">
        <f t="shared" si="13"/>
        <v>2.1025991769489716</v>
      </c>
      <c r="F110" s="84">
        <f t="shared" si="10"/>
        <v>5.434301317708079</v>
      </c>
      <c r="G110" s="80">
        <f>+$C$301/C110</f>
        <v>2.4601424970145342</v>
      </c>
    </row>
    <row r="111" spans="1:7" ht="16.5" hidden="1" thickBot="1" x14ac:dyDescent="0.3">
      <c r="A111" s="75">
        <v>2009</v>
      </c>
      <c r="B111" s="82" t="s">
        <v>18</v>
      </c>
      <c r="C111" s="77">
        <f t="shared" ref="C111:C174" si="14">+C110*(1+D111/100)</f>
        <v>177.32867280938402</v>
      </c>
      <c r="D111" s="83">
        <v>0.38</v>
      </c>
      <c r="E111" s="83">
        <f t="shared" si="13"/>
        <v>2.4905890538213793</v>
      </c>
      <c r="F111" s="84">
        <f t="shared" si="10"/>
        <v>4.8909332633452651</v>
      </c>
      <c r="G111" s="80">
        <f>+$C$301/C111</f>
        <v>2.4508293455016283</v>
      </c>
    </row>
    <row r="112" spans="1:7" ht="16.5" hidden="1" thickBot="1" x14ac:dyDescent="0.3">
      <c r="A112" s="75">
        <v>2009</v>
      </c>
      <c r="B112" s="82" t="s">
        <v>19</v>
      </c>
      <c r="C112" s="77">
        <f t="shared" si="14"/>
        <v>177.71879588956466</v>
      </c>
      <c r="D112" s="83">
        <v>0.22</v>
      </c>
      <c r="E112" s="83">
        <f t="shared" si="13"/>
        <v>2.7160683497397864</v>
      </c>
      <c r="F112" s="84">
        <f t="shared" si="10"/>
        <v>4.4635728078352699</v>
      </c>
      <c r="G112" s="80">
        <f>+$C$301/C112</f>
        <v>2.445449356916412</v>
      </c>
    </row>
    <row r="113" spans="1:7" ht="16.5" hidden="1" thickBot="1" x14ac:dyDescent="0.3">
      <c r="A113" s="75">
        <v>2009</v>
      </c>
      <c r="B113" s="82" t="s">
        <v>20</v>
      </c>
      <c r="C113" s="77">
        <f t="shared" si="14"/>
        <v>178.12754912011064</v>
      </c>
      <c r="D113" s="83">
        <v>0.23</v>
      </c>
      <c r="E113" s="83">
        <f t="shared" si="13"/>
        <v>2.9523153069441754</v>
      </c>
      <c r="F113" s="84">
        <f t="shared" si="10"/>
        <v>4.3386537372130274</v>
      </c>
      <c r="G113" s="80">
        <f>+$C$301/C113</f>
        <v>2.4398377301370968</v>
      </c>
    </row>
    <row r="114" spans="1:7" ht="16.5" hidden="1" thickBot="1" x14ac:dyDescent="0.3">
      <c r="A114" s="75">
        <v>2009</v>
      </c>
      <c r="B114" s="82" t="s">
        <v>21</v>
      </c>
      <c r="C114" s="77">
        <f t="shared" si="14"/>
        <v>178.46599146343885</v>
      </c>
      <c r="D114" s="83">
        <v>0.19</v>
      </c>
      <c r="E114" s="83">
        <f t="shared" si="13"/>
        <v>3.1479247060273607</v>
      </c>
      <c r="F114" s="84">
        <f t="shared" si="10"/>
        <v>4.2658060834966482</v>
      </c>
      <c r="G114" s="80">
        <f>+$C$301/C114</f>
        <v>2.4352108295609312</v>
      </c>
    </row>
    <row r="115" spans="1:7" ht="16.5" hidden="1" thickBot="1" x14ac:dyDescent="0.3">
      <c r="A115" s="75">
        <v>2009</v>
      </c>
      <c r="B115" s="82" t="s">
        <v>35</v>
      </c>
      <c r="C115" s="77">
        <f t="shared" si="14"/>
        <v>178.78723024807306</v>
      </c>
      <c r="D115" s="83">
        <v>0.18</v>
      </c>
      <c r="E115" s="83">
        <f t="shared" si="13"/>
        <v>3.3335909704982125</v>
      </c>
      <c r="F115" s="84">
        <f t="shared" si="10"/>
        <v>4.1410613503957805</v>
      </c>
      <c r="G115" s="80">
        <f>+$C$301/C115</f>
        <v>2.4308353259741775</v>
      </c>
    </row>
    <row r="116" spans="1:7" ht="16.5" hidden="1" thickBot="1" x14ac:dyDescent="0.3">
      <c r="A116" s="75">
        <v>2009</v>
      </c>
      <c r="B116" s="82" t="s">
        <v>23</v>
      </c>
      <c r="C116" s="77">
        <f t="shared" si="14"/>
        <v>179.57389406116457</v>
      </c>
      <c r="D116" s="83">
        <v>0.44</v>
      </c>
      <c r="E116" s="83">
        <f t="shared" si="13"/>
        <v>3.7882587707684046</v>
      </c>
      <c r="F116" s="84">
        <f t="shared" si="10"/>
        <v>4.089244721203622</v>
      </c>
      <c r="G116" s="80">
        <f>+$C$301/C116</f>
        <v>2.4201865053506348</v>
      </c>
    </row>
    <row r="117" spans="1:7" ht="16.5" hidden="1" thickBot="1" x14ac:dyDescent="0.3">
      <c r="A117" s="75">
        <v>2009</v>
      </c>
      <c r="B117" s="82" t="s">
        <v>12</v>
      </c>
      <c r="C117" s="77">
        <f t="shared" si="14"/>
        <v>180.25627485859701</v>
      </c>
      <c r="D117" s="83">
        <v>0.38</v>
      </c>
      <c r="E117" s="83">
        <f t="shared" si="13"/>
        <v>4.1826541540973317</v>
      </c>
      <c r="F117" s="84">
        <f t="shared" si="10"/>
        <v>4.1826541540973317</v>
      </c>
      <c r="G117" s="80">
        <f>+$C$301/C117</f>
        <v>2.4110246118256971</v>
      </c>
    </row>
    <row r="118" spans="1:7" ht="16.5" hidden="1" thickBot="1" x14ac:dyDescent="0.3">
      <c r="A118" s="75">
        <v>2010</v>
      </c>
      <c r="B118" s="82" t="s">
        <v>13</v>
      </c>
      <c r="C118" s="77">
        <f t="shared" si="14"/>
        <v>181.19360748786173</v>
      </c>
      <c r="D118" s="83">
        <v>0.52</v>
      </c>
      <c r="E118" s="83">
        <f t="shared" ref="E118:E129" si="15">100*((C118/$C$117)-1)</f>
        <v>0.52000000000000934</v>
      </c>
      <c r="F118" s="84">
        <f t="shared" si="10"/>
        <v>4.3071752546799402</v>
      </c>
      <c r="G118" s="80">
        <f>+$C$301/C118</f>
        <v>2.3985521406940875</v>
      </c>
    </row>
    <row r="119" spans="1:7" ht="16.5" hidden="1" thickBot="1" x14ac:dyDescent="0.3">
      <c r="A119" s="75">
        <v>2010</v>
      </c>
      <c r="B119" s="82" t="s">
        <v>14</v>
      </c>
      <c r="C119" s="77">
        <f t="shared" si="14"/>
        <v>182.89682739824764</v>
      </c>
      <c r="D119" s="83">
        <v>0.94</v>
      </c>
      <c r="E119" s="83">
        <f t="shared" si="15"/>
        <v>1.4648880000000197</v>
      </c>
      <c r="F119" s="84">
        <f t="shared" si="10"/>
        <v>4.6285031323401782</v>
      </c>
      <c r="G119" s="80">
        <f>+$C$301/C119</f>
        <v>2.376215712991963</v>
      </c>
    </row>
    <row r="120" spans="1:7" ht="16.5" hidden="1" thickBot="1" x14ac:dyDescent="0.3">
      <c r="A120" s="75">
        <v>2010</v>
      </c>
      <c r="B120" s="82" t="s">
        <v>15</v>
      </c>
      <c r="C120" s="77">
        <f t="shared" si="14"/>
        <v>183.90275994893801</v>
      </c>
      <c r="D120" s="83">
        <v>0.55000000000000004</v>
      </c>
      <c r="E120" s="83">
        <f t="shared" si="15"/>
        <v>2.0229448840000108</v>
      </c>
      <c r="F120" s="84">
        <f t="shared" si="10"/>
        <v>5.0883627005973819</v>
      </c>
      <c r="G120" s="80">
        <f>+$C$301/C120</f>
        <v>2.3632180139154282</v>
      </c>
    </row>
    <row r="121" spans="1:7" ht="16.5" hidden="1" thickBot="1" x14ac:dyDescent="0.3">
      <c r="A121" s="75">
        <v>2010</v>
      </c>
      <c r="B121" s="82" t="s">
        <v>16</v>
      </c>
      <c r="C121" s="77">
        <f t="shared" si="14"/>
        <v>184.7854931966929</v>
      </c>
      <c r="D121" s="83">
        <v>0.48</v>
      </c>
      <c r="E121" s="83">
        <f t="shared" si="15"/>
        <v>2.5126550194431996</v>
      </c>
      <c r="F121" s="84">
        <f t="shared" si="10"/>
        <v>5.2182100139107401</v>
      </c>
      <c r="G121" s="80">
        <f>+$C$301/C121</f>
        <v>2.3519287558871698</v>
      </c>
    </row>
    <row r="122" spans="1:7" ht="16.5" hidden="1" thickBot="1" x14ac:dyDescent="0.3">
      <c r="A122" s="75">
        <v>2010</v>
      </c>
      <c r="B122" s="82" t="s">
        <v>17</v>
      </c>
      <c r="C122" s="77">
        <f t="shared" si="14"/>
        <v>185.94964180383207</v>
      </c>
      <c r="D122" s="83">
        <v>0.63</v>
      </c>
      <c r="E122" s="83">
        <f t="shared" si="15"/>
        <v>3.158484746065704</v>
      </c>
      <c r="F122" s="84">
        <f t="shared" si="10"/>
        <v>5.2600504394058722</v>
      </c>
      <c r="G122" s="80">
        <f>+$C$301/C122</f>
        <v>2.3372043683664612</v>
      </c>
    </row>
    <row r="123" spans="1:7" ht="16.5" hidden="1" thickBot="1" x14ac:dyDescent="0.3">
      <c r="A123" s="75">
        <v>2010</v>
      </c>
      <c r="B123" s="82" t="s">
        <v>18</v>
      </c>
      <c r="C123" s="77">
        <f t="shared" si="14"/>
        <v>186.30294612325935</v>
      </c>
      <c r="D123" s="83">
        <v>0.19</v>
      </c>
      <c r="E123" s="83">
        <f t="shared" si="15"/>
        <v>3.3544858670832234</v>
      </c>
      <c r="F123" s="84">
        <f t="shared" si="10"/>
        <v>5.0608134441529673</v>
      </c>
      <c r="G123" s="80">
        <f>+$C$301/C123</f>
        <v>2.3327721013738509</v>
      </c>
    </row>
    <row r="124" spans="1:7" ht="16.5" hidden="1" thickBot="1" x14ac:dyDescent="0.3">
      <c r="A124" s="75">
        <v>2010</v>
      </c>
      <c r="B124" s="82" t="s">
        <v>19</v>
      </c>
      <c r="C124" s="77">
        <f t="shared" si="14"/>
        <v>186.13527347174841</v>
      </c>
      <c r="D124" s="83">
        <v>-0.09</v>
      </c>
      <c r="E124" s="83">
        <f t="shared" si="15"/>
        <v>3.2614668298028393</v>
      </c>
      <c r="F124" s="84">
        <f t="shared" si="10"/>
        <v>4.7358398643516431</v>
      </c>
      <c r="G124" s="80">
        <f>+$C$301/C124</f>
        <v>2.334873487512612</v>
      </c>
    </row>
    <row r="125" spans="1:7" ht="16.5" hidden="1" thickBot="1" x14ac:dyDescent="0.3">
      <c r="A125" s="75">
        <v>2010</v>
      </c>
      <c r="B125" s="82" t="s">
        <v>20</v>
      </c>
      <c r="C125" s="77">
        <f t="shared" si="14"/>
        <v>186.04220583501254</v>
      </c>
      <c r="D125" s="83">
        <v>-0.05</v>
      </c>
      <c r="E125" s="83">
        <f t="shared" si="15"/>
        <v>3.2098360963879635</v>
      </c>
      <c r="F125" s="84">
        <f t="shared" si="10"/>
        <v>4.4432524637528559</v>
      </c>
      <c r="G125" s="80">
        <f>+$C$301/C125</f>
        <v>2.3360415082667454</v>
      </c>
    </row>
    <row r="126" spans="1:7" ht="16.5" hidden="1" thickBot="1" x14ac:dyDescent="0.3">
      <c r="A126" s="75">
        <v>2010</v>
      </c>
      <c r="B126" s="82" t="s">
        <v>21</v>
      </c>
      <c r="C126" s="77">
        <f t="shared" si="14"/>
        <v>186.6189366731011</v>
      </c>
      <c r="D126" s="83">
        <v>0.31</v>
      </c>
      <c r="E126" s="83">
        <f t="shared" si="15"/>
        <v>3.5297865882867763</v>
      </c>
      <c r="F126" s="84">
        <f t="shared" si="10"/>
        <v>4.5683466876839107</v>
      </c>
      <c r="G126" s="80">
        <f>+$C$301/C126</f>
        <v>2.3288221595720717</v>
      </c>
    </row>
    <row r="127" spans="1:7" ht="16.5" hidden="1" thickBot="1" x14ac:dyDescent="0.3">
      <c r="A127" s="75">
        <v>2010</v>
      </c>
      <c r="B127" s="82" t="s">
        <v>22</v>
      </c>
      <c r="C127" s="77">
        <f t="shared" si="14"/>
        <v>187.77597408047433</v>
      </c>
      <c r="D127" s="83">
        <v>0.62</v>
      </c>
      <c r="E127" s="83">
        <f t="shared" si="15"/>
        <v>4.1716712651341359</v>
      </c>
      <c r="F127" s="84">
        <f t="shared" si="10"/>
        <v>5.0276207198518108</v>
      </c>
      <c r="G127" s="80">
        <f>+$C$301/C127</f>
        <v>2.3144724305029536</v>
      </c>
    </row>
    <row r="128" spans="1:7" ht="16.5" hidden="1" thickBot="1" x14ac:dyDescent="0.3">
      <c r="A128" s="75">
        <v>2010</v>
      </c>
      <c r="B128" s="82" t="s">
        <v>23</v>
      </c>
      <c r="C128" s="77">
        <f t="shared" si="14"/>
        <v>189.39084745756639</v>
      </c>
      <c r="D128" s="83">
        <v>0.86</v>
      </c>
      <c r="E128" s="83">
        <f t="shared" si="15"/>
        <v>5.0675476380142914</v>
      </c>
      <c r="F128" s="84">
        <f t="shared" si="10"/>
        <v>5.466804319038765</v>
      </c>
      <c r="G128" s="80">
        <f>+$C$301/C128</f>
        <v>2.2947376863999143</v>
      </c>
    </row>
    <row r="129" spans="1:7" ht="16.5" hidden="1" thickBot="1" x14ac:dyDescent="0.3">
      <c r="A129" s="75">
        <v>2010</v>
      </c>
      <c r="B129" s="82" t="s">
        <v>12</v>
      </c>
      <c r="C129" s="77">
        <f t="shared" si="14"/>
        <v>190.69764430502357</v>
      </c>
      <c r="D129" s="83">
        <v>0.69</v>
      </c>
      <c r="E129" s="83">
        <f t="shared" si="15"/>
        <v>5.7925137167165852</v>
      </c>
      <c r="F129" s="84">
        <f t="shared" si="10"/>
        <v>5.7925137167165852</v>
      </c>
      <c r="G129" s="80">
        <f>+$C$301/C129</f>
        <v>2.2790125001488875</v>
      </c>
    </row>
    <row r="130" spans="1:7" x14ac:dyDescent="0.25">
      <c r="A130" s="87">
        <v>2011</v>
      </c>
      <c r="B130" s="88" t="s">
        <v>13</v>
      </c>
      <c r="C130" s="89">
        <f t="shared" si="14"/>
        <v>192.14694640174176</v>
      </c>
      <c r="D130" s="90">
        <v>0.76</v>
      </c>
      <c r="E130" s="90">
        <f t="shared" ref="E130:E141" si="16">100*((C130/$C$129)-1)</f>
        <v>0.76000000000000512</v>
      </c>
      <c r="F130" s="91">
        <f t="shared" si="10"/>
        <v>6.0451022890605</v>
      </c>
      <c r="G130" s="92">
        <f>+$C$301/C130</f>
        <v>2.2618226480239056</v>
      </c>
    </row>
    <row r="131" spans="1:7" x14ac:dyDescent="0.25">
      <c r="A131" s="93">
        <v>2011</v>
      </c>
      <c r="B131" s="94" t="s">
        <v>14</v>
      </c>
      <c r="C131" s="95">
        <f t="shared" si="14"/>
        <v>194.01077178183866</v>
      </c>
      <c r="D131" s="102">
        <v>0.97</v>
      </c>
      <c r="E131" s="96">
        <f t="shared" si="16"/>
        <v>1.7373720000000148</v>
      </c>
      <c r="F131" s="97">
        <f t="shared" si="10"/>
        <v>6.0766195574246007</v>
      </c>
      <c r="G131" s="98">
        <f>+$C$301/C131</f>
        <v>2.2400937387579534</v>
      </c>
    </row>
    <row r="132" spans="1:7" x14ac:dyDescent="0.25">
      <c r="A132" s="93">
        <v>2011</v>
      </c>
      <c r="B132" s="94" t="s">
        <v>15</v>
      </c>
      <c r="C132" s="95">
        <f t="shared" si="14"/>
        <v>195.17483641252969</v>
      </c>
      <c r="D132" s="102">
        <v>0.6</v>
      </c>
      <c r="E132" s="96">
        <f t="shared" si="16"/>
        <v>2.3477962320000101</v>
      </c>
      <c r="F132" s="97">
        <f t="shared" si="10"/>
        <v>6.1293677521323975</v>
      </c>
      <c r="G132" s="98">
        <f>+$C$301/C132</f>
        <v>2.2267333387255999</v>
      </c>
    </row>
    <row r="133" spans="1:7" x14ac:dyDescent="0.25">
      <c r="A133" s="93">
        <v>2011</v>
      </c>
      <c r="B133" s="94" t="s">
        <v>16</v>
      </c>
      <c r="C133" s="95">
        <f t="shared" si="14"/>
        <v>196.67768265290619</v>
      </c>
      <c r="D133" s="102">
        <v>0.77</v>
      </c>
      <c r="E133" s="96">
        <f t="shared" si="16"/>
        <v>3.1358742629864045</v>
      </c>
      <c r="F133" s="97">
        <f t="shared" si="10"/>
        <v>6.4356726550794718</v>
      </c>
      <c r="G133" s="98">
        <f t="shared" ref="G133:G196" si="17">+$C$301/C133</f>
        <v>2.2097185062276465</v>
      </c>
    </row>
    <row r="134" spans="1:7" x14ac:dyDescent="0.25">
      <c r="A134" s="93">
        <v>2011</v>
      </c>
      <c r="B134" s="94" t="s">
        <v>17</v>
      </c>
      <c r="C134" s="95">
        <f t="shared" si="14"/>
        <v>198.05442643147651</v>
      </c>
      <c r="D134" s="102">
        <v>0.7</v>
      </c>
      <c r="E134" s="96">
        <f t="shared" si="16"/>
        <v>3.8578253828273068</v>
      </c>
      <c r="F134" s="97">
        <f t="shared" ref="F134:F197" si="18">100*((C134/$C122)-1)</f>
        <v>6.5097111832107757</v>
      </c>
      <c r="G134" s="98">
        <f t="shared" si="17"/>
        <v>2.1943580002260643</v>
      </c>
    </row>
    <row r="135" spans="1:7" x14ac:dyDescent="0.25">
      <c r="A135" s="93">
        <v>2011</v>
      </c>
      <c r="B135" s="94" t="s">
        <v>18</v>
      </c>
      <c r="C135" s="95">
        <f t="shared" si="14"/>
        <v>198.50995161226891</v>
      </c>
      <c r="D135" s="102">
        <v>0.23</v>
      </c>
      <c r="E135" s="96">
        <f t="shared" si="16"/>
        <v>4.0966983812078084</v>
      </c>
      <c r="F135" s="97">
        <f t="shared" si="18"/>
        <v>6.5522342738119299</v>
      </c>
      <c r="G135" s="98">
        <f t="shared" si="17"/>
        <v>2.1893225583418783</v>
      </c>
    </row>
    <row r="136" spans="1:7" x14ac:dyDescent="0.25">
      <c r="A136" s="93">
        <v>2011</v>
      </c>
      <c r="B136" s="94" t="s">
        <v>19</v>
      </c>
      <c r="C136" s="95">
        <f t="shared" si="14"/>
        <v>198.70846156388114</v>
      </c>
      <c r="D136" s="102">
        <v>0.1</v>
      </c>
      <c r="E136" s="96">
        <f t="shared" si="16"/>
        <v>4.2007950795890148</v>
      </c>
      <c r="F136" s="97">
        <f t="shared" si="18"/>
        <v>6.7548658873843648</v>
      </c>
      <c r="G136" s="98">
        <f t="shared" si="17"/>
        <v>2.1871354229189595</v>
      </c>
    </row>
    <row r="137" spans="1:7" x14ac:dyDescent="0.25">
      <c r="A137" s="93">
        <v>2011</v>
      </c>
      <c r="B137" s="94" t="s">
        <v>20</v>
      </c>
      <c r="C137" s="95">
        <f t="shared" si="14"/>
        <v>199.24497441010359</v>
      </c>
      <c r="D137" s="102">
        <v>0.27</v>
      </c>
      <c r="E137" s="96">
        <f t="shared" si="16"/>
        <v>4.4821372263038839</v>
      </c>
      <c r="F137" s="97">
        <f t="shared" si="18"/>
        <v>7.0966523514560231</v>
      </c>
      <c r="G137" s="98">
        <f t="shared" si="17"/>
        <v>2.1812460585608457</v>
      </c>
    </row>
    <row r="138" spans="1:7" x14ac:dyDescent="0.25">
      <c r="A138" s="93">
        <v>2011</v>
      </c>
      <c r="B138" s="94" t="s">
        <v>21</v>
      </c>
      <c r="C138" s="95">
        <f t="shared" si="14"/>
        <v>200.30097277447717</v>
      </c>
      <c r="D138" s="102">
        <v>0.53</v>
      </c>
      <c r="E138" s="96">
        <f t="shared" si="16"/>
        <v>5.035892553603305</v>
      </c>
      <c r="F138" s="97">
        <f t="shared" si="18"/>
        <v>7.3315368447001594</v>
      </c>
      <c r="G138" s="98">
        <f t="shared" si="17"/>
        <v>2.1697464026269224</v>
      </c>
    </row>
    <row r="139" spans="1:7" x14ac:dyDescent="0.25">
      <c r="A139" s="93">
        <v>2011</v>
      </c>
      <c r="B139" s="94" t="s">
        <v>22</v>
      </c>
      <c r="C139" s="95">
        <f t="shared" si="14"/>
        <v>201.14223686012997</v>
      </c>
      <c r="D139" s="102">
        <v>0.42</v>
      </c>
      <c r="E139" s="96">
        <f t="shared" si="16"/>
        <v>5.4770433023284326</v>
      </c>
      <c r="F139" s="97">
        <f t="shared" si="18"/>
        <v>7.1181964812640608</v>
      </c>
      <c r="G139" s="98">
        <f t="shared" si="17"/>
        <v>2.1606715819825957</v>
      </c>
    </row>
    <row r="140" spans="1:7" x14ac:dyDescent="0.25">
      <c r="A140" s="93">
        <v>2011</v>
      </c>
      <c r="B140" s="94" t="s">
        <v>23</v>
      </c>
      <c r="C140" s="95">
        <f t="shared" si="14"/>
        <v>202.06749114968656</v>
      </c>
      <c r="D140" s="102">
        <v>0.46</v>
      </c>
      <c r="E140" s="96">
        <f t="shared" si="16"/>
        <v>5.9622377015191352</v>
      </c>
      <c r="F140" s="97">
        <f t="shared" si="18"/>
        <v>6.6933771416596066</v>
      </c>
      <c r="G140" s="98">
        <f t="shared" si="17"/>
        <v>2.150778003168023</v>
      </c>
    </row>
    <row r="141" spans="1:7" x14ac:dyDescent="0.25">
      <c r="A141" s="93">
        <v>2011</v>
      </c>
      <c r="B141" s="94" t="s">
        <v>12</v>
      </c>
      <c r="C141" s="95">
        <f t="shared" si="14"/>
        <v>203.1990691001248</v>
      </c>
      <c r="D141" s="102">
        <v>0.56000000000000005</v>
      </c>
      <c r="E141" s="96">
        <f t="shared" si="16"/>
        <v>6.5556262326476489</v>
      </c>
      <c r="F141" s="97">
        <f t="shared" si="18"/>
        <v>6.5556262326476489</v>
      </c>
      <c r="G141" s="98">
        <f t="shared" si="17"/>
        <v>2.1388007191408342</v>
      </c>
    </row>
    <row r="142" spans="1:7" x14ac:dyDescent="0.25">
      <c r="A142" s="93">
        <f>2012</f>
        <v>2012</v>
      </c>
      <c r="B142" s="94" t="s">
        <v>13</v>
      </c>
      <c r="C142" s="95">
        <f t="shared" si="14"/>
        <v>204.51986304927561</v>
      </c>
      <c r="D142" s="102">
        <v>0.65</v>
      </c>
      <c r="E142" s="96">
        <f t="shared" ref="E142:E153" si="19">100*((C142/$C$141)-1)</f>
        <v>0.64999999999999503</v>
      </c>
      <c r="F142" s="97">
        <f t="shared" si="18"/>
        <v>6.439299129773568</v>
      </c>
      <c r="G142" s="98">
        <f t="shared" si="17"/>
        <v>2.1249882952218919</v>
      </c>
    </row>
    <row r="143" spans="1:7" x14ac:dyDescent="0.25">
      <c r="A143" s="93">
        <f>2012</f>
        <v>2012</v>
      </c>
      <c r="B143" s="94" t="s">
        <v>14</v>
      </c>
      <c r="C143" s="95">
        <f t="shared" si="14"/>
        <v>205.6038183234368</v>
      </c>
      <c r="D143" s="102">
        <v>0.53</v>
      </c>
      <c r="E143" s="96">
        <f t="shared" si="19"/>
        <v>1.1834450000000052</v>
      </c>
      <c r="F143" s="97">
        <f t="shared" si="18"/>
        <v>5.9754654007738717</v>
      </c>
      <c r="G143" s="98">
        <f t="shared" si="17"/>
        <v>2.1137852334844243</v>
      </c>
    </row>
    <row r="144" spans="1:7" x14ac:dyDescent="0.25">
      <c r="A144" s="93">
        <f>2012</f>
        <v>2012</v>
      </c>
      <c r="B144" s="94" t="s">
        <v>15</v>
      </c>
      <c r="C144" s="95">
        <f t="shared" si="14"/>
        <v>206.11782786924539</v>
      </c>
      <c r="D144" s="102">
        <v>0.25</v>
      </c>
      <c r="E144" s="96">
        <f t="shared" si="19"/>
        <v>1.4364036125000146</v>
      </c>
      <c r="F144" s="97">
        <f t="shared" si="18"/>
        <v>5.6067634833755653</v>
      </c>
      <c r="G144" s="98">
        <f t="shared" si="17"/>
        <v>2.1085139486128921</v>
      </c>
    </row>
    <row r="145" spans="1:7" x14ac:dyDescent="0.25">
      <c r="A145" s="93">
        <f>2012</f>
        <v>2012</v>
      </c>
      <c r="B145" s="94" t="s">
        <v>16</v>
      </c>
      <c r="C145" s="95">
        <f t="shared" si="14"/>
        <v>207.00413452908313</v>
      </c>
      <c r="D145" s="102">
        <v>0.43</v>
      </c>
      <c r="E145" s="96">
        <f t="shared" si="19"/>
        <v>1.8725801480337534</v>
      </c>
      <c r="F145" s="97">
        <f t="shared" si="18"/>
        <v>5.2504441464265694</v>
      </c>
      <c r="G145" s="98">
        <f t="shared" si="17"/>
        <v>2.0994861581329207</v>
      </c>
    </row>
    <row r="146" spans="1:7" x14ac:dyDescent="0.25">
      <c r="A146" s="93">
        <f>2012</f>
        <v>2012</v>
      </c>
      <c r="B146" s="94" t="s">
        <v>17</v>
      </c>
      <c r="C146" s="95">
        <f t="shared" si="14"/>
        <v>208.05985561518148</v>
      </c>
      <c r="D146" s="102">
        <v>0.51</v>
      </c>
      <c r="E146" s="96">
        <f t="shared" si="19"/>
        <v>2.3921303067887312</v>
      </c>
      <c r="F146" s="97">
        <f t="shared" si="18"/>
        <v>5.0518584027540836</v>
      </c>
      <c r="G146" s="98">
        <f t="shared" si="17"/>
        <v>2.0888331092756149</v>
      </c>
    </row>
    <row r="147" spans="1:7" x14ac:dyDescent="0.25">
      <c r="A147" s="93">
        <f>2012</f>
        <v>2012</v>
      </c>
      <c r="B147" s="94" t="s">
        <v>18</v>
      </c>
      <c r="C147" s="95">
        <f t="shared" si="14"/>
        <v>208.43436335528881</v>
      </c>
      <c r="D147" s="102">
        <v>0.18</v>
      </c>
      <c r="E147" s="96">
        <f t="shared" si="19"/>
        <v>2.5764361413409542</v>
      </c>
      <c r="F147" s="97">
        <f t="shared" si="18"/>
        <v>4.9994530059653375</v>
      </c>
      <c r="G147" s="98">
        <f t="shared" si="17"/>
        <v>2.0850799653380063</v>
      </c>
    </row>
    <row r="148" spans="1:7" x14ac:dyDescent="0.25">
      <c r="A148" s="173">
        <f>2012</f>
        <v>2012</v>
      </c>
      <c r="B148" s="94" t="s">
        <v>19</v>
      </c>
      <c r="C148" s="95">
        <f t="shared" si="14"/>
        <v>209.12219675436128</v>
      </c>
      <c r="D148" s="102">
        <v>0.33</v>
      </c>
      <c r="E148" s="96">
        <f t="shared" si="19"/>
        <v>2.9149383806073903</v>
      </c>
      <c r="F148" s="97">
        <f t="shared" si="18"/>
        <v>5.2407104903946511</v>
      </c>
      <c r="G148" s="98">
        <f t="shared" si="17"/>
        <v>2.078221833288155</v>
      </c>
    </row>
    <row r="149" spans="1:7" x14ac:dyDescent="0.25">
      <c r="A149" s="173">
        <f>2012</f>
        <v>2012</v>
      </c>
      <c r="B149" s="94" t="s">
        <v>20</v>
      </c>
      <c r="C149" s="95">
        <f t="shared" si="14"/>
        <v>209.9377733217033</v>
      </c>
      <c r="D149" s="102">
        <v>0.39</v>
      </c>
      <c r="E149" s="96">
        <f t="shared" si="19"/>
        <v>3.3163066402917663</v>
      </c>
      <c r="F149" s="97">
        <f t="shared" si="18"/>
        <v>5.3666592812478431</v>
      </c>
      <c r="G149" s="98">
        <f t="shared" si="17"/>
        <v>2.070148255093291</v>
      </c>
    </row>
    <row r="150" spans="1:7" x14ac:dyDescent="0.25">
      <c r="A150" s="173">
        <f>2012</f>
        <v>2012</v>
      </c>
      <c r="B150" s="94" t="s">
        <v>21</v>
      </c>
      <c r="C150" s="95">
        <f t="shared" si="14"/>
        <v>210.94547463364745</v>
      </c>
      <c r="D150" s="102">
        <v>0.48</v>
      </c>
      <c r="E150" s="96">
        <f t="shared" si="19"/>
        <v>3.8122249121651519</v>
      </c>
      <c r="F150" s="97">
        <f t="shared" si="18"/>
        <v>5.3142537011815261</v>
      </c>
      <c r="G150" s="98">
        <f t="shared" si="17"/>
        <v>2.0602590118364765</v>
      </c>
    </row>
    <row r="151" spans="1:7" x14ac:dyDescent="0.25">
      <c r="A151" s="173">
        <f>2012</f>
        <v>2012</v>
      </c>
      <c r="B151" s="94" t="s">
        <v>22</v>
      </c>
      <c r="C151" s="95">
        <f t="shared" si="14"/>
        <v>212.31662021876616</v>
      </c>
      <c r="D151" s="102">
        <v>0.65</v>
      </c>
      <c r="E151" s="96">
        <f t="shared" si="19"/>
        <v>4.4870043740942389</v>
      </c>
      <c r="F151" s="97">
        <f t="shared" si="18"/>
        <v>5.555463403942662</v>
      </c>
      <c r="G151" s="98">
        <f t="shared" si="17"/>
        <v>2.0469538120580988</v>
      </c>
    </row>
    <row r="152" spans="1:7" x14ac:dyDescent="0.25">
      <c r="A152" s="173">
        <f>2012</f>
        <v>2012</v>
      </c>
      <c r="B152" s="94" t="s">
        <v>23</v>
      </c>
      <c r="C152" s="95">
        <f t="shared" si="14"/>
        <v>213.46312996794751</v>
      </c>
      <c r="D152" s="102">
        <v>0.54</v>
      </c>
      <c r="E152" s="96">
        <f t="shared" si="19"/>
        <v>5.0512341977143382</v>
      </c>
      <c r="F152" s="97">
        <f t="shared" si="18"/>
        <v>5.6395211092215458</v>
      </c>
      <c r="G152" s="98">
        <f t="shared" si="17"/>
        <v>2.0359596300557974</v>
      </c>
    </row>
    <row r="153" spans="1:7" x14ac:dyDescent="0.25">
      <c r="A153" s="93">
        <f>2012</f>
        <v>2012</v>
      </c>
      <c r="B153" s="94" t="s">
        <v>12</v>
      </c>
      <c r="C153" s="95">
        <f t="shared" si="14"/>
        <v>214.93602556472632</v>
      </c>
      <c r="D153" s="102">
        <v>0.69</v>
      </c>
      <c r="E153" s="96">
        <f t="shared" si="19"/>
        <v>5.7760877136785682</v>
      </c>
      <c r="F153" s="97">
        <f t="shared" si="18"/>
        <v>5.7760877136785682</v>
      </c>
      <c r="G153" s="98">
        <f t="shared" si="17"/>
        <v>2.022007776398647</v>
      </c>
    </row>
    <row r="154" spans="1:7" x14ac:dyDescent="0.25">
      <c r="A154" s="93">
        <f>2013</f>
        <v>2013</v>
      </c>
      <c r="B154" s="94" t="s">
        <v>13</v>
      </c>
      <c r="C154" s="95">
        <f t="shared" si="14"/>
        <v>216.8274625896959</v>
      </c>
      <c r="D154" s="102">
        <v>0.88</v>
      </c>
      <c r="E154" s="96">
        <f t="shared" ref="E154:E165" si="20">100*((C154/$C$153)-1)</f>
        <v>0.8799999999999919</v>
      </c>
      <c r="F154" s="97">
        <f t="shared" si="18"/>
        <v>6.0178015753193481</v>
      </c>
      <c r="G154" s="98">
        <f t="shared" si="17"/>
        <v>2.0043693263269695</v>
      </c>
    </row>
    <row r="155" spans="1:7" x14ac:dyDescent="0.25">
      <c r="A155" s="93">
        <f>2013</f>
        <v>2013</v>
      </c>
      <c r="B155" s="94" t="s">
        <v>14</v>
      </c>
      <c r="C155" s="95">
        <f t="shared" si="14"/>
        <v>218.30188933530582</v>
      </c>
      <c r="D155" s="102">
        <v>0.68</v>
      </c>
      <c r="E155" s="96">
        <f t="shared" si="20"/>
        <v>1.5659839999999869</v>
      </c>
      <c r="F155" s="97">
        <f t="shared" si="18"/>
        <v>6.1759898796692525</v>
      </c>
      <c r="G155" s="98">
        <f t="shared" si="17"/>
        <v>1.9908316709644118</v>
      </c>
    </row>
    <row r="156" spans="1:7" x14ac:dyDescent="0.25">
      <c r="A156" s="93">
        <f>2013</f>
        <v>2013</v>
      </c>
      <c r="B156" s="94" t="s">
        <v>15</v>
      </c>
      <c r="C156" s="95">
        <f t="shared" si="14"/>
        <v>219.37156859304881</v>
      </c>
      <c r="D156" s="102">
        <v>0.49</v>
      </c>
      <c r="E156" s="96">
        <f t="shared" si="20"/>
        <v>2.0636573215999876</v>
      </c>
      <c r="F156" s="97">
        <f t="shared" si="18"/>
        <v>6.4301767881093541</v>
      </c>
      <c r="G156" s="98">
        <f t="shared" si="17"/>
        <v>1.9811241625678295</v>
      </c>
    </row>
    <row r="157" spans="1:7" x14ac:dyDescent="0.25">
      <c r="A157" s="93">
        <f>2013</f>
        <v>2013</v>
      </c>
      <c r="B157" s="94" t="s">
        <v>16</v>
      </c>
      <c r="C157" s="95">
        <f t="shared" si="14"/>
        <v>220.49036359287336</v>
      </c>
      <c r="D157" s="102">
        <v>0.51</v>
      </c>
      <c r="E157" s="96">
        <f t="shared" si="20"/>
        <v>2.5841819739401473</v>
      </c>
      <c r="F157" s="97">
        <f t="shared" si="18"/>
        <v>6.5149563773063024</v>
      </c>
      <c r="G157" s="98">
        <f t="shared" si="17"/>
        <v>1.9710716969135702</v>
      </c>
    </row>
    <row r="158" spans="1:7" x14ac:dyDescent="0.25">
      <c r="A158" s="93">
        <f>2013</f>
        <v>2013</v>
      </c>
      <c r="B158" s="94" t="s">
        <v>17</v>
      </c>
      <c r="C158" s="95">
        <f t="shared" si="14"/>
        <v>221.50461926540058</v>
      </c>
      <c r="D158" s="102">
        <v>0.46</v>
      </c>
      <c r="E158" s="96">
        <f t="shared" si="20"/>
        <v>3.0560692110202625</v>
      </c>
      <c r="F158" s="97">
        <f t="shared" si="18"/>
        <v>6.4619691340582097</v>
      </c>
      <c r="G158" s="98">
        <f t="shared" si="17"/>
        <v>1.9620462840071375</v>
      </c>
    </row>
    <row r="159" spans="1:7" x14ac:dyDescent="0.25">
      <c r="A159" s="93">
        <f>2013</f>
        <v>2013</v>
      </c>
      <c r="B159" s="94" t="s">
        <v>18</v>
      </c>
      <c r="C159" s="95">
        <f t="shared" si="14"/>
        <v>222.3463368186091</v>
      </c>
      <c r="D159" s="102">
        <v>0.38</v>
      </c>
      <c r="E159" s="96">
        <f t="shared" si="20"/>
        <v>3.4476822740221458</v>
      </c>
      <c r="F159" s="97">
        <f t="shared" si="18"/>
        <v>6.6745104978714664</v>
      </c>
      <c r="G159" s="98">
        <f t="shared" si="17"/>
        <v>1.9546187328224123</v>
      </c>
    </row>
    <row r="160" spans="1:7" x14ac:dyDescent="0.25">
      <c r="A160" s="93">
        <f>2013</f>
        <v>2013</v>
      </c>
      <c r="B160" s="94" t="s">
        <v>19</v>
      </c>
      <c r="C160" s="95">
        <f t="shared" si="14"/>
        <v>222.50197925438212</v>
      </c>
      <c r="D160" s="102">
        <v>7.0000000000000007E-2</v>
      </c>
      <c r="E160" s="96">
        <f t="shared" si="20"/>
        <v>3.5200956516139525</v>
      </c>
      <c r="F160" s="97">
        <f t="shared" si="18"/>
        <v>6.3980690274294316</v>
      </c>
      <c r="G160" s="98">
        <f t="shared" si="17"/>
        <v>1.9532514568026504</v>
      </c>
    </row>
    <row r="161" spans="1:7" x14ac:dyDescent="0.25">
      <c r="A161" s="93">
        <f>2013</f>
        <v>2013</v>
      </c>
      <c r="B161" s="94" t="s">
        <v>20</v>
      </c>
      <c r="C161" s="95">
        <f t="shared" si="14"/>
        <v>222.85798242118915</v>
      </c>
      <c r="D161" s="102">
        <v>0.16</v>
      </c>
      <c r="E161" s="96">
        <f t="shared" si="20"/>
        <v>3.6857278046565467</v>
      </c>
      <c r="F161" s="97">
        <f t="shared" si="18"/>
        <v>6.1543041516817665</v>
      </c>
      <c r="G161" s="98">
        <f t="shared" si="17"/>
        <v>1.9501312468077578</v>
      </c>
    </row>
    <row r="162" spans="1:7" x14ac:dyDescent="0.25">
      <c r="A162" s="93">
        <f>2013</f>
        <v>2013</v>
      </c>
      <c r="B162" s="94" t="s">
        <v>21</v>
      </c>
      <c r="C162" s="95">
        <f t="shared" si="14"/>
        <v>223.45969897372635</v>
      </c>
      <c r="D162" s="102">
        <v>0.27</v>
      </c>
      <c r="E162" s="96">
        <f t="shared" si="20"/>
        <v>3.9656792697291054</v>
      </c>
      <c r="F162" s="97">
        <f t="shared" si="18"/>
        <v>5.9324450367150838</v>
      </c>
      <c r="G162" s="98">
        <f t="shared" si="17"/>
        <v>1.9448800706170919</v>
      </c>
    </row>
    <row r="163" spans="1:7" x14ac:dyDescent="0.25">
      <c r="A163" s="93">
        <f>2013</f>
        <v>2013</v>
      </c>
      <c r="B163" s="94" t="s">
        <v>22</v>
      </c>
      <c r="C163" s="95">
        <f t="shared" si="14"/>
        <v>224.53230552880021</v>
      </c>
      <c r="D163" s="102">
        <v>0.48</v>
      </c>
      <c r="E163" s="96">
        <f t="shared" si="20"/>
        <v>4.4647145302238123</v>
      </c>
      <c r="F163" s="97">
        <f t="shared" si="18"/>
        <v>5.7535228742089384</v>
      </c>
      <c r="G163" s="98">
        <f t="shared" si="17"/>
        <v>1.9355892422542715</v>
      </c>
    </row>
    <row r="164" spans="1:7" x14ac:dyDescent="0.25">
      <c r="A164" s="93">
        <f>2013</f>
        <v>2013</v>
      </c>
      <c r="B164" s="94" t="s">
        <v>23</v>
      </c>
      <c r="C164" s="95">
        <f t="shared" si="14"/>
        <v>225.81213967031437</v>
      </c>
      <c r="D164" s="102">
        <v>0.56999999999999995</v>
      </c>
      <c r="E164" s="96">
        <f t="shared" si="20"/>
        <v>5.0601634030460696</v>
      </c>
      <c r="F164" s="97">
        <f t="shared" si="18"/>
        <v>5.7850785305270769</v>
      </c>
      <c r="G164" s="98">
        <f t="shared" si="17"/>
        <v>1.9246189144419525</v>
      </c>
    </row>
    <row r="165" spans="1:7" x14ac:dyDescent="0.25">
      <c r="A165" s="93">
        <f>2013</f>
        <v>2013</v>
      </c>
      <c r="B165" s="94" t="s">
        <v>12</v>
      </c>
      <c r="C165" s="95">
        <f t="shared" si="14"/>
        <v>227.50573071784174</v>
      </c>
      <c r="D165" s="102">
        <v>0.75</v>
      </c>
      <c r="E165" s="96">
        <f t="shared" si="20"/>
        <v>5.8481146285689345</v>
      </c>
      <c r="F165" s="97">
        <f t="shared" si="18"/>
        <v>5.8481146285689345</v>
      </c>
      <c r="G165" s="98">
        <f t="shared" si="17"/>
        <v>1.9102917264932531</v>
      </c>
    </row>
    <row r="166" spans="1:7" x14ac:dyDescent="0.25">
      <c r="A166" s="93">
        <f>2014</f>
        <v>2014</v>
      </c>
      <c r="B166" s="94" t="s">
        <v>13</v>
      </c>
      <c r="C166" s="95">
        <f t="shared" si="14"/>
        <v>229.03001911365126</v>
      </c>
      <c r="D166" s="102">
        <v>0.67</v>
      </c>
      <c r="E166" s="96">
        <f t="shared" ref="E166:E177" si="21">100*((C166/$C$165)-1)</f>
        <v>0.66999999999999282</v>
      </c>
      <c r="F166" s="97">
        <f t="shared" si="18"/>
        <v>5.6277725977204041</v>
      </c>
      <c r="G166" s="98">
        <f t="shared" si="17"/>
        <v>1.8975779542001123</v>
      </c>
    </row>
    <row r="167" spans="1:7" x14ac:dyDescent="0.25">
      <c r="A167" s="93">
        <f>2014</f>
        <v>2014</v>
      </c>
      <c r="B167" s="94" t="s">
        <v>14</v>
      </c>
      <c r="C167" s="95">
        <f t="shared" si="14"/>
        <v>230.63322924744679</v>
      </c>
      <c r="D167" s="102">
        <v>0.7</v>
      </c>
      <c r="E167" s="96">
        <f t="shared" si="21"/>
        <v>1.3746899999999673</v>
      </c>
      <c r="F167" s="97">
        <f t="shared" si="18"/>
        <v>5.6487554687171704</v>
      </c>
      <c r="G167" s="98">
        <f t="shared" si="17"/>
        <v>1.884387243495643</v>
      </c>
    </row>
    <row r="168" spans="1:7" x14ac:dyDescent="0.25">
      <c r="A168" s="93">
        <f>2014</f>
        <v>2014</v>
      </c>
      <c r="B168" s="94" t="s">
        <v>15</v>
      </c>
      <c r="C168" s="95">
        <f t="shared" si="14"/>
        <v>232.31685182095316</v>
      </c>
      <c r="D168" s="102">
        <v>0.73</v>
      </c>
      <c r="E168" s="96">
        <f t="shared" si="21"/>
        <v>2.1147252369999814</v>
      </c>
      <c r="F168" s="97">
        <f t="shared" si="18"/>
        <v>5.9010761106963905</v>
      </c>
      <c r="G168" s="98">
        <f t="shared" si="17"/>
        <v>1.8707309078682051</v>
      </c>
    </row>
    <row r="169" spans="1:7" x14ac:dyDescent="0.25">
      <c r="A169" s="93">
        <f>2014</f>
        <v>2014</v>
      </c>
      <c r="B169" s="94" t="s">
        <v>16</v>
      </c>
      <c r="C169" s="95">
        <f t="shared" si="14"/>
        <v>234.1289232651566</v>
      </c>
      <c r="D169" s="102">
        <v>0.78</v>
      </c>
      <c r="E169" s="96">
        <f t="shared" si="21"/>
        <v>2.9112200938485877</v>
      </c>
      <c r="F169" s="97">
        <f t="shared" si="18"/>
        <v>6.1855581577552776</v>
      </c>
      <c r="G169" s="98">
        <f t="shared" si="17"/>
        <v>1.8562521411671018</v>
      </c>
    </row>
    <row r="170" spans="1:7" x14ac:dyDescent="0.25">
      <c r="A170" s="93">
        <f>2014</f>
        <v>2014</v>
      </c>
      <c r="B170" s="94" t="s">
        <v>17</v>
      </c>
      <c r="C170" s="95">
        <f t="shared" si="14"/>
        <v>235.48687102009453</v>
      </c>
      <c r="D170" s="102">
        <v>0.57999999999999996</v>
      </c>
      <c r="E170" s="96">
        <f t="shared" si="21"/>
        <v>3.5081051703929056</v>
      </c>
      <c r="F170" s="97">
        <f t="shared" si="18"/>
        <v>6.3123973671812328</v>
      </c>
      <c r="G170" s="98">
        <f t="shared" si="17"/>
        <v>1.845547962981807</v>
      </c>
    </row>
    <row r="171" spans="1:7" x14ac:dyDescent="0.25">
      <c r="A171" s="93">
        <f>2014</f>
        <v>2014</v>
      </c>
      <c r="B171" s="94" t="s">
        <v>18</v>
      </c>
      <c r="C171" s="95">
        <f t="shared" si="14"/>
        <v>236.59365931388896</v>
      </c>
      <c r="D171" s="102">
        <v>0.47</v>
      </c>
      <c r="E171" s="96">
        <f t="shared" si="21"/>
        <v>3.9945932646937576</v>
      </c>
      <c r="F171" s="97">
        <f t="shared" si="18"/>
        <v>6.4077163128182679</v>
      </c>
      <c r="G171" s="98">
        <f t="shared" si="17"/>
        <v>1.8369144649963245</v>
      </c>
    </row>
    <row r="172" spans="1:7" x14ac:dyDescent="0.25">
      <c r="A172" s="93">
        <f>2014</f>
        <v>2014</v>
      </c>
      <c r="B172" s="94" t="s">
        <v>19</v>
      </c>
      <c r="C172" s="95">
        <f t="shared" si="14"/>
        <v>236.99586853472258</v>
      </c>
      <c r="D172" s="102">
        <v>0.17</v>
      </c>
      <c r="E172" s="96">
        <f t="shared" si="21"/>
        <v>4.1713840732437335</v>
      </c>
      <c r="F172" s="97">
        <f t="shared" si="18"/>
        <v>6.5140495958329714</v>
      </c>
      <c r="G172" s="98">
        <f t="shared" si="17"/>
        <v>1.8337970100791898</v>
      </c>
    </row>
    <row r="173" spans="1:7" x14ac:dyDescent="0.25">
      <c r="A173" s="93">
        <f>2014</f>
        <v>2014</v>
      </c>
      <c r="B173" s="94" t="s">
        <v>20</v>
      </c>
      <c r="C173" s="95">
        <f t="shared" si="14"/>
        <v>237.32766275067121</v>
      </c>
      <c r="D173" s="102">
        <v>0.14000000000000001</v>
      </c>
      <c r="E173" s="96">
        <f t="shared" si="21"/>
        <v>4.3172240109462967</v>
      </c>
      <c r="F173" s="97">
        <f t="shared" si="18"/>
        <v>6.4927808159616074</v>
      </c>
      <c r="G173" s="98">
        <f t="shared" si="17"/>
        <v>1.8312332834823144</v>
      </c>
    </row>
    <row r="174" spans="1:7" x14ac:dyDescent="0.25">
      <c r="A174" s="93">
        <f>2014</f>
        <v>2014</v>
      </c>
      <c r="B174" s="94" t="s">
        <v>21</v>
      </c>
      <c r="C174" s="95">
        <f t="shared" si="14"/>
        <v>238.25324063539884</v>
      </c>
      <c r="D174" s="102">
        <v>0.39</v>
      </c>
      <c r="E174" s="96">
        <f t="shared" si="21"/>
        <v>4.7240611845889902</v>
      </c>
      <c r="F174" s="97">
        <f t="shared" si="18"/>
        <v>6.6202280454212392</v>
      </c>
      <c r="G174" s="98">
        <f t="shared" si="17"/>
        <v>1.8241192185300472</v>
      </c>
    </row>
    <row r="175" spans="1:7" x14ac:dyDescent="0.25">
      <c r="A175" s="93">
        <f>2014</f>
        <v>2014</v>
      </c>
      <c r="B175" s="94" t="s">
        <v>22</v>
      </c>
      <c r="C175" s="95">
        <f t="shared" ref="C175:C238" si="22">+C174*(1+D175/100)</f>
        <v>239.39685619044874</v>
      </c>
      <c r="D175" s="102">
        <v>0.48</v>
      </c>
      <c r="E175" s="96">
        <f t="shared" si="21"/>
        <v>5.2267366782750013</v>
      </c>
      <c r="F175" s="97">
        <f t="shared" si="18"/>
        <v>6.6202280454212392</v>
      </c>
      <c r="G175" s="98">
        <f t="shared" si="17"/>
        <v>1.8154052732185979</v>
      </c>
    </row>
    <row r="176" spans="1:7" x14ac:dyDescent="0.25">
      <c r="A176" s="93">
        <f>2014</f>
        <v>2014</v>
      </c>
      <c r="B176" s="94" t="s">
        <v>23</v>
      </c>
      <c r="C176" s="95">
        <f t="shared" si="22"/>
        <v>240.30656424397245</v>
      </c>
      <c r="D176" s="102">
        <v>0.38</v>
      </c>
      <c r="E176" s="96">
        <f t="shared" si="21"/>
        <v>5.6265982776524393</v>
      </c>
      <c r="F176" s="97">
        <f t="shared" si="18"/>
        <v>6.4187977647348626</v>
      </c>
      <c r="G176" s="98">
        <f t="shared" si="17"/>
        <v>1.8085328483946981</v>
      </c>
    </row>
    <row r="177" spans="1:7" x14ac:dyDescent="0.25">
      <c r="A177" s="93">
        <f>2014</f>
        <v>2014</v>
      </c>
      <c r="B177" s="94" t="s">
        <v>12</v>
      </c>
      <c r="C177" s="95">
        <f t="shared" si="22"/>
        <v>242.20498610149983</v>
      </c>
      <c r="D177" s="102">
        <v>0.79</v>
      </c>
      <c r="E177" s="96">
        <f t="shared" si="21"/>
        <v>6.4610484040459104</v>
      </c>
      <c r="F177" s="97">
        <f t="shared" si="18"/>
        <v>6.4610484040459104</v>
      </c>
      <c r="G177" s="98">
        <f t="shared" si="17"/>
        <v>1.794357424739258</v>
      </c>
    </row>
    <row r="178" spans="1:7" x14ac:dyDescent="0.25">
      <c r="A178" s="93">
        <f>2015</f>
        <v>2015</v>
      </c>
      <c r="B178" s="94" t="s">
        <v>13</v>
      </c>
      <c r="C178" s="95">
        <f t="shared" si="22"/>
        <v>244.36061047780316</v>
      </c>
      <c r="D178" s="102">
        <v>0.89</v>
      </c>
      <c r="E178" s="96">
        <f t="shared" ref="E178:E189" si="23">100*((C178/$C$177)-1)</f>
        <v>0.8899999999999908</v>
      </c>
      <c r="F178" s="97">
        <f t="shared" si="18"/>
        <v>6.6937039185873903</v>
      </c>
      <c r="G178" s="98">
        <f t="shared" si="17"/>
        <v>1.7785285209032193</v>
      </c>
    </row>
    <row r="179" spans="1:7" x14ac:dyDescent="0.25">
      <c r="A179" s="93">
        <f>2015</f>
        <v>2015</v>
      </c>
      <c r="B179" s="94" t="s">
        <v>14</v>
      </c>
      <c r="C179" s="95">
        <f t="shared" si="22"/>
        <v>247.61060659715795</v>
      </c>
      <c r="D179" s="102">
        <v>1.33</v>
      </c>
      <c r="E179" s="96">
        <f t="shared" si="23"/>
        <v>2.2318370000000032</v>
      </c>
      <c r="F179" s="97">
        <f t="shared" si="18"/>
        <v>7.3612017683263309</v>
      </c>
      <c r="G179" s="98">
        <f t="shared" si="17"/>
        <v>1.7551845661731169</v>
      </c>
    </row>
    <row r="180" spans="1:7" x14ac:dyDescent="0.25">
      <c r="A180" s="93">
        <f>2015</f>
        <v>2015</v>
      </c>
      <c r="B180" s="94" t="s">
        <v>15</v>
      </c>
      <c r="C180" s="95">
        <f t="shared" si="22"/>
        <v>250.68097811896271</v>
      </c>
      <c r="D180" s="102">
        <v>1.24</v>
      </c>
      <c r="E180" s="96">
        <f t="shared" si="23"/>
        <v>3.4995117787999908</v>
      </c>
      <c r="F180" s="97">
        <f t="shared" si="18"/>
        <v>7.9047758068634622</v>
      </c>
      <c r="G180" s="98">
        <f t="shared" si="17"/>
        <v>1.7336868492425097</v>
      </c>
    </row>
    <row r="181" spans="1:7" x14ac:dyDescent="0.25">
      <c r="A181" s="93">
        <f>2015</f>
        <v>2015</v>
      </c>
      <c r="B181" s="94" t="s">
        <v>16</v>
      </c>
      <c r="C181" s="95">
        <f t="shared" si="22"/>
        <v>253.3632645848356</v>
      </c>
      <c r="D181" s="102">
        <v>1.07</v>
      </c>
      <c r="E181" s="96">
        <f t="shared" si="23"/>
        <v>4.6069565548331637</v>
      </c>
      <c r="F181" s="97">
        <f t="shared" si="18"/>
        <v>8.2152777416123257</v>
      </c>
      <c r="G181" s="98">
        <f t="shared" si="17"/>
        <v>1.7153327884065597</v>
      </c>
    </row>
    <row r="182" spans="1:7" x14ac:dyDescent="0.25">
      <c r="A182" s="93">
        <f>2015</f>
        <v>2015</v>
      </c>
      <c r="B182" s="94" t="s">
        <v>17</v>
      </c>
      <c r="C182" s="95">
        <f t="shared" si="22"/>
        <v>254.88344417234461</v>
      </c>
      <c r="D182" s="102">
        <v>0.6</v>
      </c>
      <c r="E182" s="96">
        <f t="shared" si="23"/>
        <v>5.2345982941621516</v>
      </c>
      <c r="F182" s="97">
        <f t="shared" si="18"/>
        <v>8.2367959913123734</v>
      </c>
      <c r="G182" s="98">
        <f t="shared" si="17"/>
        <v>1.7051021753544331</v>
      </c>
    </row>
    <row r="183" spans="1:7" x14ac:dyDescent="0.25">
      <c r="A183" s="93">
        <f>2015</f>
        <v>2015</v>
      </c>
      <c r="B183" s="94" t="s">
        <v>18</v>
      </c>
      <c r="C183" s="95">
        <f t="shared" si="22"/>
        <v>257.40679026965086</v>
      </c>
      <c r="D183" s="102">
        <v>0.99</v>
      </c>
      <c r="E183" s="96">
        <f t="shared" si="23"/>
        <v>6.2764208172743752</v>
      </c>
      <c r="F183" s="97">
        <f t="shared" si="18"/>
        <v>8.7969943979559808</v>
      </c>
      <c r="G183" s="98">
        <f t="shared" si="17"/>
        <v>1.6883871426422743</v>
      </c>
    </row>
    <row r="184" spans="1:7" x14ac:dyDescent="0.25">
      <c r="A184" s="93">
        <f>2015</f>
        <v>2015</v>
      </c>
      <c r="B184" s="94" t="s">
        <v>19</v>
      </c>
      <c r="C184" s="95">
        <f t="shared" si="22"/>
        <v>258.92549033224179</v>
      </c>
      <c r="D184" s="102">
        <v>0.59</v>
      </c>
      <c r="E184" s="96">
        <f t="shared" si="23"/>
        <v>6.9034517000962969</v>
      </c>
      <c r="F184" s="97">
        <f t="shared" si="18"/>
        <v>9.2531662822241465</v>
      </c>
      <c r="G184" s="98">
        <f t="shared" si="17"/>
        <v>1.6784840865317372</v>
      </c>
    </row>
    <row r="185" spans="1:7" x14ac:dyDescent="0.25">
      <c r="A185" s="93">
        <f>2015</f>
        <v>2015</v>
      </c>
      <c r="B185" s="94" t="s">
        <v>20</v>
      </c>
      <c r="C185" s="95">
        <f t="shared" si="22"/>
        <v>260.03886994067045</v>
      </c>
      <c r="D185" s="102">
        <v>0.43</v>
      </c>
      <c r="E185" s="96">
        <f t="shared" si="23"/>
        <v>7.3631365424067008</v>
      </c>
      <c r="F185" s="97">
        <f t="shared" si="18"/>
        <v>9.5695575167143119</v>
      </c>
      <c r="G185" s="98">
        <f t="shared" si="17"/>
        <v>1.6712975072505596</v>
      </c>
    </row>
    <row r="186" spans="1:7" x14ac:dyDescent="0.25">
      <c r="A186" s="93">
        <f>2015</f>
        <v>2015</v>
      </c>
      <c r="B186" s="94" t="s">
        <v>21</v>
      </c>
      <c r="C186" s="95">
        <f t="shared" si="22"/>
        <v>261.05302153343905</v>
      </c>
      <c r="D186" s="102">
        <v>0.39</v>
      </c>
      <c r="E186" s="96">
        <f t="shared" si="23"/>
        <v>7.7818527749220934</v>
      </c>
      <c r="F186" s="97">
        <f t="shared" si="18"/>
        <v>9.5695575167142888</v>
      </c>
      <c r="G186" s="98">
        <f t="shared" si="17"/>
        <v>1.6648047686528138</v>
      </c>
    </row>
    <row r="187" spans="1:7" x14ac:dyDescent="0.25">
      <c r="A187" s="93">
        <f>2015</f>
        <v>2015</v>
      </c>
      <c r="B187" s="94" t="s">
        <v>22</v>
      </c>
      <c r="C187" s="95">
        <f t="shared" si="22"/>
        <v>262.77597147555974</v>
      </c>
      <c r="D187" s="102">
        <v>0.66</v>
      </c>
      <c r="E187" s="96">
        <f t="shared" si="23"/>
        <v>8.4932130032365762</v>
      </c>
      <c r="F187" s="97">
        <f t="shared" si="18"/>
        <v>9.7658405616287922</v>
      </c>
      <c r="G187" s="98">
        <f t="shared" si="17"/>
        <v>1.6538891005889269</v>
      </c>
    </row>
    <row r="188" spans="1:7" x14ac:dyDescent="0.25">
      <c r="A188" s="93">
        <f>2015</f>
        <v>2015</v>
      </c>
      <c r="B188" s="94" t="s">
        <v>23</v>
      </c>
      <c r="C188" s="95">
        <f t="shared" si="22"/>
        <v>265.00956723310196</v>
      </c>
      <c r="D188" s="102">
        <v>0.85</v>
      </c>
      <c r="E188" s="96">
        <f t="shared" si="23"/>
        <v>9.4154053137640581</v>
      </c>
      <c r="F188" s="97">
        <f t="shared" si="18"/>
        <v>10.279787015742791</v>
      </c>
      <c r="G188" s="98">
        <f t="shared" si="17"/>
        <v>1.639949529587434</v>
      </c>
    </row>
    <row r="189" spans="1:7" x14ac:dyDescent="0.25">
      <c r="A189" s="93">
        <f>2015</f>
        <v>2015</v>
      </c>
      <c r="B189" s="94" t="s">
        <v>12</v>
      </c>
      <c r="C189" s="95">
        <f t="shared" si="22"/>
        <v>268.13668012645257</v>
      </c>
      <c r="D189" s="102">
        <v>1.18</v>
      </c>
      <c r="E189" s="96">
        <f t="shared" si="23"/>
        <v>10.706507096466478</v>
      </c>
      <c r="F189" s="97">
        <f t="shared" si="18"/>
        <v>10.706507096466478</v>
      </c>
      <c r="G189" s="98">
        <f t="shared" si="17"/>
        <v>1.6208238086454179</v>
      </c>
    </row>
    <row r="190" spans="1:7" x14ac:dyDescent="0.25">
      <c r="A190" s="93">
        <f>2016</f>
        <v>2016</v>
      </c>
      <c r="B190" s="94" t="s">
        <v>13</v>
      </c>
      <c r="C190" s="95">
        <f t="shared" si="22"/>
        <v>270.60353758361595</v>
      </c>
      <c r="D190" s="102">
        <v>0.92</v>
      </c>
      <c r="E190" s="96">
        <f t="shared" ref="E190:E201" si="24">100*((C190/$C$189)-1)</f>
        <v>0.9200000000000097</v>
      </c>
      <c r="F190" s="97">
        <f t="shared" si="18"/>
        <v>10.739426069733371</v>
      </c>
      <c r="G190" s="98">
        <f t="shared" si="17"/>
        <v>1.6060481655226098</v>
      </c>
    </row>
    <row r="191" spans="1:7" x14ac:dyDescent="0.25">
      <c r="A191" s="93">
        <f>2016</f>
        <v>2016</v>
      </c>
      <c r="B191" s="94" t="s">
        <v>14</v>
      </c>
      <c r="C191" s="95">
        <f t="shared" si="22"/>
        <v>274.4461078173033</v>
      </c>
      <c r="D191" s="102">
        <v>1.42</v>
      </c>
      <c r="E191" s="96">
        <f t="shared" si="24"/>
        <v>2.3530640000000158</v>
      </c>
      <c r="F191" s="97">
        <f t="shared" si="18"/>
        <v>10.837783400694345</v>
      </c>
      <c r="G191" s="98">
        <f t="shared" si="17"/>
        <v>1.583561590931384</v>
      </c>
    </row>
    <row r="192" spans="1:7" x14ac:dyDescent="0.25">
      <c r="A192" s="93">
        <f>2016</f>
        <v>2016</v>
      </c>
      <c r="B192" s="94" t="s">
        <v>15</v>
      </c>
      <c r="C192" s="95">
        <f t="shared" si="22"/>
        <v>275.62622608091772</v>
      </c>
      <c r="D192" s="102">
        <v>0.43</v>
      </c>
      <c r="E192" s="96">
        <f t="shared" si="24"/>
        <v>2.7931821752000152</v>
      </c>
      <c r="F192" s="97">
        <f t="shared" si="18"/>
        <v>9.9509935493059309</v>
      </c>
      <c r="G192" s="98">
        <f t="shared" si="17"/>
        <v>1.5767814307790342</v>
      </c>
    </row>
    <row r="193" spans="1:7" x14ac:dyDescent="0.25">
      <c r="A193" s="93">
        <f>2016</f>
        <v>2016</v>
      </c>
      <c r="B193" s="94" t="s">
        <v>16</v>
      </c>
      <c r="C193" s="95">
        <f t="shared" si="22"/>
        <v>277.03191983393043</v>
      </c>
      <c r="D193" s="102">
        <v>0.51</v>
      </c>
      <c r="E193" s="96">
        <f t="shared" si="24"/>
        <v>3.3174274042935492</v>
      </c>
      <c r="F193" s="97">
        <f t="shared" si="18"/>
        <v>9.3417865008483361</v>
      </c>
      <c r="G193" s="98">
        <f t="shared" si="17"/>
        <v>1.5687806494667536</v>
      </c>
    </row>
    <row r="194" spans="1:7" x14ac:dyDescent="0.25">
      <c r="A194" s="93">
        <f>2016</f>
        <v>2016</v>
      </c>
      <c r="B194" s="94" t="s">
        <v>17</v>
      </c>
      <c r="C194" s="95">
        <f t="shared" si="22"/>
        <v>279.41439434450223</v>
      </c>
      <c r="D194" s="102">
        <v>0.86</v>
      </c>
      <c r="E194" s="96">
        <f t="shared" si="24"/>
        <v>4.2059572799704625</v>
      </c>
      <c r="F194" s="97">
        <f t="shared" si="18"/>
        <v>9.6243795872322337</v>
      </c>
      <c r="G194" s="98">
        <f t="shared" si="17"/>
        <v>1.5554041735740172</v>
      </c>
    </row>
    <row r="195" spans="1:7" x14ac:dyDescent="0.25">
      <c r="A195" s="93">
        <f>2016</f>
        <v>2016</v>
      </c>
      <c r="B195" s="94" t="s">
        <v>18</v>
      </c>
      <c r="C195" s="95">
        <f t="shared" si="22"/>
        <v>280.53205192188022</v>
      </c>
      <c r="D195" s="102">
        <v>0.4</v>
      </c>
      <c r="E195" s="96">
        <f t="shared" si="24"/>
        <v>4.6227811090903348</v>
      </c>
      <c r="F195" s="97">
        <f t="shared" si="18"/>
        <v>8.9839361378167624</v>
      </c>
      <c r="G195" s="98">
        <f t="shared" si="17"/>
        <v>1.5492073441972283</v>
      </c>
    </row>
    <row r="196" spans="1:7" x14ac:dyDescent="0.25">
      <c r="A196" s="93">
        <f>2016</f>
        <v>2016</v>
      </c>
      <c r="B196" s="94" t="s">
        <v>19</v>
      </c>
      <c r="C196" s="95">
        <f t="shared" si="22"/>
        <v>282.04692500225838</v>
      </c>
      <c r="D196" s="102">
        <v>0.54</v>
      </c>
      <c r="E196" s="96">
        <f t="shared" si="24"/>
        <v>5.18774412707943</v>
      </c>
      <c r="F196" s="97">
        <f t="shared" si="18"/>
        <v>8.9297637866199153</v>
      </c>
      <c r="G196" s="98">
        <f t="shared" si="17"/>
        <v>1.5408865567905592</v>
      </c>
    </row>
    <row r="197" spans="1:7" x14ac:dyDescent="0.25">
      <c r="A197" s="93">
        <f>2016</f>
        <v>2016</v>
      </c>
      <c r="B197" s="94" t="s">
        <v>20</v>
      </c>
      <c r="C197" s="95">
        <f t="shared" si="22"/>
        <v>283.31613616476852</v>
      </c>
      <c r="D197" s="102">
        <v>0.45</v>
      </c>
      <c r="E197" s="96">
        <f t="shared" si="24"/>
        <v>5.6610889756512739</v>
      </c>
      <c r="F197" s="97">
        <f t="shared" si="18"/>
        <v>8.9514564608779157</v>
      </c>
      <c r="G197" s="98">
        <f t="shared" ref="G197:G260" si="25">+$C$301/C197</f>
        <v>1.5339836304535184</v>
      </c>
    </row>
    <row r="198" spans="1:7" x14ac:dyDescent="0.25">
      <c r="A198" s="93">
        <f>2016</f>
        <v>2016</v>
      </c>
      <c r="B198" s="94" t="s">
        <v>21</v>
      </c>
      <c r="C198" s="95">
        <f t="shared" si="22"/>
        <v>283.96776327794748</v>
      </c>
      <c r="D198" s="102">
        <v>0.23</v>
      </c>
      <c r="E198" s="96">
        <f t="shared" si="24"/>
        <v>5.904109480295272</v>
      </c>
      <c r="F198" s="97">
        <f t="shared" ref="F198:F261" si="26">100*((C198/$C186)-1)</f>
        <v>8.7778113464866525</v>
      </c>
      <c r="G198" s="98">
        <f t="shared" si="25"/>
        <v>1.5304635642557303</v>
      </c>
    </row>
    <row r="199" spans="1:7" x14ac:dyDescent="0.25">
      <c r="A199" s="93">
        <f>2016</f>
        <v>2016</v>
      </c>
      <c r="B199" s="94" t="s">
        <v>22</v>
      </c>
      <c r="C199" s="95">
        <f t="shared" si="22"/>
        <v>284.50730202817556</v>
      </c>
      <c r="D199" s="102">
        <v>0.19</v>
      </c>
      <c r="E199" s="96">
        <f t="shared" si="24"/>
        <v>6.105327288307838</v>
      </c>
      <c r="F199" s="97">
        <f t="shared" si="26"/>
        <v>8.2699077965874714</v>
      </c>
      <c r="G199" s="98">
        <f t="shared" si="25"/>
        <v>1.5275611979795694</v>
      </c>
    </row>
    <row r="200" spans="1:7" x14ac:dyDescent="0.25">
      <c r="A200" s="93">
        <f>2016</f>
        <v>2016</v>
      </c>
      <c r="B200" s="94" t="s">
        <v>23</v>
      </c>
      <c r="C200" s="95">
        <f t="shared" si="22"/>
        <v>285.24702101344877</v>
      </c>
      <c r="D200" s="102">
        <v>0.26</v>
      </c>
      <c r="E200" s="96">
        <f t="shared" si="24"/>
        <v>6.3812011392574197</v>
      </c>
      <c r="F200" s="97">
        <f t="shared" si="26"/>
        <v>7.6364993127006509</v>
      </c>
      <c r="G200" s="98">
        <f t="shared" si="25"/>
        <v>1.5235998383997302</v>
      </c>
    </row>
    <row r="201" spans="1:7" x14ac:dyDescent="0.25">
      <c r="A201" s="93">
        <f>2016</f>
        <v>2016</v>
      </c>
      <c r="B201" s="94" t="s">
        <v>12</v>
      </c>
      <c r="C201" s="95">
        <f t="shared" si="22"/>
        <v>285.7890757773028</v>
      </c>
      <c r="D201" s="102">
        <v>0.19002994735166645</v>
      </c>
      <c r="E201" s="96">
        <f t="shared" si="24"/>
        <v>6.5833572797743933</v>
      </c>
      <c r="F201" s="97">
        <f t="shared" si="26"/>
        <v>6.5833572797743933</v>
      </c>
      <c r="G201" s="98">
        <f t="shared" si="25"/>
        <v>1.5207100339228952</v>
      </c>
    </row>
    <row r="202" spans="1:7" x14ac:dyDescent="0.25">
      <c r="A202" s="93">
        <f>2017</f>
        <v>2017</v>
      </c>
      <c r="B202" s="94" t="s">
        <v>13</v>
      </c>
      <c r="C202" s="95">
        <f t="shared" si="22"/>
        <v>286.67502130247703</v>
      </c>
      <c r="D202" s="102">
        <v>0.30999978664845163</v>
      </c>
      <c r="E202" s="96">
        <f t="shared" ref="E202:E213" si="27">100*((C202/$C$201)-1)</f>
        <v>0.30999978664845163</v>
      </c>
      <c r="F202" s="97">
        <f t="shared" si="26"/>
        <v>5.9391255052957392</v>
      </c>
      <c r="G202" s="98">
        <f t="shared" si="25"/>
        <v>1.5160104049021301</v>
      </c>
    </row>
    <row r="203" spans="1:7" x14ac:dyDescent="0.25">
      <c r="A203" s="93">
        <f>2017</f>
        <v>2017</v>
      </c>
      <c r="B203" s="94" t="s">
        <v>14</v>
      </c>
      <c r="C203" s="95">
        <f t="shared" si="22"/>
        <v>288.22313946381047</v>
      </c>
      <c r="D203" s="102">
        <v>0.54002548052485277</v>
      </c>
      <c r="E203" s="96">
        <f t="shared" si="27"/>
        <v>0.85169934501079236</v>
      </c>
      <c r="F203" s="97">
        <f t="shared" si="26"/>
        <v>5.0199406200646335</v>
      </c>
      <c r="G203" s="98">
        <f t="shared" si="25"/>
        <v>1.5078675359951939</v>
      </c>
    </row>
    <row r="204" spans="1:7" x14ac:dyDescent="0.25">
      <c r="A204" s="93">
        <f>2017</f>
        <v>2017</v>
      </c>
      <c r="B204" s="94" t="s">
        <v>15</v>
      </c>
      <c r="C204" s="95">
        <f t="shared" si="22"/>
        <v>288.65544185703033</v>
      </c>
      <c r="D204" s="102">
        <v>0.14998878786209868</v>
      </c>
      <c r="E204" s="96">
        <f t="shared" si="27"/>
        <v>1.002965586396698</v>
      </c>
      <c r="F204" s="97">
        <f t="shared" si="26"/>
        <v>4.7271320880355905</v>
      </c>
      <c r="G204" s="98">
        <f t="shared" si="25"/>
        <v>1.505609290869879</v>
      </c>
    </row>
    <row r="205" spans="1:7" x14ac:dyDescent="0.25">
      <c r="A205" s="93">
        <f>2017</f>
        <v>2017</v>
      </c>
      <c r="B205" s="94" t="s">
        <v>16</v>
      </c>
      <c r="C205" s="95">
        <f t="shared" si="22"/>
        <v>289.26151883708758</v>
      </c>
      <c r="D205" s="102">
        <v>0.20996554790657651</v>
      </c>
      <c r="E205" s="96">
        <f t="shared" si="27"/>
        <v>1.2150370164920599</v>
      </c>
      <c r="F205" s="97">
        <f t="shared" si="26"/>
        <v>4.4145089888877331</v>
      </c>
      <c r="G205" s="98">
        <f t="shared" si="25"/>
        <v>1.5024546537241392</v>
      </c>
    </row>
    <row r="206" spans="1:7" x14ac:dyDescent="0.25">
      <c r="A206" s="93">
        <f>2017</f>
        <v>2017</v>
      </c>
      <c r="B206" s="94" t="s">
        <v>17</v>
      </c>
      <c r="C206" s="95">
        <f t="shared" si="22"/>
        <v>289.95600744904448</v>
      </c>
      <c r="D206" s="102">
        <v>0.24009021827340327</v>
      </c>
      <c r="E206" s="96">
        <f t="shared" si="27"/>
        <v>1.4580444197904496</v>
      </c>
      <c r="F206" s="97">
        <f t="shared" si="26"/>
        <v>3.7727523412931285</v>
      </c>
      <c r="G206" s="98">
        <f t="shared" si="25"/>
        <v>1.4988560469693666</v>
      </c>
    </row>
    <row r="207" spans="1:7" x14ac:dyDescent="0.25">
      <c r="A207" s="93">
        <f>2017</f>
        <v>2017</v>
      </c>
      <c r="B207" s="94" t="s">
        <v>18</v>
      </c>
      <c r="C207" s="95">
        <f t="shared" si="22"/>
        <v>290.42001608266986</v>
      </c>
      <c r="D207" s="102">
        <v>0.16002725299868459</v>
      </c>
      <c r="E207" s="96">
        <f t="shared" si="27"/>
        <v>1.6204049412216426</v>
      </c>
      <c r="F207" s="97">
        <f t="shared" si="26"/>
        <v>3.5247181536115946</v>
      </c>
      <c r="G207" s="98">
        <f t="shared" si="25"/>
        <v>1.4964613010570964</v>
      </c>
    </row>
    <row r="208" spans="1:7" x14ac:dyDescent="0.25">
      <c r="A208" s="93">
        <f>2017</f>
        <v>2017</v>
      </c>
      <c r="B208" s="94" t="s">
        <v>19</v>
      </c>
      <c r="C208" s="95">
        <f t="shared" si="22"/>
        <v>289.89747285137298</v>
      </c>
      <c r="D208" s="102">
        <v>-0.17992672762201511</v>
      </c>
      <c r="E208" s="96">
        <f t="shared" si="27"/>
        <v>1.4375626720146473</v>
      </c>
      <c r="F208" s="97">
        <f t="shared" si="26"/>
        <v>2.7834190530713121</v>
      </c>
      <c r="G208" s="98">
        <f t="shared" si="25"/>
        <v>1.4991586882266839</v>
      </c>
    </row>
    <row r="209" spans="1:7" x14ac:dyDescent="0.25">
      <c r="A209" s="93">
        <f>2017</f>
        <v>2017</v>
      </c>
      <c r="B209" s="94" t="s">
        <v>20</v>
      </c>
      <c r="C209" s="95">
        <f t="shared" si="22"/>
        <v>290.91207254434613</v>
      </c>
      <c r="D209" s="102">
        <v>0.34998569769986165</v>
      </c>
      <c r="E209" s="96">
        <f t="shared" si="27"/>
        <v>1.7925796334620436</v>
      </c>
      <c r="F209" s="97">
        <f t="shared" si="26"/>
        <v>2.6810814528262616</v>
      </c>
      <c r="G209" s="98">
        <f t="shared" si="25"/>
        <v>1.4939301463807246</v>
      </c>
    </row>
    <row r="210" spans="1:7" x14ac:dyDescent="0.25">
      <c r="A210" s="93">
        <f>2017</f>
        <v>2017</v>
      </c>
      <c r="B210" s="94" t="s">
        <v>21</v>
      </c>
      <c r="C210" s="95">
        <f t="shared" si="22"/>
        <v>291.23218362536227</v>
      </c>
      <c r="D210" s="102">
        <v>0.11003705628866989</v>
      </c>
      <c r="E210" s="96">
        <f t="shared" si="27"/>
        <v>1.9045891916110058</v>
      </c>
      <c r="F210" s="97">
        <f t="shared" si="26"/>
        <v>2.558184867028146</v>
      </c>
      <c r="G210" s="98">
        <f t="shared" si="25"/>
        <v>1.4922880765099864</v>
      </c>
    </row>
    <row r="211" spans="1:7" x14ac:dyDescent="0.25">
      <c r="A211" s="93">
        <f>2017</f>
        <v>2017</v>
      </c>
      <c r="B211" s="94" t="s">
        <v>22</v>
      </c>
      <c r="C211" s="95">
        <f t="shared" si="22"/>
        <v>292.22239390263894</v>
      </c>
      <c r="D211" s="102">
        <v>0.34000716024931155</v>
      </c>
      <c r="E211" s="96">
        <f t="shared" si="27"/>
        <v>2.2510720914851179</v>
      </c>
      <c r="F211" s="97">
        <f t="shared" si="26"/>
        <v>2.7117377372969376</v>
      </c>
      <c r="G211" s="98">
        <f t="shared" si="25"/>
        <v>1.4872313833172328</v>
      </c>
    </row>
    <row r="212" spans="1:7" x14ac:dyDescent="0.25">
      <c r="A212" s="93">
        <f>2017</f>
        <v>2017</v>
      </c>
      <c r="B212" s="94" t="s">
        <v>23</v>
      </c>
      <c r="C212" s="95">
        <f t="shared" si="22"/>
        <v>293.15772799459853</v>
      </c>
      <c r="D212" s="102">
        <v>0.32007611718876117</v>
      </c>
      <c r="E212" s="96">
        <f t="shared" si="27"/>
        <v>2.578353352819418</v>
      </c>
      <c r="F212" s="97">
        <f t="shared" si="26"/>
        <v>2.773282943689992</v>
      </c>
      <c r="G212" s="98">
        <f t="shared" si="25"/>
        <v>1.4824862987343885</v>
      </c>
    </row>
    <row r="213" spans="1:7" x14ac:dyDescent="0.25">
      <c r="A213" s="93">
        <f>2017</f>
        <v>2017</v>
      </c>
      <c r="B213" s="94" t="s">
        <v>12</v>
      </c>
      <c r="C213" s="95">
        <f t="shared" si="22"/>
        <v>294.18391266002749</v>
      </c>
      <c r="D213" s="102">
        <v>0.3500452375752694</v>
      </c>
      <c r="E213" s="96">
        <f t="shared" si="27"/>
        <v>2.93742399351411</v>
      </c>
      <c r="F213" s="97">
        <f t="shared" si="26"/>
        <v>2.93742399351411</v>
      </c>
      <c r="G213" s="98">
        <f t="shared" si="25"/>
        <v>1.4773150278354668</v>
      </c>
    </row>
    <row r="214" spans="1:7" x14ac:dyDescent="0.25">
      <c r="A214" s="93">
        <f>2018</f>
        <v>2018</v>
      </c>
      <c r="B214" s="94" t="s">
        <v>13</v>
      </c>
      <c r="C214" s="95">
        <f t="shared" si="22"/>
        <v>295.33143466854642</v>
      </c>
      <c r="D214" s="102">
        <v>0.39006959902836424</v>
      </c>
      <c r="E214" s="96">
        <f t="shared" ref="E214:E225" si="28">100*((C214/$C$213)-1)</f>
        <v>0.39006959902836424</v>
      </c>
      <c r="F214" s="97">
        <f t="shared" si="26"/>
        <v>3.0195910779878599</v>
      </c>
      <c r="G214" s="98">
        <f t="shared" si="25"/>
        <v>1.4715748616731359</v>
      </c>
    </row>
    <row r="215" spans="1:7" x14ac:dyDescent="0.25">
      <c r="A215" s="93">
        <f>2018</f>
        <v>2018</v>
      </c>
      <c r="B215" s="94" t="s">
        <v>14</v>
      </c>
      <c r="C215" s="95">
        <f t="shared" si="22"/>
        <v>296.45395752597642</v>
      </c>
      <c r="D215" s="102">
        <v>0.38008918985878992</v>
      </c>
      <c r="E215" s="96">
        <f t="shared" si="28"/>
        <v>0.77164140126597669</v>
      </c>
      <c r="F215" s="97">
        <f t="shared" si="26"/>
        <v>2.855710362977093</v>
      </c>
      <c r="G215" s="98">
        <f t="shared" si="25"/>
        <v>1.4660027437212184</v>
      </c>
    </row>
    <row r="216" spans="1:7" x14ac:dyDescent="0.25">
      <c r="A216" s="93">
        <f>2018</f>
        <v>2018</v>
      </c>
      <c r="B216" s="94" t="s">
        <v>15</v>
      </c>
      <c r="C216" s="95">
        <f t="shared" si="22"/>
        <v>296.75028892668848</v>
      </c>
      <c r="D216" s="102">
        <v>9.9958659073084988E-2</v>
      </c>
      <c r="E216" s="96">
        <f t="shared" si="28"/>
        <v>0.87237138273663639</v>
      </c>
      <c r="F216" s="97">
        <f t="shared" si="26"/>
        <v>2.8043285855208211</v>
      </c>
      <c r="G216" s="98">
        <f t="shared" si="25"/>
        <v>1.464538810364773</v>
      </c>
    </row>
    <row r="217" spans="1:7" x14ac:dyDescent="0.25">
      <c r="A217" s="93">
        <f>2018</f>
        <v>2018</v>
      </c>
      <c r="B217" s="94" t="s">
        <v>16</v>
      </c>
      <c r="C217" s="95">
        <f t="shared" si="22"/>
        <v>297.37343849773333</v>
      </c>
      <c r="D217" s="102">
        <v>0.2099912263939796</v>
      </c>
      <c r="E217" s="96">
        <f t="shared" si="28"/>
        <v>1.0841945124959285</v>
      </c>
      <c r="F217" s="97">
        <f t="shared" si="26"/>
        <v>2.8043549288055747</v>
      </c>
      <c r="G217" s="98">
        <f t="shared" si="25"/>
        <v>1.4614698518993909</v>
      </c>
    </row>
    <row r="218" spans="1:7" x14ac:dyDescent="0.25">
      <c r="A218" s="93">
        <f>2018</f>
        <v>2018</v>
      </c>
      <c r="B218" s="94" t="s">
        <v>17</v>
      </c>
      <c r="C218" s="95">
        <f t="shared" si="22"/>
        <v>297.78988777075051</v>
      </c>
      <c r="D218" s="102">
        <v>0.1400425253583526</v>
      </c>
      <c r="E218" s="96">
        <f t="shared" si="28"/>
        <v>1.2257553712293756</v>
      </c>
      <c r="F218" s="97">
        <f t="shared" si="26"/>
        <v>2.7017478929394878</v>
      </c>
      <c r="G218" s="98">
        <f t="shared" si="25"/>
        <v>1.4594260348244856</v>
      </c>
    </row>
    <row r="219" spans="1:7" x14ac:dyDescent="0.25">
      <c r="A219" s="93">
        <f>2018</f>
        <v>2018</v>
      </c>
      <c r="B219" s="94" t="s">
        <v>18</v>
      </c>
      <c r="C219" s="95">
        <f t="shared" si="22"/>
        <v>301.09526333301454</v>
      </c>
      <c r="D219" s="102">
        <v>1.109969041261949</v>
      </c>
      <c r="E219" s="96">
        <f t="shared" si="28"/>
        <v>2.3493299176335691</v>
      </c>
      <c r="F219" s="97">
        <f t="shared" si="26"/>
        <v>3.6757959710689958</v>
      </c>
      <c r="G219" s="98">
        <f t="shared" si="25"/>
        <v>1.4434046896294754</v>
      </c>
    </row>
    <row r="220" spans="1:7" x14ac:dyDescent="0.25">
      <c r="A220" s="93">
        <f>2018</f>
        <v>2018</v>
      </c>
      <c r="B220" s="94" t="s">
        <v>19</v>
      </c>
      <c r="C220" s="95">
        <f t="shared" si="22"/>
        <v>303.02202717303555</v>
      </c>
      <c r="D220" s="102">
        <v>0.63991834965866357</v>
      </c>
      <c r="E220" s="96">
        <f t="shared" si="28"/>
        <v>3.0042820605291842</v>
      </c>
      <c r="F220" s="97">
        <f t="shared" si="26"/>
        <v>4.5273089801618926</v>
      </c>
      <c r="G220" s="98">
        <f t="shared" si="25"/>
        <v>1.4342268091023058</v>
      </c>
    </row>
    <row r="221" spans="1:7" x14ac:dyDescent="0.25">
      <c r="A221" s="93">
        <f>2018</f>
        <v>2018</v>
      </c>
      <c r="B221" s="94" t="s">
        <v>20</v>
      </c>
      <c r="C221" s="95">
        <f t="shared" si="22"/>
        <v>303.41591623653358</v>
      </c>
      <c r="D221" s="102">
        <v>0.12998694094046304</v>
      </c>
      <c r="E221" s="96">
        <f t="shared" si="28"/>
        <v>3.1381741758173654</v>
      </c>
      <c r="F221" s="97">
        <f t="shared" si="26"/>
        <v>4.2981522158319407</v>
      </c>
      <c r="G221" s="98">
        <f t="shared" si="25"/>
        <v>1.432364921757409</v>
      </c>
    </row>
    <row r="222" spans="1:7" x14ac:dyDescent="0.25">
      <c r="A222" s="93">
        <f>2018</f>
        <v>2018</v>
      </c>
      <c r="B222" s="94" t="s">
        <v>21</v>
      </c>
      <c r="C222" s="95">
        <f t="shared" si="22"/>
        <v>303.68907769233408</v>
      </c>
      <c r="D222" s="102">
        <v>9.002871674916868E-2</v>
      </c>
      <c r="E222" s="96">
        <f t="shared" si="28"/>
        <v>3.2310281505063765</v>
      </c>
      <c r="F222" s="97">
        <f t="shared" si="26"/>
        <v>4.2773068250575585</v>
      </c>
      <c r="G222" s="98">
        <f t="shared" si="25"/>
        <v>1.4310765419110281</v>
      </c>
    </row>
    <row r="223" spans="1:7" x14ac:dyDescent="0.25">
      <c r="A223" s="93">
        <f>2018</f>
        <v>2018</v>
      </c>
      <c r="B223" s="94" t="s">
        <v>22</v>
      </c>
      <c r="C223" s="95">
        <f t="shared" si="22"/>
        <v>305.45060324101155</v>
      </c>
      <c r="D223" s="102">
        <v>0.58004244408884631</v>
      </c>
      <c r="E223" s="96">
        <f t="shared" si="28"/>
        <v>3.8298119292486055</v>
      </c>
      <c r="F223" s="97">
        <f t="shared" si="26"/>
        <v>4.526760992444645</v>
      </c>
      <c r="G223" s="98">
        <f t="shared" si="25"/>
        <v>1.4228235613506977</v>
      </c>
    </row>
    <row r="224" spans="1:7" x14ac:dyDescent="0.25">
      <c r="A224" s="93">
        <f>2018</f>
        <v>2018</v>
      </c>
      <c r="B224" s="94" t="s">
        <v>23</v>
      </c>
      <c r="C224" s="95">
        <f t="shared" si="22"/>
        <v>306.03107133458752</v>
      </c>
      <c r="D224" s="102">
        <v>0.19003664992534031</v>
      </c>
      <c r="E224" s="96">
        <f t="shared" si="28"/>
        <v>4.0271266254627403</v>
      </c>
      <c r="F224" s="97">
        <f t="shared" si="26"/>
        <v>4.3912686280015656</v>
      </c>
      <c r="G224" s="98">
        <f t="shared" si="25"/>
        <v>1.4201248037488943</v>
      </c>
    </row>
    <row r="225" spans="1:7" x14ac:dyDescent="0.25">
      <c r="A225" s="93">
        <f>2018</f>
        <v>2018</v>
      </c>
      <c r="B225" s="94" t="s">
        <v>12</v>
      </c>
      <c r="C225" s="95">
        <f t="shared" si="22"/>
        <v>305.54145381448092</v>
      </c>
      <c r="D225" s="102">
        <v>-0.15998948014376291</v>
      </c>
      <c r="E225" s="96">
        <f t="shared" si="28"/>
        <v>3.8606941663661631</v>
      </c>
      <c r="F225" s="97">
        <f t="shared" si="26"/>
        <v>3.8606941663661631</v>
      </c>
      <c r="G225" s="98">
        <f t="shared" si="25"/>
        <v>1.4224004949062572</v>
      </c>
    </row>
    <row r="226" spans="1:7" x14ac:dyDescent="0.25">
      <c r="A226" s="93">
        <f>2019</f>
        <v>2019</v>
      </c>
      <c r="B226" s="94" t="s">
        <v>13</v>
      </c>
      <c r="C226" s="95">
        <f t="shared" si="22"/>
        <v>306.45788610927576</v>
      </c>
      <c r="D226" s="102">
        <v>0.2999371389229788</v>
      </c>
      <c r="E226" s="96">
        <f t="shared" ref="E226:E237" si="29">100*((C226/$C$225)-1)</f>
        <v>0.2999371389229788</v>
      </c>
      <c r="F226" s="97">
        <f t="shared" si="26"/>
        <v>3.7674457015443252</v>
      </c>
      <c r="G226" s="98">
        <f t="shared" si="25"/>
        <v>1.4181469455321045</v>
      </c>
    </row>
    <row r="227" spans="1:7" x14ac:dyDescent="0.25">
      <c r="A227" s="99">
        <f>2019</f>
        <v>2019</v>
      </c>
      <c r="B227" s="100" t="s">
        <v>14</v>
      </c>
      <c r="C227" s="101">
        <f t="shared" si="22"/>
        <v>307.4999238949074</v>
      </c>
      <c r="D227" s="102">
        <v>0.34002642218189383</v>
      </c>
      <c r="E227" s="102">
        <f t="shared" si="29"/>
        <v>0.6409834266271508</v>
      </c>
      <c r="F227" s="103">
        <f t="shared" si="26"/>
        <v>3.7260310036384192</v>
      </c>
      <c r="G227" s="98">
        <f t="shared" si="25"/>
        <v>1.4133412119758011</v>
      </c>
    </row>
    <row r="228" spans="1:7" x14ac:dyDescent="0.25">
      <c r="A228" s="99">
        <f>2019</f>
        <v>2019</v>
      </c>
      <c r="B228" s="100" t="s">
        <v>15</v>
      </c>
      <c r="C228" s="101">
        <f t="shared" si="22"/>
        <v>309.16023336844449</v>
      </c>
      <c r="D228" s="102">
        <v>0.53993817380733056</v>
      </c>
      <c r="E228" s="102">
        <f t="shared" si="29"/>
        <v>1.1843825146426123</v>
      </c>
      <c r="F228" s="103">
        <f t="shared" si="26"/>
        <v>4.1819485624230879</v>
      </c>
      <c r="G228" s="98">
        <f t="shared" si="25"/>
        <v>1.405751025560114</v>
      </c>
    </row>
    <row r="229" spans="1:7" x14ac:dyDescent="0.25">
      <c r="A229" s="99">
        <f>2019</f>
        <v>2019</v>
      </c>
      <c r="B229" s="100" t="s">
        <v>16</v>
      </c>
      <c r="C229" s="101">
        <f t="shared" si="22"/>
        <v>311.38637728613975</v>
      </c>
      <c r="D229" s="102">
        <v>0.72006153360681946</v>
      </c>
      <c r="E229" s="102">
        <f t="shared" si="29"/>
        <v>1.912972331148155</v>
      </c>
      <c r="F229" s="103">
        <f t="shared" si="26"/>
        <v>4.7122361900231446</v>
      </c>
      <c r="G229" s="98">
        <f t="shared" si="25"/>
        <v>1.3957011186803765</v>
      </c>
    </row>
    <row r="230" spans="1:7" x14ac:dyDescent="0.25">
      <c r="A230" s="99">
        <f>2019</f>
        <v>2019</v>
      </c>
      <c r="B230" s="100" t="s">
        <v>17</v>
      </c>
      <c r="C230" s="101">
        <f t="shared" si="22"/>
        <v>312.47597443237953</v>
      </c>
      <c r="D230" s="102">
        <v>0.34991805220769834</v>
      </c>
      <c r="E230" s="102">
        <f t="shared" si="29"/>
        <v>2.269584218876286</v>
      </c>
      <c r="F230" s="103">
        <f t="shared" si="26"/>
        <v>4.9316942128454277</v>
      </c>
      <c r="G230" s="98">
        <f t="shared" si="25"/>
        <v>1.3908343382545203</v>
      </c>
    </row>
    <row r="231" spans="1:7" x14ac:dyDescent="0.25">
      <c r="A231" s="99">
        <f>2019</f>
        <v>2019</v>
      </c>
      <c r="B231" s="100" t="s">
        <v>18</v>
      </c>
      <c r="C231" s="101">
        <f t="shared" si="22"/>
        <v>312.66316319785</v>
      </c>
      <c r="D231" s="102">
        <v>5.990501055657127E-2</v>
      </c>
      <c r="E231" s="102">
        <f t="shared" si="29"/>
        <v>2.3308488240987524</v>
      </c>
      <c r="F231" s="103">
        <f t="shared" si="26"/>
        <v>3.8419401676343279</v>
      </c>
      <c r="G231" s="98">
        <f t="shared" si="25"/>
        <v>1.3900016576147898</v>
      </c>
    </row>
    <row r="232" spans="1:7" x14ac:dyDescent="0.25">
      <c r="A232" s="99">
        <f>2019</f>
        <v>2019</v>
      </c>
      <c r="B232" s="100" t="s">
        <v>19</v>
      </c>
      <c r="C232" s="101">
        <f t="shared" si="22"/>
        <v>312.94486094914419</v>
      </c>
      <c r="D232" s="102">
        <v>9.0096239164560998E-2</v>
      </c>
      <c r="E232" s="102">
        <f t="shared" si="29"/>
        <v>2.4230450703944362</v>
      </c>
      <c r="F232" s="103">
        <f t="shared" si="26"/>
        <v>3.2746245771903437</v>
      </c>
      <c r="G232" s="98">
        <f t="shared" si="25"/>
        <v>1.3887504456918405</v>
      </c>
    </row>
    <row r="233" spans="1:7" x14ac:dyDescent="0.25">
      <c r="A233" s="99">
        <f>2019</f>
        <v>2019</v>
      </c>
      <c r="B233" s="100" t="s">
        <v>20</v>
      </c>
      <c r="C233" s="101">
        <f t="shared" si="22"/>
        <v>313.19546219542542</v>
      </c>
      <c r="D233" s="102">
        <v>8.0078402796313064E-2</v>
      </c>
      <c r="E233" s="102">
        <f t="shared" si="29"/>
        <v>2.5050638089821664</v>
      </c>
      <c r="F233" s="103">
        <f t="shared" si="26"/>
        <v>3.2231486337941595</v>
      </c>
      <c r="G233" s="98">
        <f t="shared" si="25"/>
        <v>1.387639246346791</v>
      </c>
    </row>
    <row r="234" spans="1:7" x14ac:dyDescent="0.25">
      <c r="A234" s="99">
        <f>2019</f>
        <v>2019</v>
      </c>
      <c r="B234" s="100" t="s">
        <v>21</v>
      </c>
      <c r="C234" s="101">
        <f t="shared" si="22"/>
        <v>313.47715994671967</v>
      </c>
      <c r="D234" s="102">
        <v>8.9943113900692317E-2</v>
      </c>
      <c r="E234" s="102">
        <f t="shared" si="29"/>
        <v>2.5972600552778502</v>
      </c>
      <c r="F234" s="103">
        <f t="shared" si="26"/>
        <v>3.2230603513182077</v>
      </c>
      <c r="G234" s="98">
        <f t="shared" si="25"/>
        <v>1.3863922819575194</v>
      </c>
    </row>
    <row r="235" spans="1:7" x14ac:dyDescent="0.25">
      <c r="A235" s="99">
        <f>2019</f>
        <v>2019</v>
      </c>
      <c r="B235" s="100" t="s">
        <v>22</v>
      </c>
      <c r="C235" s="101">
        <f t="shared" si="22"/>
        <v>313.75946743340631</v>
      </c>
      <c r="D235" s="102">
        <v>9.0056796078741286E-2</v>
      </c>
      <c r="E235" s="102">
        <f t="shared" si="29"/>
        <v>2.6896558605482124</v>
      </c>
      <c r="F235" s="103">
        <f t="shared" si="26"/>
        <v>2.7201989795511361</v>
      </c>
      <c r="G235" s="98">
        <f t="shared" si="25"/>
        <v>1.3851448648711673</v>
      </c>
    </row>
    <row r="236" spans="1:7" x14ac:dyDescent="0.25">
      <c r="A236" s="99">
        <f>2019</f>
        <v>2019</v>
      </c>
      <c r="B236" s="100" t="s">
        <v>23</v>
      </c>
      <c r="C236" s="101">
        <f t="shared" si="22"/>
        <v>314.19847691594276</v>
      </c>
      <c r="D236" s="102">
        <v>0.13991911897595077</v>
      </c>
      <c r="E236" s="102">
        <f t="shared" si="29"/>
        <v>2.8333383223077213</v>
      </c>
      <c r="F236" s="103">
        <f t="shared" si="26"/>
        <v>2.6688157989113837</v>
      </c>
      <c r="G236" s="98">
        <f t="shared" si="25"/>
        <v>1.3832094903386938</v>
      </c>
    </row>
    <row r="237" spans="1:7" x14ac:dyDescent="0.25">
      <c r="A237" s="99">
        <f>2019</f>
        <v>2019</v>
      </c>
      <c r="B237" s="100" t="s">
        <v>12</v>
      </c>
      <c r="C237" s="101">
        <f t="shared" si="22"/>
        <v>317.49775512428266</v>
      </c>
      <c r="D237" s="102">
        <v>1.0500618082953217</v>
      </c>
      <c r="E237" s="102">
        <f t="shared" si="29"/>
        <v>3.9131519342253895</v>
      </c>
      <c r="F237" s="103">
        <f t="shared" si="26"/>
        <v>3.9131519342253895</v>
      </c>
      <c r="G237" s="98">
        <f t="shared" si="25"/>
        <v>1.3688358676740011</v>
      </c>
    </row>
    <row r="238" spans="1:7" x14ac:dyDescent="0.25">
      <c r="A238" s="99">
        <f>2020</f>
        <v>2020</v>
      </c>
      <c r="B238" s="100" t="s">
        <v>13</v>
      </c>
      <c r="C238" s="101">
        <f t="shared" si="22"/>
        <v>319.75194687002875</v>
      </c>
      <c r="D238" s="102">
        <v>0.70998667214630107</v>
      </c>
      <c r="E238" s="102">
        <f t="shared" ref="E238:E249" si="30">100*((C238/$C$237)-1)</f>
        <v>0.70998667214630107</v>
      </c>
      <c r="F238" s="103">
        <f t="shared" si="26"/>
        <v>4.3379731321427473</v>
      </c>
      <c r="G238" s="98">
        <f t="shared" si="25"/>
        <v>1.3591858294353094</v>
      </c>
    </row>
    <row r="239" spans="1:7" x14ac:dyDescent="0.25">
      <c r="A239" s="99">
        <f>2020</f>
        <v>2020</v>
      </c>
      <c r="B239" s="100" t="s">
        <v>14</v>
      </c>
      <c r="C239" s="101">
        <f t="shared" ref="C239:C298" si="31">+C238*(1+D239/100)</f>
        <v>320.4555815128719</v>
      </c>
      <c r="D239" s="102">
        <v>0.22005640613946831</v>
      </c>
      <c r="E239" s="102">
        <f t="shared" si="30"/>
        <v>0.93160544944055346</v>
      </c>
      <c r="F239" s="103">
        <f t="shared" si="26"/>
        <v>4.2132230323387976</v>
      </c>
      <c r="G239" s="98">
        <f t="shared" si="25"/>
        <v>1.3562014213275237</v>
      </c>
    </row>
    <row r="240" spans="1:7" x14ac:dyDescent="0.25">
      <c r="A240" s="99">
        <f>2020</f>
        <v>2020</v>
      </c>
      <c r="B240" s="100" t="s">
        <v>15</v>
      </c>
      <c r="C240" s="101">
        <f t="shared" si="31"/>
        <v>320.51960372907513</v>
      </c>
      <c r="D240" s="102">
        <v>1.9978499329287303E-2</v>
      </c>
      <c r="E240" s="102">
        <f t="shared" si="30"/>
        <v>0.95177006955831089</v>
      </c>
      <c r="F240" s="103">
        <f t="shared" si="26"/>
        <v>3.6742663300725953</v>
      </c>
      <c r="G240" s="98">
        <f t="shared" si="25"/>
        <v>1.35593052675633</v>
      </c>
    </row>
    <row r="241" spans="1:7" x14ac:dyDescent="0.25">
      <c r="A241" s="99">
        <f>2020</f>
        <v>2020</v>
      </c>
      <c r="B241" s="100" t="s">
        <v>16</v>
      </c>
      <c r="C241" s="101">
        <f t="shared" si="31"/>
        <v>320.48728775327731</v>
      </c>
      <c r="D241" s="102">
        <v>-1.0082371069297658E-2</v>
      </c>
      <c r="E241" s="102">
        <f t="shared" si="30"/>
        <v>0.94159173749888136</v>
      </c>
      <c r="F241" s="103">
        <f t="shared" si="26"/>
        <v>2.9227066856475137</v>
      </c>
      <c r="G241" s="98">
        <f t="shared" si="25"/>
        <v>1.3560672504884734</v>
      </c>
    </row>
    <row r="242" spans="1:7" x14ac:dyDescent="0.25">
      <c r="A242" s="99">
        <f>2020</f>
        <v>2020</v>
      </c>
      <c r="B242" s="100" t="s">
        <v>17</v>
      </c>
      <c r="C242" s="101">
        <f t="shared" si="31"/>
        <v>318.59649830140853</v>
      </c>
      <c r="D242" s="102">
        <v>-0.58997330756045407</v>
      </c>
      <c r="E242" s="102">
        <f t="shared" si="30"/>
        <v>0.34606329002098146</v>
      </c>
      <c r="F242" s="103">
        <f t="shared" si="26"/>
        <v>1.9587182279044324</v>
      </c>
      <c r="G242" s="98">
        <f t="shared" si="25"/>
        <v>1.3641151658513806</v>
      </c>
    </row>
    <row r="243" spans="1:7" x14ac:dyDescent="0.25">
      <c r="A243" s="99">
        <f>2020</f>
        <v>2020</v>
      </c>
      <c r="B243" s="100" t="s">
        <v>18</v>
      </c>
      <c r="C243" s="101">
        <f t="shared" si="31"/>
        <v>318.66052051761176</v>
      </c>
      <c r="D243" s="102">
        <v>2.0095078428217228E-2</v>
      </c>
      <c r="E243" s="102">
        <f t="shared" si="30"/>
        <v>0.3662279101387389</v>
      </c>
      <c r="F243" s="103">
        <f t="shared" si="26"/>
        <v>1.9181528320836083</v>
      </c>
      <c r="G243" s="98">
        <f t="shared" si="25"/>
        <v>1.363841100912516</v>
      </c>
    </row>
    <row r="244" spans="1:7" x14ac:dyDescent="0.25">
      <c r="A244" s="99">
        <f>2020</f>
        <v>2020</v>
      </c>
      <c r="B244" s="100" t="s">
        <v>19</v>
      </c>
      <c r="C244" s="101">
        <f t="shared" si="31"/>
        <v>319.61658561291335</v>
      </c>
      <c r="D244" s="102">
        <v>0.30002621402507312</v>
      </c>
      <c r="E244" s="102">
        <f t="shared" si="30"/>
        <v>0.66735290389732249</v>
      </c>
      <c r="F244" s="103">
        <f t="shared" si="26"/>
        <v>2.1319169912342284</v>
      </c>
      <c r="G244" s="98">
        <f t="shared" si="25"/>
        <v>1.3597614600840537</v>
      </c>
    </row>
    <row r="245" spans="1:7" x14ac:dyDescent="0.25">
      <c r="A245" s="99">
        <f>2020</f>
        <v>2020</v>
      </c>
      <c r="B245" s="100" t="s">
        <v>20</v>
      </c>
      <c r="C245" s="101">
        <f t="shared" si="31"/>
        <v>320.35192649616192</v>
      </c>
      <c r="D245" s="102">
        <v>0.2300696886046838</v>
      </c>
      <c r="E245" s="102">
        <f t="shared" si="30"/>
        <v>0.89895796924990279</v>
      </c>
      <c r="F245" s="103">
        <f t="shared" si="26"/>
        <v>2.2849833936198882</v>
      </c>
      <c r="G245" s="98">
        <f t="shared" si="25"/>
        <v>1.3566402421035602</v>
      </c>
    </row>
    <row r="246" spans="1:7" x14ac:dyDescent="0.25">
      <c r="A246" s="99">
        <f>2020</f>
        <v>2020</v>
      </c>
      <c r="B246" s="100" t="s">
        <v>21</v>
      </c>
      <c r="C246" s="101">
        <f t="shared" si="31"/>
        <v>321.79334096382331</v>
      </c>
      <c r="D246" s="102">
        <v>0.44994718259596667</v>
      </c>
      <c r="E246" s="102">
        <f t="shared" si="30"/>
        <v>1.3529499879012308</v>
      </c>
      <c r="F246" s="103">
        <f t="shared" si="26"/>
        <v>2.6528825955030033</v>
      </c>
      <c r="G246" s="98">
        <f t="shared" si="25"/>
        <v>1.3505634200458918</v>
      </c>
    </row>
    <row r="247" spans="1:7" x14ac:dyDescent="0.25">
      <c r="A247" s="99">
        <f>2020</f>
        <v>2020</v>
      </c>
      <c r="B247" s="100" t="s">
        <v>22</v>
      </c>
      <c r="C247" s="101">
        <f t="shared" si="31"/>
        <v>324.8182382455779</v>
      </c>
      <c r="D247" s="102">
        <v>0.94001239201983999</v>
      </c>
      <c r="E247" s="102">
        <f t="shared" si="30"/>
        <v>2.3056802774651608</v>
      </c>
      <c r="F247" s="103">
        <f t="shared" si="26"/>
        <v>3.5246014734260589</v>
      </c>
      <c r="G247" s="98">
        <f t="shared" si="25"/>
        <v>1.3379861841117282</v>
      </c>
    </row>
    <row r="248" spans="1:7" x14ac:dyDescent="0.25">
      <c r="A248" s="99">
        <f>2020</f>
        <v>2020</v>
      </c>
      <c r="B248" s="100" t="s">
        <v>23</v>
      </c>
      <c r="C248" s="101">
        <f t="shared" si="31"/>
        <v>327.44924646383458</v>
      </c>
      <c r="D248" s="102">
        <v>0.80999399309207298</v>
      </c>
      <c r="E248" s="102">
        <f t="shared" si="30"/>
        <v>3.1343501423046094</v>
      </c>
      <c r="F248" s="103">
        <f t="shared" si="26"/>
        <v>4.2173245643825297</v>
      </c>
      <c r="G248" s="98">
        <f t="shared" si="25"/>
        <v>1.3272356550317945</v>
      </c>
    </row>
    <row r="249" spans="1:7" x14ac:dyDescent="0.25">
      <c r="A249" s="99">
        <f>2020</f>
        <v>2020</v>
      </c>
      <c r="B249" s="100" t="s">
        <v>12</v>
      </c>
      <c r="C249" s="101">
        <f t="shared" si="31"/>
        <v>330.9204700528345</v>
      </c>
      <c r="D249" s="102">
        <v>1.0600798830616043</v>
      </c>
      <c r="E249" s="102">
        <f t="shared" si="30"/>
        <v>4.2276566406895144</v>
      </c>
      <c r="F249" s="103">
        <f t="shared" si="26"/>
        <v>4.2276566406895144</v>
      </c>
      <c r="G249" s="98">
        <f t="shared" si="25"/>
        <v>1.3133134829970075</v>
      </c>
    </row>
    <row r="250" spans="1:7" x14ac:dyDescent="0.25">
      <c r="A250" s="99">
        <f>2021</f>
        <v>2021</v>
      </c>
      <c r="B250" s="100" t="s">
        <v>13</v>
      </c>
      <c r="C250" s="101">
        <f t="shared" si="31"/>
        <v>333.50147996891337</v>
      </c>
      <c r="D250" s="102">
        <v>0.77994870358633062</v>
      </c>
      <c r="E250" s="102">
        <f t="shared" ref="E250:E261" si="32">100*((C250/$C$249)-1)</f>
        <v>0.77994870358633062</v>
      </c>
      <c r="F250" s="103">
        <f t="shared" si="26"/>
        <v>4.3000623556714412</v>
      </c>
      <c r="G250" s="98">
        <f t="shared" si="25"/>
        <v>1.3031495847053078</v>
      </c>
    </row>
    <row r="251" spans="1:7" x14ac:dyDescent="0.25">
      <c r="A251" s="99">
        <f>2021</f>
        <v>2021</v>
      </c>
      <c r="B251" s="100" t="s">
        <v>14</v>
      </c>
      <c r="C251" s="101">
        <f t="shared" si="31"/>
        <v>335.10203537399417</v>
      </c>
      <c r="D251" s="102">
        <v>0.47992452843987898</v>
      </c>
      <c r="E251" s="102">
        <f t="shared" si="32"/>
        <v>1.2636163971639691</v>
      </c>
      <c r="F251" s="103">
        <f t="shared" si="26"/>
        <v>4.5705098322757598</v>
      </c>
      <c r="G251" s="98">
        <f t="shared" si="25"/>
        <v>1.2969253219696277</v>
      </c>
    </row>
    <row r="252" spans="1:7" x14ac:dyDescent="0.25">
      <c r="A252" s="99">
        <f>2021</f>
        <v>2021</v>
      </c>
      <c r="B252" s="100" t="s">
        <v>15</v>
      </c>
      <c r="C252" s="101">
        <f t="shared" si="31"/>
        <v>338.21839296461053</v>
      </c>
      <c r="D252" s="102">
        <v>0.92997274311936717</v>
      </c>
      <c r="E252" s="102">
        <f t="shared" si="32"/>
        <v>2.2053404283545408</v>
      </c>
      <c r="F252" s="103">
        <f t="shared" si="26"/>
        <v>5.5219053778986948</v>
      </c>
      <c r="G252" s="98">
        <f t="shared" si="25"/>
        <v>1.2849754009846814</v>
      </c>
    </row>
    <row r="253" spans="1:7" x14ac:dyDescent="0.25">
      <c r="A253" s="99">
        <f>2021</f>
        <v>2021</v>
      </c>
      <c r="B253" s="100" t="s">
        <v>16</v>
      </c>
      <c r="C253" s="101">
        <f t="shared" si="31"/>
        <v>340.24759235055677</v>
      </c>
      <c r="D253" s="102">
        <v>0.59996718929433701</v>
      </c>
      <c r="E253" s="102">
        <f t="shared" si="32"/>
        <v>2.818538936631243</v>
      </c>
      <c r="F253" s="103">
        <f t="shared" si="26"/>
        <v>6.1657062081325487</v>
      </c>
      <c r="G253" s="98">
        <f t="shared" si="25"/>
        <v>1.2773119483894089</v>
      </c>
    </row>
    <row r="254" spans="1:7" x14ac:dyDescent="0.25">
      <c r="A254" s="99">
        <f>2021</f>
        <v>2021</v>
      </c>
      <c r="B254" s="100" t="s">
        <v>17</v>
      </c>
      <c r="C254" s="101">
        <f t="shared" si="31"/>
        <v>341.74449273892759</v>
      </c>
      <c r="D254" s="102">
        <v>0.43994444693338242</v>
      </c>
      <c r="E254" s="102">
        <f t="shared" si="32"/>
        <v>3.2708833891009981</v>
      </c>
      <c r="F254" s="103">
        <f t="shared" si="26"/>
        <v>7.2656148328472447</v>
      </c>
      <c r="G254" s="98">
        <f t="shared" si="25"/>
        <v>1.2717170996288893</v>
      </c>
    </row>
    <row r="255" spans="1:7" x14ac:dyDescent="0.25">
      <c r="A255" s="99">
        <f>2021</f>
        <v>2021</v>
      </c>
      <c r="B255" s="100" t="s">
        <v>18</v>
      </c>
      <c r="C255" s="101">
        <f t="shared" si="31"/>
        <v>344.58098178442691</v>
      </c>
      <c r="D255" s="102">
        <v>0.83000285469596591</v>
      </c>
      <c r="E255" s="102">
        <f t="shared" si="32"/>
        <v>4.1280346693002734</v>
      </c>
      <c r="F255" s="103">
        <f t="shared" si="26"/>
        <v>8.1341928472066893</v>
      </c>
      <c r="G255" s="98">
        <f t="shared" si="25"/>
        <v>1.2612486994188967</v>
      </c>
    </row>
    <row r="256" spans="1:7" x14ac:dyDescent="0.25">
      <c r="A256" s="99">
        <f>2021</f>
        <v>2021</v>
      </c>
      <c r="B256" s="100" t="s">
        <v>19</v>
      </c>
      <c r="C256" s="101">
        <f t="shared" si="31"/>
        <v>347.06199509615033</v>
      </c>
      <c r="D256" s="102">
        <v>0.72000877671059005</v>
      </c>
      <c r="E256" s="102">
        <f t="shared" si="32"/>
        <v>4.8777656579354733</v>
      </c>
      <c r="F256" s="103">
        <f t="shared" si="26"/>
        <v>8.5869791239419726</v>
      </c>
      <c r="G256" s="98">
        <f t="shared" si="25"/>
        <v>1.2522325154031702</v>
      </c>
    </row>
    <row r="257" spans="1:7" x14ac:dyDescent="0.25">
      <c r="A257" s="99">
        <f>2021</f>
        <v>2021</v>
      </c>
      <c r="B257" s="100" t="s">
        <v>20</v>
      </c>
      <c r="C257" s="101">
        <f t="shared" si="31"/>
        <v>350.15091459410814</v>
      </c>
      <c r="D257" s="102">
        <v>0.89001951858833639</v>
      </c>
      <c r="E257" s="102">
        <f t="shared" si="32"/>
        <v>5.8111982429504438</v>
      </c>
      <c r="F257" s="103">
        <f t="shared" si="26"/>
        <v>9.3019537681173325</v>
      </c>
      <c r="G257" s="98">
        <f t="shared" si="25"/>
        <v>1.2411857202311813</v>
      </c>
    </row>
    <row r="258" spans="1:7" x14ac:dyDescent="0.25">
      <c r="A258" s="99">
        <f>2021</f>
        <v>2021</v>
      </c>
      <c r="B258" s="100" t="s">
        <v>21</v>
      </c>
      <c r="C258" s="101">
        <f t="shared" si="31"/>
        <v>354.14285220822774</v>
      </c>
      <c r="D258" s="102">
        <v>1.1400620268968931</v>
      </c>
      <c r="E258" s="102">
        <f t="shared" si="32"/>
        <v>7.0175115343229066</v>
      </c>
      <c r="F258" s="103">
        <f t="shared" si="26"/>
        <v>10.052883986819738</v>
      </c>
      <c r="G258" s="98">
        <f t="shared" si="25"/>
        <v>1.2271949367611661</v>
      </c>
    </row>
    <row r="259" spans="1:7" x14ac:dyDescent="0.25">
      <c r="A259" s="99">
        <f>2021</f>
        <v>2021</v>
      </c>
      <c r="B259" s="100" t="s">
        <v>22</v>
      </c>
      <c r="C259" s="101">
        <f t="shared" si="31"/>
        <v>358.39270789333744</v>
      </c>
      <c r="D259" s="102">
        <v>1.2000399439407339</v>
      </c>
      <c r="E259" s="102">
        <f t="shared" si="32"/>
        <v>8.3017644197461493</v>
      </c>
      <c r="F259" s="103">
        <f t="shared" si="26"/>
        <v>10.336386844871569</v>
      </c>
      <c r="G259" s="98">
        <f t="shared" si="25"/>
        <v>1.2126427395097519</v>
      </c>
    </row>
    <row r="260" spans="1:7" x14ac:dyDescent="0.25">
      <c r="A260" s="99">
        <f>2021</f>
        <v>2021</v>
      </c>
      <c r="B260" s="100" t="s">
        <v>23</v>
      </c>
      <c r="C260" s="101">
        <f t="shared" si="31"/>
        <v>362.58585818695286</v>
      </c>
      <c r="D260" s="102">
        <v>1.169987614497825</v>
      </c>
      <c r="E260" s="102">
        <f t="shared" si="32"/>
        <v>9.5688816497397902</v>
      </c>
      <c r="F260" s="103">
        <f t="shared" si="26"/>
        <v>10.730399322204253</v>
      </c>
      <c r="G260" s="98">
        <f t="shared" si="25"/>
        <v>1.1986190451366412</v>
      </c>
    </row>
    <row r="261" spans="1:7" x14ac:dyDescent="0.25">
      <c r="A261" s="99">
        <f>2021</f>
        <v>2021</v>
      </c>
      <c r="B261" s="100" t="s">
        <v>12</v>
      </c>
      <c r="C261" s="101">
        <f t="shared" si="31"/>
        <v>365.4138109369585</v>
      </c>
      <c r="D261" s="102">
        <v>0.77994016759128648</v>
      </c>
      <c r="E261" s="102">
        <f t="shared" si="32"/>
        <v>10.423453368906689</v>
      </c>
      <c r="F261" s="103">
        <f t="shared" si="26"/>
        <v>10.423453368906689</v>
      </c>
      <c r="G261" s="98">
        <f t="shared" ref="G261:G301" si="33">+$C$301/C261</f>
        <v>1.1893428822674492</v>
      </c>
    </row>
    <row r="262" spans="1:7" x14ac:dyDescent="0.25">
      <c r="A262" s="99">
        <f>2022</f>
        <v>2022</v>
      </c>
      <c r="B262" s="100" t="s">
        <v>13</v>
      </c>
      <c r="C262" s="101">
        <f t="shared" si="31"/>
        <v>367.53325116098171</v>
      </c>
      <c r="D262" s="102">
        <v>0.58001097949438307</v>
      </c>
      <c r="E262" s="102">
        <f t="shared" ref="E262:E273" si="34">100*((C262/$C$261)-1)</f>
        <v>0.58001097949438307</v>
      </c>
      <c r="F262" s="103">
        <f t="shared" ref="F262:F298" si="35">100*((C262/$C250)-1)</f>
        <v>10.204383859178234</v>
      </c>
      <c r="G262" s="98">
        <f t="shared" si="33"/>
        <v>1.1824843432458214</v>
      </c>
    </row>
    <row r="263" spans="1:7" x14ac:dyDescent="0.25">
      <c r="A263" s="99">
        <f>2022</f>
        <v>2022</v>
      </c>
      <c r="B263" s="100" t="s">
        <v>14</v>
      </c>
      <c r="C263" s="101">
        <f t="shared" si="31"/>
        <v>371.17154224750249</v>
      </c>
      <c r="D263" s="102">
        <v>0.98992161254198852</v>
      </c>
      <c r="E263" s="102">
        <f t="shared" si="34"/>
        <v>1.5756742460774964</v>
      </c>
      <c r="F263" s="103">
        <f t="shared" si="35"/>
        <v>10.763738523179246</v>
      </c>
      <c r="G263" s="98">
        <f t="shared" si="33"/>
        <v>1.1708934162584479</v>
      </c>
    </row>
    <row r="264" spans="1:7" x14ac:dyDescent="0.25">
      <c r="A264" s="99">
        <f>2022</f>
        <v>2022</v>
      </c>
      <c r="B264" s="100" t="s">
        <v>15</v>
      </c>
      <c r="C264" s="101">
        <f t="shared" si="31"/>
        <v>374.69764202181949</v>
      </c>
      <c r="D264" s="102">
        <v>0.94999195061289399</v>
      </c>
      <c r="E264" s="102">
        <f t="shared" si="34"/>
        <v>2.54063497519601</v>
      </c>
      <c r="F264" s="103">
        <f t="shared" si="35"/>
        <v>10.785708233504021</v>
      </c>
      <c r="G264" s="98">
        <f t="shared" si="33"/>
        <v>1.159874699971523</v>
      </c>
    </row>
    <row r="265" spans="1:7" x14ac:dyDescent="0.25">
      <c r="A265" s="99">
        <f>2022</f>
        <v>2022</v>
      </c>
      <c r="B265" s="100" t="s">
        <v>16</v>
      </c>
      <c r="C265" s="101">
        <f t="shared" si="31"/>
        <v>381.17973897854864</v>
      </c>
      <c r="D265" s="102">
        <v>1.7299540295350191</v>
      </c>
      <c r="E265" s="102">
        <f t="shared" si="34"/>
        <v>4.3145408218602022</v>
      </c>
      <c r="F265" s="103">
        <f t="shared" si="35"/>
        <v>12.03010617803859</v>
      </c>
      <c r="G265" s="98">
        <f t="shared" si="33"/>
        <v>1.140150618405646</v>
      </c>
    </row>
    <row r="266" spans="1:7" x14ac:dyDescent="0.25">
      <c r="A266" s="99">
        <f>2022</f>
        <v>2022</v>
      </c>
      <c r="B266" s="100" t="s">
        <v>17</v>
      </c>
      <c r="C266" s="101">
        <f t="shared" si="31"/>
        <v>383.42844310576305</v>
      </c>
      <c r="D266" s="102">
        <v>0.5899327527848941</v>
      </c>
      <c r="E266" s="102">
        <f t="shared" si="34"/>
        <v>4.9299264640855212</v>
      </c>
      <c r="F266" s="103">
        <f t="shared" si="35"/>
        <v>12.197402226662813</v>
      </c>
      <c r="G266" s="98">
        <f t="shared" si="33"/>
        <v>1.133463943362742</v>
      </c>
    </row>
    <row r="267" spans="1:7" x14ac:dyDescent="0.25">
      <c r="A267" s="99">
        <f>2022</f>
        <v>2022</v>
      </c>
      <c r="B267" s="100" t="s">
        <v>18</v>
      </c>
      <c r="C267" s="101">
        <f t="shared" si="31"/>
        <v>386.07408497343755</v>
      </c>
      <c r="D267" s="102">
        <v>0.68999624708194762</v>
      </c>
      <c r="E267" s="102">
        <f t="shared" si="34"/>
        <v>5.653939018753551</v>
      </c>
      <c r="F267" s="103">
        <f t="shared" si="35"/>
        <v>12.041611517309182</v>
      </c>
      <c r="G267" s="98">
        <f t="shared" si="33"/>
        <v>1.1256966785273772</v>
      </c>
    </row>
    <row r="268" spans="1:7" x14ac:dyDescent="0.25">
      <c r="A268" s="99">
        <f>2022</f>
        <v>2022</v>
      </c>
      <c r="B268" s="100" t="s">
        <v>19</v>
      </c>
      <c r="C268" s="101">
        <f t="shared" si="31"/>
        <v>386.57589720139242</v>
      </c>
      <c r="D268" s="102">
        <v>0.12997822114617641</v>
      </c>
      <c r="E268" s="102">
        <f t="shared" si="34"/>
        <v>5.7912661292609968</v>
      </c>
      <c r="F268" s="103">
        <f t="shared" si="35"/>
        <v>11.385257580362595</v>
      </c>
      <c r="G268" s="98">
        <f t="shared" si="33"/>
        <v>1.1242354173304356</v>
      </c>
    </row>
    <row r="269" spans="1:7" x14ac:dyDescent="0.25">
      <c r="A269" s="99">
        <f>2022</f>
        <v>2022</v>
      </c>
      <c r="B269" s="100" t="s">
        <v>20</v>
      </c>
      <c r="C269" s="101">
        <f t="shared" si="31"/>
        <v>383.75404180531092</v>
      </c>
      <c r="D269" s="102">
        <v>-0.7299615461052511</v>
      </c>
      <c r="E269" s="102">
        <f t="shared" si="34"/>
        <v>5.0190305673795343</v>
      </c>
      <c r="F269" s="103">
        <f t="shared" si="35"/>
        <v>9.5967555161622808</v>
      </c>
      <c r="G269" s="98">
        <f t="shared" si="33"/>
        <v>1.1325022482514486</v>
      </c>
    </row>
    <row r="270" spans="1:7" x14ac:dyDescent="0.25">
      <c r="A270" s="99">
        <f>2022</f>
        <v>2022</v>
      </c>
      <c r="B270" s="100" t="s">
        <v>21</v>
      </c>
      <c r="C270" s="101">
        <f t="shared" si="31"/>
        <v>382.333968076384</v>
      </c>
      <c r="D270" s="102">
        <v>-0.37004788855028448</v>
      </c>
      <c r="E270" s="102">
        <f t="shared" si="34"/>
        <v>4.6304098621889667</v>
      </c>
      <c r="F270" s="103">
        <f t="shared" si="35"/>
        <v>7.9603797429124823</v>
      </c>
      <c r="G270" s="98">
        <f t="shared" si="33"/>
        <v>1.1367086144782947</v>
      </c>
    </row>
    <row r="271" spans="1:7" x14ac:dyDescent="0.25">
      <c r="A271" s="99">
        <f>2022</f>
        <v>2022</v>
      </c>
      <c r="B271" s="100" t="s">
        <v>22</v>
      </c>
      <c r="C271" s="101">
        <f t="shared" si="31"/>
        <v>382.94553267497298</v>
      </c>
      <c r="D271" s="102">
        <v>0.15995560155586119</v>
      </c>
      <c r="E271" s="102">
        <f t="shared" si="34"/>
        <v>4.7977720636944055</v>
      </c>
      <c r="F271" s="103">
        <f t="shared" si="35"/>
        <v>6.850815945993749</v>
      </c>
      <c r="G271" s="98">
        <f t="shared" si="33"/>
        <v>1.1348932890907124</v>
      </c>
    </row>
    <row r="272" spans="1:7" x14ac:dyDescent="0.25">
      <c r="A272" s="99">
        <f>2022</f>
        <v>2022</v>
      </c>
      <c r="B272" s="100" t="s">
        <v>23</v>
      </c>
      <c r="C272" s="101">
        <f t="shared" si="31"/>
        <v>384.97534179631168</v>
      </c>
      <c r="D272" s="102">
        <v>0.5300516517740661</v>
      </c>
      <c r="E272" s="102">
        <f t="shared" si="34"/>
        <v>5.3532543855404402</v>
      </c>
      <c r="F272" s="103">
        <f t="shared" si="35"/>
        <v>6.1749467343579001</v>
      </c>
      <c r="G272" s="98">
        <f t="shared" si="33"/>
        <v>1.1289094857146478</v>
      </c>
    </row>
    <row r="273" spans="1:7" x14ac:dyDescent="0.25">
      <c r="A273" s="99">
        <f>2022</f>
        <v>2022</v>
      </c>
      <c r="B273" s="100" t="s">
        <v>12</v>
      </c>
      <c r="C273" s="101">
        <f t="shared" si="31"/>
        <v>386.97710308959938</v>
      </c>
      <c r="D273" s="102">
        <v>0.51997130100525091</v>
      </c>
      <c r="E273" s="102">
        <f t="shared" si="34"/>
        <v>5.9010610730203084</v>
      </c>
      <c r="F273" s="103">
        <f t="shared" si="35"/>
        <v>5.9010610730203084</v>
      </c>
      <c r="G273" s="98">
        <f t="shared" si="33"/>
        <v>1.123069844831281</v>
      </c>
    </row>
    <row r="274" spans="1:7" x14ac:dyDescent="0.25">
      <c r="A274" s="99">
        <f>2023</f>
        <v>2023</v>
      </c>
      <c r="B274" s="100" t="s">
        <v>13</v>
      </c>
      <c r="C274" s="101">
        <f t="shared" si="31"/>
        <v>389.10568934450868</v>
      </c>
      <c r="D274" s="102">
        <v>0.55005483216314932</v>
      </c>
      <c r="E274" s="102">
        <f t="shared" ref="E274:E285" si="36">100*((C274/$C$273)-1)</f>
        <v>0.55005483216314932</v>
      </c>
      <c r="F274" s="103">
        <f t="shared" si="35"/>
        <v>5.8695201360374538</v>
      </c>
      <c r="G274" s="98">
        <f t="shared" si="33"/>
        <v>1.1169261386340312</v>
      </c>
    </row>
    <row r="275" spans="1:7" x14ac:dyDescent="0.25">
      <c r="A275" s="99">
        <f>2023</f>
        <v>2023</v>
      </c>
      <c r="B275" s="100" t="s">
        <v>14</v>
      </c>
      <c r="C275" s="101">
        <f t="shared" si="31"/>
        <v>392.06290599770557</v>
      </c>
      <c r="D275" s="102">
        <v>0.76000344743831771</v>
      </c>
      <c r="E275" s="102">
        <f t="shared" si="36"/>
        <v>1.3142387152887069</v>
      </c>
      <c r="F275" s="103">
        <f t="shared" si="35"/>
        <v>5.6284928590436989</v>
      </c>
      <c r="G275" s="98">
        <f t="shared" si="33"/>
        <v>1.1085014891019513</v>
      </c>
    </row>
    <row r="276" spans="1:7" x14ac:dyDescent="0.25">
      <c r="A276" s="99">
        <f>2023</f>
        <v>2023</v>
      </c>
      <c r="B276" s="100" t="s">
        <v>15</v>
      </c>
      <c r="C276" s="101">
        <f t="shared" si="31"/>
        <v>394.76830193383643</v>
      </c>
      <c r="D276" s="102">
        <v>0.69004129050318497</v>
      </c>
      <c r="E276" s="102">
        <f t="shared" si="36"/>
        <v>2.0133487955831475</v>
      </c>
      <c r="F276" s="103">
        <f t="shared" si="35"/>
        <v>5.3564948537488277</v>
      </c>
      <c r="G276" s="98">
        <f t="shared" si="33"/>
        <v>1.1009047914716688</v>
      </c>
    </row>
    <row r="277" spans="1:7" x14ac:dyDescent="0.25">
      <c r="A277" s="99">
        <f>2023</f>
        <v>2023</v>
      </c>
      <c r="B277" s="100" t="s">
        <v>16</v>
      </c>
      <c r="C277" s="101">
        <f t="shared" si="31"/>
        <v>397.0182255318357</v>
      </c>
      <c r="D277" s="102">
        <v>0.5699352219967091</v>
      </c>
      <c r="E277" s="102">
        <f t="shared" si="36"/>
        <v>2.5947588015075462</v>
      </c>
      <c r="F277" s="103">
        <f t="shared" si="35"/>
        <v>4.1551228813287988</v>
      </c>
      <c r="G277" s="98">
        <f t="shared" si="33"/>
        <v>1.0946659049163614</v>
      </c>
    </row>
    <row r="278" spans="1:7" x14ac:dyDescent="0.25">
      <c r="A278" s="99">
        <f>2023</f>
        <v>2023</v>
      </c>
      <c r="B278" s="100" t="s">
        <v>17</v>
      </c>
      <c r="C278" s="101">
        <f t="shared" si="31"/>
        <v>399.04315677003507</v>
      </c>
      <c r="D278" s="102">
        <v>0.51003483164704377</v>
      </c>
      <c r="E278" s="102">
        <f t="shared" si="36"/>
        <v>3.1180278068394962</v>
      </c>
      <c r="F278" s="103">
        <f t="shared" si="35"/>
        <v>4.0723931531508661</v>
      </c>
      <c r="G278" s="98">
        <f t="shared" si="33"/>
        <v>1.0891110591593289</v>
      </c>
    </row>
    <row r="279" spans="1:7" x14ac:dyDescent="0.25">
      <c r="A279" s="99">
        <f>2023</f>
        <v>2023</v>
      </c>
      <c r="B279" s="100" t="s">
        <v>18</v>
      </c>
      <c r="C279" s="101">
        <f t="shared" si="31"/>
        <v>399.20290744284694</v>
      </c>
      <c r="D279" s="102">
        <v>4.0033432500119481E-2</v>
      </c>
      <c r="E279" s="102">
        <f t="shared" si="36"/>
        <v>3.159309492897</v>
      </c>
      <c r="F279" s="103">
        <f t="shared" si="35"/>
        <v>3.400596667945921</v>
      </c>
      <c r="G279" s="98">
        <f t="shared" si="33"/>
        <v>1.0886752250979437</v>
      </c>
    </row>
    <row r="280" spans="1:7" x14ac:dyDescent="0.25">
      <c r="A280" s="99">
        <f>2023</f>
        <v>2023</v>
      </c>
      <c r="B280" s="100" t="s">
        <v>19</v>
      </c>
      <c r="C280" s="101">
        <f t="shared" si="31"/>
        <v>398.92364863312235</v>
      </c>
      <c r="D280" s="102">
        <v>-6.9954102166591703E-2</v>
      </c>
      <c r="E280" s="102">
        <f t="shared" si="36"/>
        <v>3.0871453241399838</v>
      </c>
      <c r="F280" s="103">
        <f t="shared" si="35"/>
        <v>3.1941338094592098</v>
      </c>
      <c r="G280" s="98">
        <f t="shared" si="33"/>
        <v>1.0894373312016536</v>
      </c>
    </row>
    <row r="281" spans="1:7" x14ac:dyDescent="0.25">
      <c r="A281" s="99">
        <f>2023</f>
        <v>2023</v>
      </c>
      <c r="B281" s="100" t="s">
        <v>20</v>
      </c>
      <c r="C281" s="101">
        <f t="shared" si="31"/>
        <v>400.04068387202068</v>
      </c>
      <c r="D281" s="102">
        <v>0.28001228874892092</v>
      </c>
      <c r="E281" s="102">
        <f t="shared" si="36"/>
        <v>3.3758019991680488</v>
      </c>
      <c r="F281" s="103">
        <f t="shared" si="35"/>
        <v>4.2440314087877296</v>
      </c>
      <c r="G281" s="98">
        <f t="shared" si="33"/>
        <v>1.0863952908827921</v>
      </c>
    </row>
    <row r="282" spans="1:7" x14ac:dyDescent="0.25">
      <c r="A282" s="99">
        <f>2023</f>
        <v>2023</v>
      </c>
      <c r="B282" s="100" t="s">
        <v>21</v>
      </c>
      <c r="C282" s="101">
        <f t="shared" si="31"/>
        <v>401.44063633299805</v>
      </c>
      <c r="D282" s="102">
        <v>0.34995252168532609</v>
      </c>
      <c r="E282" s="102">
        <f t="shared" si="36"/>
        <v>3.7375682250765818</v>
      </c>
      <c r="F282" s="103">
        <f t="shared" si="35"/>
        <v>4.9973766005527498</v>
      </c>
      <c r="G282" s="98">
        <f t="shared" si="33"/>
        <v>1.0826066815009456</v>
      </c>
    </row>
    <row r="283" spans="1:7" x14ac:dyDescent="0.25">
      <c r="A283" s="99">
        <f>2023</f>
        <v>2023</v>
      </c>
      <c r="B283" s="100" t="s">
        <v>22</v>
      </c>
      <c r="C283" s="101">
        <f t="shared" si="31"/>
        <v>402.28390038070347</v>
      </c>
      <c r="D283" s="102">
        <v>0.21005946368766182</v>
      </c>
      <c r="E283" s="102">
        <f t="shared" si="36"/>
        <v>3.9554788045327749</v>
      </c>
      <c r="F283" s="103">
        <f t="shared" si="35"/>
        <v>5.0499003267245435</v>
      </c>
      <c r="G283" s="98">
        <f t="shared" si="33"/>
        <v>1.0803373306980637</v>
      </c>
    </row>
    <row r="284" spans="1:7" x14ac:dyDescent="0.25">
      <c r="A284" s="99">
        <f>2023</f>
        <v>2023</v>
      </c>
      <c r="B284" s="100" t="s">
        <v>23</v>
      </c>
      <c r="C284" s="101">
        <f t="shared" si="31"/>
        <v>403.61129432998382</v>
      </c>
      <c r="D284" s="102">
        <v>0.32996447235997817</v>
      </c>
      <c r="E284" s="102">
        <f t="shared" si="36"/>
        <v>4.2984949516594595</v>
      </c>
      <c r="F284" s="103">
        <f t="shared" si="35"/>
        <v>4.8408171927885046</v>
      </c>
      <c r="G284" s="98">
        <f t="shared" si="33"/>
        <v>1.0767843249816831</v>
      </c>
    </row>
    <row r="285" spans="1:7" x14ac:dyDescent="0.25">
      <c r="A285" s="99">
        <f>2023</f>
        <v>2023</v>
      </c>
      <c r="B285" s="100" t="s">
        <v>12</v>
      </c>
      <c r="C285" s="101">
        <f t="shared" si="31"/>
        <v>405.22587364909015</v>
      </c>
      <c r="D285" s="102">
        <v>0.40003323538966296</v>
      </c>
      <c r="E285" s="102">
        <f t="shared" si="36"/>
        <v>4.7157235954772947</v>
      </c>
      <c r="F285" s="103">
        <f t="shared" si="35"/>
        <v>4.7157235954772947</v>
      </c>
      <c r="G285" s="98">
        <f t="shared" si="33"/>
        <v>1.0724939925638699</v>
      </c>
    </row>
    <row r="286" spans="1:7" x14ac:dyDescent="0.25">
      <c r="A286" s="99">
        <f>2024</f>
        <v>2024</v>
      </c>
      <c r="B286" s="100" t="s">
        <v>13</v>
      </c>
      <c r="C286" s="101">
        <f t="shared" si="31"/>
        <v>406.48192855745828</v>
      </c>
      <c r="D286" s="102">
        <v>0.3099641434682443</v>
      </c>
      <c r="E286" s="102">
        <f t="shared" ref="E286:E297" si="37">100*((C286/$C$285)-1)</f>
        <v>0.3099641434682443</v>
      </c>
      <c r="F286" s="103">
        <f t="shared" si="35"/>
        <v>4.4656862361025285</v>
      </c>
      <c r="G286" s="98">
        <f t="shared" si="33"/>
        <v>1.069179918188323</v>
      </c>
    </row>
    <row r="287" spans="1:7" x14ac:dyDescent="0.25">
      <c r="A287" s="99">
        <f>2024</f>
        <v>2024</v>
      </c>
      <c r="B287" s="100" t="s">
        <v>14</v>
      </c>
      <c r="C287" s="101">
        <f t="shared" si="31"/>
        <v>409.65255259799926</v>
      </c>
      <c r="D287" s="102">
        <v>0.78001599032779811</v>
      </c>
      <c r="E287" s="102">
        <f t="shared" si="37"/>
        <v>1.0923979036793874</v>
      </c>
      <c r="F287" s="103">
        <f t="shared" si="35"/>
        <v>4.4864347866657495</v>
      </c>
      <c r="G287" s="98">
        <f t="shared" si="33"/>
        <v>1.0609046919489831</v>
      </c>
    </row>
    <row r="288" spans="1:7" x14ac:dyDescent="0.25">
      <c r="A288" s="99">
        <f>2024</f>
        <v>2024</v>
      </c>
      <c r="B288" s="100" t="s">
        <v>15</v>
      </c>
      <c r="C288" s="101">
        <f t="shared" si="31"/>
        <v>411.12750251224332</v>
      </c>
      <c r="D288" s="102">
        <v>0.36004899881374453</v>
      </c>
      <c r="E288" s="102">
        <f t="shared" si="37"/>
        <v>1.4563800702083851</v>
      </c>
      <c r="F288" s="103">
        <f t="shared" si="35"/>
        <v>4.1440005436780725</v>
      </c>
      <c r="G288" s="98">
        <f t="shared" si="33"/>
        <v>1.0570986189549618</v>
      </c>
    </row>
    <row r="289" spans="1:7" x14ac:dyDescent="0.25">
      <c r="A289" s="99">
        <f>2024</f>
        <v>2024</v>
      </c>
      <c r="B289" s="100" t="s">
        <v>16</v>
      </c>
      <c r="C289" s="101">
        <f t="shared" si="31"/>
        <v>411.99088782789835</v>
      </c>
      <c r="D289" s="102">
        <v>0.21000427127331189</v>
      </c>
      <c r="E289" s="102">
        <f t="shared" si="37"/>
        <v>1.6694428018351193</v>
      </c>
      <c r="F289" s="103">
        <f t="shared" si="35"/>
        <v>3.7712783275895223</v>
      </c>
      <c r="G289" s="98">
        <f t="shared" si="33"/>
        <v>1.0548833189282627</v>
      </c>
    </row>
    <row r="290" spans="1:7" x14ac:dyDescent="0.25">
      <c r="A290" s="99">
        <f>2024</f>
        <v>2024</v>
      </c>
      <c r="B290" s="100" t="s">
        <v>17</v>
      </c>
      <c r="C290" s="101">
        <f t="shared" si="31"/>
        <v>413.80363114953838</v>
      </c>
      <c r="D290" s="102">
        <v>0.43999597447341721</v>
      </c>
      <c r="E290" s="102">
        <f t="shared" si="37"/>
        <v>2.1167842574327356</v>
      </c>
      <c r="F290" s="103">
        <f t="shared" si="35"/>
        <v>3.6989669235224287</v>
      </c>
      <c r="G290" s="98">
        <f t="shared" si="33"/>
        <v>1.0502622074938741</v>
      </c>
    </row>
    <row r="291" spans="1:7" x14ac:dyDescent="0.25">
      <c r="A291" s="99">
        <f>2024</f>
        <v>2024</v>
      </c>
      <c r="B291" s="100" t="s">
        <v>18</v>
      </c>
      <c r="C291" s="101">
        <f t="shared" si="31"/>
        <v>415.41760073325224</v>
      </c>
      <c r="D291" s="102">
        <v>0.39003272620645735</v>
      </c>
      <c r="E291" s="102">
        <f t="shared" si="37"/>
        <v>2.5150731349863786</v>
      </c>
      <c r="F291" s="103">
        <f t="shared" si="35"/>
        <v>4.0617673338781302</v>
      </c>
      <c r="G291" s="98">
        <f t="shared" si="33"/>
        <v>1.046181756268824</v>
      </c>
    </row>
    <row r="292" spans="1:7" x14ac:dyDescent="0.25">
      <c r="A292" s="99">
        <f>2024</f>
        <v>2024</v>
      </c>
      <c r="B292" s="100" t="s">
        <v>19</v>
      </c>
      <c r="C292" s="101">
        <f t="shared" si="31"/>
        <v>416.66389987534183</v>
      </c>
      <c r="D292" s="102">
        <v>0.30001115501359088</v>
      </c>
      <c r="E292" s="102">
        <f t="shared" si="37"/>
        <v>2.8226297899616837</v>
      </c>
      <c r="F292" s="103">
        <f t="shared" si="35"/>
        <v>4.4470292255184507</v>
      </c>
      <c r="G292" s="98">
        <f t="shared" si="33"/>
        <v>1.0430524824687717</v>
      </c>
    </row>
    <row r="293" spans="1:7" x14ac:dyDescent="0.25">
      <c r="A293" s="99">
        <f>2024</f>
        <v>2024</v>
      </c>
      <c r="B293" s="100" t="s">
        <v>20</v>
      </c>
      <c r="C293" s="101">
        <f t="shared" si="31"/>
        <v>417.45533641469217</v>
      </c>
      <c r="D293" s="102">
        <v>0.18994603074256045</v>
      </c>
      <c r="E293" s="102">
        <f t="shared" si="37"/>
        <v>3.0179372939528104</v>
      </c>
      <c r="F293" s="103">
        <f t="shared" si="35"/>
        <v>4.3532203710167527</v>
      </c>
      <c r="G293" s="98">
        <f t="shared" si="33"/>
        <v>1.0410750018257506</v>
      </c>
    </row>
    <row r="294" spans="1:7" x14ac:dyDescent="0.25">
      <c r="A294" s="99">
        <f>2024</f>
        <v>2024</v>
      </c>
      <c r="B294" s="100" t="s">
        <v>21</v>
      </c>
      <c r="C294" s="101">
        <f t="shared" si="31"/>
        <v>417.99800091393865</v>
      </c>
      <c r="D294" s="102">
        <v>0.12999342729862473</v>
      </c>
      <c r="E294" s="102">
        <f t="shared" si="37"/>
        <v>3.1518538413735753</v>
      </c>
      <c r="F294" s="103">
        <f t="shared" si="35"/>
        <v>4.1244864327103503</v>
      </c>
      <c r="G294" s="98">
        <f t="shared" si="33"/>
        <v>1.0397234297050502</v>
      </c>
    </row>
    <row r="295" spans="1:7" x14ac:dyDescent="0.25">
      <c r="A295" s="99">
        <f>2024</f>
        <v>2024</v>
      </c>
      <c r="B295" s="100" t="s">
        <v>22</v>
      </c>
      <c r="C295" s="101">
        <f t="shared" si="31"/>
        <v>420.25524133664686</v>
      </c>
      <c r="D295" s="102">
        <v>0.54001225311433032</v>
      </c>
      <c r="E295" s="102">
        <f t="shared" si="37"/>
        <v>3.7088864914315733</v>
      </c>
      <c r="F295" s="103">
        <f t="shared" si="35"/>
        <v>4.4673279092044549</v>
      </c>
      <c r="G295" s="98">
        <f t="shared" si="33"/>
        <v>1.0341389526465308</v>
      </c>
    </row>
    <row r="296" spans="1:7" x14ac:dyDescent="0.25">
      <c r="A296" s="99">
        <f>2024</f>
        <v>2024</v>
      </c>
      <c r="B296" s="100" t="s">
        <v>23</v>
      </c>
      <c r="C296" s="101">
        <f t="shared" si="31"/>
        <v>422.86064066842215</v>
      </c>
      <c r="D296" s="102">
        <v>0.61995641588874495</v>
      </c>
      <c r="E296" s="102">
        <f t="shared" si="37"/>
        <v>4.3518363870819865</v>
      </c>
      <c r="F296" s="103">
        <f t="shared" si="35"/>
        <v>4.7692784143697597</v>
      </c>
      <c r="G296" s="98">
        <f t="shared" si="33"/>
        <v>1.0277672436789402</v>
      </c>
    </row>
    <row r="297" spans="1:7" x14ac:dyDescent="0.25">
      <c r="A297" s="99">
        <f>2024</f>
        <v>2024</v>
      </c>
      <c r="B297" s="100" t="s">
        <v>12</v>
      </c>
      <c r="C297" s="101">
        <f t="shared" si="31"/>
        <v>424.29839672372901</v>
      </c>
      <c r="D297" s="102">
        <v>0.34000706545640469</v>
      </c>
      <c r="E297" s="102">
        <f t="shared" si="37"/>
        <v>4.706640003731577</v>
      </c>
      <c r="F297" s="103">
        <f t="shared" si="35"/>
        <v>4.706640003731577</v>
      </c>
      <c r="G297" s="98">
        <f t="shared" si="33"/>
        <v>1.0242846036561273</v>
      </c>
    </row>
    <row r="298" spans="1:7" x14ac:dyDescent="0.25">
      <c r="A298" s="99">
        <f>2024</f>
        <v>2024</v>
      </c>
      <c r="B298" s="100" t="s">
        <v>13</v>
      </c>
      <c r="C298" s="101">
        <f t="shared" si="31"/>
        <v>424.76484429892406</v>
      </c>
      <c r="D298" s="102">
        <v>0.10993385287259017</v>
      </c>
      <c r="E298" s="102">
        <f>100*((C298/$C$297)-1)</f>
        <v>0.10993385287259017</v>
      </c>
      <c r="F298" s="103">
        <f t="shared" si="35"/>
        <v>4.4978422057652123</v>
      </c>
      <c r="G298" s="98">
        <f t="shared" si="33"/>
        <v>1.0231598046618187</v>
      </c>
    </row>
    <row r="299" spans="1:7" x14ac:dyDescent="0.25">
      <c r="A299" s="99">
        <f>2024</f>
        <v>2024</v>
      </c>
      <c r="B299" s="100" t="s">
        <v>14</v>
      </c>
      <c r="C299" s="101">
        <f t="shared" ref="C299" si="38">+C298*(1+D299/100)</f>
        <v>429.98966687650017</v>
      </c>
      <c r="D299" s="102">
        <v>1.2300506145228818</v>
      </c>
      <c r="E299" s="102">
        <f>100*((C299/$C$297)-1)</f>
        <v>1.3413367094283091</v>
      </c>
      <c r="F299" s="103">
        <f t="shared" ref="F299" si="39">100*((C299/$C287)-1)</f>
        <v>4.9644788368884196</v>
      </c>
      <c r="G299" s="98">
        <f t="shared" si="33"/>
        <v>1.0107273467223101</v>
      </c>
    </row>
    <row r="300" spans="1:7" x14ac:dyDescent="0.25">
      <c r="A300" s="99">
        <f>2024</f>
        <v>2024</v>
      </c>
      <c r="B300" s="100" t="s">
        <v>15</v>
      </c>
      <c r="C300" s="101">
        <f t="shared" ref="C300" si="40">+C299*(1+D300/100)</f>
        <v>432.74140270245437</v>
      </c>
      <c r="D300" s="102">
        <v>0.63995394260125682</v>
      </c>
      <c r="E300" s="102">
        <f>100*((C300/$C$297)-1)</f>
        <v>1.9898745891851144</v>
      </c>
      <c r="F300" s="103">
        <f t="shared" ref="F300" si="41">100*((C300/$C288)-1)</f>
        <v>5.2572255706895721</v>
      </c>
      <c r="G300" s="104">
        <f t="shared" si="33"/>
        <v>1.0043002874372993</v>
      </c>
    </row>
    <row r="301" spans="1:7" ht="16.5" thickBot="1" x14ac:dyDescent="0.3">
      <c r="A301" s="105">
        <f>2024</f>
        <v>2024</v>
      </c>
      <c r="B301" s="106" t="s">
        <v>16</v>
      </c>
      <c r="C301" s="107">
        <f t="shared" ref="C301" si="42">+C300*(1+D301/100)</f>
        <v>434.602315120095</v>
      </c>
      <c r="D301" s="108">
        <v>0.43002874372992661</v>
      </c>
      <c r="E301" s="108">
        <f>100*((C301/$C$297)-1)</f>
        <v>2.4284603656127279</v>
      </c>
      <c r="F301" s="109">
        <f t="shared" ref="F301" si="43">100*((C301/$C289)-1)</f>
        <v>5.4883318928262703</v>
      </c>
      <c r="G301" s="110">
        <f t="shared" si="33"/>
        <v>1</v>
      </c>
    </row>
    <row r="302" spans="1:7" s="163" customFormat="1" x14ac:dyDescent="0.25">
      <c r="A302" s="174" t="s">
        <v>59</v>
      </c>
      <c r="B302" s="175"/>
      <c r="C302" s="175"/>
      <c r="D302" s="175"/>
      <c r="E302" s="175"/>
      <c r="F302" s="175"/>
      <c r="G302" s="175"/>
    </row>
    <row r="303" spans="1:7" x14ac:dyDescent="0.25">
      <c r="C303" s="176"/>
      <c r="D303" s="177"/>
      <c r="E303" s="176"/>
      <c r="F303" s="176"/>
      <c r="G303" s="178"/>
    </row>
    <row r="304" spans="1:7" x14ac:dyDescent="0.25">
      <c r="A304" s="179" t="s">
        <v>44</v>
      </c>
      <c r="C304" s="176"/>
      <c r="D304" s="177"/>
      <c r="E304" s="176"/>
      <c r="F304" s="176"/>
      <c r="G304" s="178"/>
    </row>
    <row r="305" spans="1:7" x14ac:dyDescent="0.25">
      <c r="A305" s="179" t="s">
        <v>60</v>
      </c>
      <c r="C305" s="176"/>
      <c r="D305" s="177"/>
      <c r="E305" s="176"/>
      <c r="F305" s="176"/>
      <c r="G305" s="178"/>
    </row>
    <row r="306" spans="1:7" x14ac:dyDescent="0.25">
      <c r="A306" s="179" t="s">
        <v>46</v>
      </c>
      <c r="B306" s="144"/>
      <c r="C306" s="176"/>
      <c r="D306" s="177"/>
      <c r="E306" s="176"/>
      <c r="F306" s="176"/>
      <c r="G306" s="178"/>
    </row>
    <row r="307" spans="1:7" x14ac:dyDescent="0.25">
      <c r="A307" s="180"/>
      <c r="B307" s="144"/>
      <c r="C307" s="176"/>
      <c r="D307" s="177"/>
      <c r="E307" s="176"/>
      <c r="F307" s="176"/>
      <c r="G307" s="178"/>
    </row>
    <row r="308" spans="1:7" x14ac:dyDescent="0.25">
      <c r="A308" s="180" t="s">
        <v>61</v>
      </c>
      <c r="B308" s="144"/>
      <c r="C308" s="176"/>
      <c r="D308" s="177"/>
      <c r="E308" s="176"/>
      <c r="F308" s="176"/>
      <c r="G308" s="178"/>
    </row>
    <row r="309" spans="1:7" x14ac:dyDescent="0.25">
      <c r="A309" s="181"/>
      <c r="B309" s="144"/>
      <c r="C309" s="176"/>
      <c r="D309" s="177"/>
      <c r="E309" s="176"/>
      <c r="F309" s="176"/>
      <c r="G309" s="178"/>
    </row>
    <row r="310" spans="1:7" x14ac:dyDescent="0.25">
      <c r="A310" s="181"/>
      <c r="B310" s="144"/>
      <c r="C310" s="176"/>
      <c r="D310" s="177"/>
      <c r="E310" s="176"/>
      <c r="F310" s="176"/>
      <c r="G310" s="178"/>
    </row>
    <row r="311" spans="1:7" x14ac:dyDescent="0.25">
      <c r="A311" s="181"/>
      <c r="B311" s="144"/>
      <c r="C311" s="176"/>
      <c r="D311" s="177"/>
      <c r="E311" s="176"/>
      <c r="F311" s="176"/>
      <c r="G311" s="178"/>
    </row>
    <row r="312" spans="1:7" x14ac:dyDescent="0.25">
      <c r="A312" s="181"/>
      <c r="B312" s="144"/>
      <c r="C312" s="176"/>
      <c r="D312" s="177"/>
      <c r="E312" s="176"/>
      <c r="F312" s="176"/>
      <c r="G312" s="178"/>
    </row>
    <row r="313" spans="1:7" x14ac:dyDescent="0.25">
      <c r="A313" s="181"/>
      <c r="B313" s="144"/>
      <c r="C313" s="176"/>
      <c r="D313" s="177"/>
      <c r="E313" s="176"/>
      <c r="F313" s="176"/>
      <c r="G313" s="178"/>
    </row>
    <row r="314" spans="1:7" x14ac:dyDescent="0.25">
      <c r="A314" s="181"/>
      <c r="B314" s="144"/>
      <c r="C314" s="176"/>
      <c r="D314" s="177"/>
      <c r="E314" s="176"/>
      <c r="F314" s="176"/>
      <c r="G314" s="178"/>
    </row>
    <row r="315" spans="1:7" x14ac:dyDescent="0.25">
      <c r="A315" s="181"/>
      <c r="B315" s="144"/>
      <c r="C315" s="176"/>
      <c r="D315" s="177"/>
      <c r="E315" s="176"/>
      <c r="F315" s="176"/>
      <c r="G315" s="178"/>
    </row>
    <row r="316" spans="1:7" x14ac:dyDescent="0.25">
      <c r="A316" s="181"/>
      <c r="B316" s="144"/>
      <c r="C316" s="176"/>
      <c r="D316" s="177"/>
      <c r="E316" s="176"/>
      <c r="F316" s="176"/>
      <c r="G316" s="178"/>
    </row>
    <row r="317" spans="1:7" x14ac:dyDescent="0.25">
      <c r="A317" s="181"/>
      <c r="B317" s="144"/>
      <c r="C317" s="176"/>
      <c r="D317" s="177"/>
      <c r="E317" s="176"/>
      <c r="F317" s="176"/>
      <c r="G317" s="178"/>
    </row>
    <row r="318" spans="1:7" x14ac:dyDescent="0.25">
      <c r="A318" s="181"/>
      <c r="B318" s="144"/>
      <c r="C318" s="176"/>
      <c r="D318" s="177"/>
      <c r="E318" s="176"/>
      <c r="F318" s="176"/>
      <c r="G318" s="178"/>
    </row>
    <row r="319" spans="1:7" x14ac:dyDescent="0.25">
      <c r="A319" s="181"/>
      <c r="B319" s="144"/>
      <c r="C319" s="176"/>
      <c r="D319" s="177"/>
      <c r="E319" s="176"/>
      <c r="F319" s="176"/>
      <c r="G319" s="178"/>
    </row>
    <row r="320" spans="1:7" x14ac:dyDescent="0.25">
      <c r="A320" s="181"/>
      <c r="B320" s="144"/>
      <c r="C320" s="176"/>
      <c r="D320" s="177"/>
      <c r="E320" s="176"/>
      <c r="F320" s="176"/>
      <c r="G320" s="178"/>
    </row>
    <row r="321" spans="1:7" x14ac:dyDescent="0.25">
      <c r="A321" s="181"/>
      <c r="B321" s="144"/>
      <c r="C321" s="176"/>
      <c r="D321" s="177"/>
      <c r="E321" s="176"/>
      <c r="F321" s="176"/>
      <c r="G321" s="178"/>
    </row>
    <row r="322" spans="1:7" x14ac:dyDescent="0.25">
      <c r="A322" s="181"/>
      <c r="B322" s="144"/>
      <c r="C322" s="176"/>
      <c r="D322" s="177"/>
      <c r="E322" s="176"/>
      <c r="F322" s="176"/>
      <c r="G322" s="178"/>
    </row>
    <row r="323" spans="1:7" x14ac:dyDescent="0.25">
      <c r="A323" s="181"/>
      <c r="B323" s="144"/>
      <c r="C323" s="176"/>
      <c r="D323" s="177"/>
      <c r="E323" s="176"/>
      <c r="F323" s="176"/>
      <c r="G323" s="178"/>
    </row>
    <row r="324" spans="1:7" x14ac:dyDescent="0.25">
      <c r="A324" s="181"/>
      <c r="B324" s="144"/>
      <c r="C324" s="176"/>
      <c r="D324" s="177"/>
      <c r="E324" s="176"/>
      <c r="F324" s="176"/>
      <c r="G324" s="178"/>
    </row>
    <row r="325" spans="1:7" x14ac:dyDescent="0.25">
      <c r="A325" s="181"/>
      <c r="B325" s="144"/>
      <c r="C325" s="176"/>
      <c r="D325" s="177"/>
      <c r="E325" s="176"/>
      <c r="F325" s="176"/>
      <c r="G325" s="178"/>
    </row>
    <row r="326" spans="1:7" x14ac:dyDescent="0.25">
      <c r="A326" s="181"/>
      <c r="B326" s="144"/>
      <c r="C326" s="176"/>
      <c r="D326" s="177"/>
      <c r="E326" s="176"/>
      <c r="F326" s="176"/>
      <c r="G326" s="178"/>
    </row>
    <row r="327" spans="1:7" x14ac:dyDescent="0.25">
      <c r="A327" s="181"/>
      <c r="B327" s="144"/>
      <c r="C327" s="176"/>
      <c r="D327" s="177"/>
      <c r="E327" s="176"/>
      <c r="F327" s="176"/>
      <c r="G327" s="178"/>
    </row>
    <row r="328" spans="1:7" x14ac:dyDescent="0.25">
      <c r="A328" s="181"/>
      <c r="B328" s="144"/>
      <c r="C328" s="176"/>
      <c r="D328" s="177"/>
      <c r="E328" s="176"/>
      <c r="F328" s="176"/>
      <c r="G328" s="178"/>
    </row>
    <row r="329" spans="1:7" x14ac:dyDescent="0.25">
      <c r="A329" s="181"/>
      <c r="B329" s="144"/>
      <c r="C329" s="176"/>
      <c r="D329" s="177"/>
      <c r="E329" s="176"/>
      <c r="F329" s="176"/>
      <c r="G329" s="178"/>
    </row>
    <row r="330" spans="1:7" x14ac:dyDescent="0.25">
      <c r="A330" s="181"/>
      <c r="B330" s="144"/>
      <c r="C330" s="176"/>
      <c r="D330" s="177"/>
      <c r="E330" s="176"/>
      <c r="F330" s="176"/>
      <c r="G330" s="178"/>
    </row>
    <row r="331" spans="1:7" x14ac:dyDescent="0.25">
      <c r="A331" s="181"/>
      <c r="B331" s="144"/>
      <c r="C331" s="176"/>
      <c r="D331" s="177"/>
      <c r="E331" s="176"/>
      <c r="F331" s="176"/>
      <c r="G331" s="178"/>
    </row>
    <row r="332" spans="1:7" x14ac:dyDescent="0.25">
      <c r="A332" s="181"/>
      <c r="B332" s="144"/>
      <c r="C332" s="176"/>
      <c r="D332" s="177"/>
      <c r="E332" s="176"/>
      <c r="F332" s="176"/>
      <c r="G332" s="178"/>
    </row>
    <row r="333" spans="1:7" x14ac:dyDescent="0.25">
      <c r="A333" s="181"/>
      <c r="B333" s="144"/>
      <c r="C333" s="176"/>
      <c r="D333" s="177"/>
      <c r="E333" s="176"/>
      <c r="F333" s="176"/>
      <c r="G333" s="178"/>
    </row>
    <row r="334" spans="1:7" x14ac:dyDescent="0.25">
      <c r="A334" s="181"/>
      <c r="B334" s="144"/>
      <c r="C334" s="176"/>
      <c r="D334" s="177"/>
      <c r="E334" s="176"/>
      <c r="F334" s="176"/>
      <c r="G334" s="178"/>
    </row>
    <row r="335" spans="1:7" x14ac:dyDescent="0.25">
      <c r="A335" s="181"/>
      <c r="B335" s="144"/>
      <c r="C335" s="176"/>
      <c r="D335" s="177"/>
      <c r="E335" s="176"/>
      <c r="F335" s="176"/>
      <c r="G335" s="178"/>
    </row>
    <row r="336" spans="1:7" x14ac:dyDescent="0.25">
      <c r="A336" s="181"/>
      <c r="B336" s="144"/>
      <c r="C336" s="176"/>
      <c r="D336" s="177"/>
      <c r="E336" s="176"/>
      <c r="F336" s="176"/>
      <c r="G336" s="178"/>
    </row>
    <row r="337" spans="1:7" x14ac:dyDescent="0.25">
      <c r="A337" s="181"/>
      <c r="B337" s="144"/>
      <c r="C337" s="176"/>
      <c r="D337" s="177"/>
      <c r="E337" s="176"/>
      <c r="F337" s="176"/>
      <c r="G337" s="178"/>
    </row>
    <row r="338" spans="1:7" x14ac:dyDescent="0.25">
      <c r="A338" s="181"/>
      <c r="B338" s="144"/>
      <c r="C338" s="176"/>
      <c r="D338" s="177"/>
      <c r="E338" s="176"/>
      <c r="F338" s="176"/>
      <c r="G338" s="178"/>
    </row>
    <row r="339" spans="1:7" x14ac:dyDescent="0.25">
      <c r="A339" s="181"/>
      <c r="B339" s="144"/>
      <c r="C339" s="176"/>
      <c r="D339" s="177"/>
      <c r="E339" s="176"/>
      <c r="F339" s="176"/>
      <c r="G339" s="178"/>
    </row>
    <row r="340" spans="1:7" x14ac:dyDescent="0.25">
      <c r="A340" s="181"/>
      <c r="B340" s="144"/>
      <c r="C340" s="176"/>
      <c r="D340" s="177"/>
      <c r="E340" s="176"/>
      <c r="F340" s="176"/>
      <c r="G340" s="178"/>
    </row>
    <row r="341" spans="1:7" x14ac:dyDescent="0.25">
      <c r="A341" s="181"/>
      <c r="B341" s="144"/>
      <c r="C341" s="176"/>
      <c r="D341" s="177"/>
      <c r="E341" s="176"/>
      <c r="F341" s="176"/>
      <c r="G341" s="178"/>
    </row>
    <row r="342" spans="1:7" x14ac:dyDescent="0.25">
      <c r="A342" s="181"/>
      <c r="B342" s="144"/>
      <c r="C342" s="176"/>
      <c r="D342" s="177"/>
      <c r="E342" s="176"/>
      <c r="F342" s="176"/>
      <c r="G342" s="178"/>
    </row>
    <row r="343" spans="1:7" x14ac:dyDescent="0.25">
      <c r="A343" s="181"/>
      <c r="B343" s="144"/>
      <c r="C343" s="176"/>
      <c r="D343" s="177"/>
      <c r="E343" s="176"/>
      <c r="F343" s="176"/>
      <c r="G343" s="178"/>
    </row>
    <row r="344" spans="1:7" x14ac:dyDescent="0.25">
      <c r="A344" s="181"/>
      <c r="B344" s="144"/>
      <c r="C344" s="176"/>
      <c r="D344" s="177"/>
      <c r="E344" s="176"/>
      <c r="F344" s="176"/>
      <c r="G344" s="178"/>
    </row>
    <row r="345" spans="1:7" x14ac:dyDescent="0.25">
      <c r="A345" s="181"/>
      <c r="B345" s="144"/>
      <c r="C345" s="176"/>
      <c r="D345" s="177"/>
      <c r="E345" s="176"/>
      <c r="F345" s="176"/>
      <c r="G345" s="178"/>
    </row>
    <row r="346" spans="1:7" x14ac:dyDescent="0.25">
      <c r="A346" s="181"/>
      <c r="B346" s="144"/>
      <c r="C346" s="176"/>
      <c r="D346" s="177"/>
      <c r="E346" s="176"/>
      <c r="F346" s="176"/>
      <c r="G346" s="178"/>
    </row>
    <row r="347" spans="1:7" x14ac:dyDescent="0.25">
      <c r="A347" s="181"/>
      <c r="B347" s="144"/>
      <c r="C347" s="176"/>
      <c r="D347" s="177"/>
      <c r="E347" s="176"/>
      <c r="F347" s="176"/>
      <c r="G347" s="178"/>
    </row>
    <row r="348" spans="1:7" x14ac:dyDescent="0.25">
      <c r="A348" s="181"/>
      <c r="B348" s="144"/>
      <c r="C348" s="176"/>
      <c r="D348" s="177"/>
      <c r="E348" s="176"/>
      <c r="F348" s="176"/>
      <c r="G348" s="178"/>
    </row>
    <row r="349" spans="1:7" x14ac:dyDescent="0.25">
      <c r="A349" s="181"/>
      <c r="B349" s="144"/>
      <c r="C349" s="176"/>
      <c r="D349" s="177"/>
      <c r="E349" s="176"/>
      <c r="F349" s="176"/>
      <c r="G349" s="178"/>
    </row>
    <row r="350" spans="1:7" x14ac:dyDescent="0.25">
      <c r="A350" s="181"/>
      <c r="B350" s="144"/>
      <c r="C350" s="176"/>
      <c r="D350" s="177"/>
      <c r="E350" s="176"/>
      <c r="F350" s="176"/>
      <c r="G350" s="178"/>
    </row>
    <row r="351" spans="1:7" x14ac:dyDescent="0.25">
      <c r="A351" s="181"/>
      <c r="B351" s="144"/>
      <c r="C351" s="176"/>
      <c r="D351" s="177"/>
      <c r="E351" s="176"/>
      <c r="F351" s="176"/>
      <c r="G351" s="178"/>
    </row>
    <row r="352" spans="1:7" x14ac:dyDescent="0.25">
      <c r="A352" s="181"/>
      <c r="B352" s="144"/>
      <c r="C352" s="176"/>
      <c r="D352" s="177"/>
      <c r="E352" s="176"/>
      <c r="F352" s="176"/>
      <c r="G352" s="178"/>
    </row>
    <row r="353" spans="1:7" x14ac:dyDescent="0.25">
      <c r="A353" s="181"/>
      <c r="B353" s="144"/>
      <c r="C353" s="176"/>
      <c r="D353" s="177"/>
      <c r="E353" s="176"/>
      <c r="F353" s="176"/>
      <c r="G353" s="178"/>
    </row>
    <row r="354" spans="1:7" x14ac:dyDescent="0.25">
      <c r="A354" s="181"/>
      <c r="B354" s="144"/>
      <c r="C354" s="176"/>
      <c r="D354" s="177"/>
      <c r="E354" s="176"/>
      <c r="F354" s="176"/>
      <c r="G354" s="178"/>
    </row>
    <row r="355" spans="1:7" x14ac:dyDescent="0.25">
      <c r="A355" s="181"/>
      <c r="B355" s="144"/>
      <c r="C355" s="176"/>
      <c r="D355" s="177"/>
      <c r="E355" s="176"/>
      <c r="F355" s="176"/>
      <c r="G355" s="178"/>
    </row>
    <row r="356" spans="1:7" x14ac:dyDescent="0.25">
      <c r="A356" s="181"/>
      <c r="B356" s="144"/>
      <c r="C356" s="176"/>
      <c r="D356" s="177"/>
      <c r="E356" s="176"/>
      <c r="F356" s="176"/>
      <c r="G356" s="178"/>
    </row>
    <row r="357" spans="1:7" x14ac:dyDescent="0.25">
      <c r="A357" s="181"/>
      <c r="B357" s="144"/>
      <c r="C357" s="176"/>
      <c r="D357" s="177"/>
      <c r="E357" s="176"/>
      <c r="F357" s="176"/>
      <c r="G357" s="178"/>
    </row>
    <row r="358" spans="1:7" x14ac:dyDescent="0.25">
      <c r="A358" s="181"/>
      <c r="B358" s="144"/>
      <c r="C358" s="176"/>
      <c r="D358" s="177"/>
      <c r="E358" s="176"/>
      <c r="F358" s="176"/>
      <c r="G358" s="178"/>
    </row>
    <row r="359" spans="1:7" x14ac:dyDescent="0.25">
      <c r="A359" s="181"/>
      <c r="B359" s="144"/>
      <c r="C359" s="176"/>
      <c r="D359" s="177"/>
      <c r="E359" s="176"/>
      <c r="F359" s="176"/>
      <c r="G359" s="178"/>
    </row>
    <row r="360" spans="1:7" x14ac:dyDescent="0.25">
      <c r="A360" s="181"/>
      <c r="B360" s="144"/>
      <c r="C360" s="176"/>
      <c r="D360" s="177"/>
      <c r="E360" s="176"/>
      <c r="F360" s="176"/>
      <c r="G360" s="178"/>
    </row>
    <row r="361" spans="1:7" x14ac:dyDescent="0.25">
      <c r="A361" s="181"/>
      <c r="B361" s="144"/>
      <c r="C361" s="176"/>
      <c r="D361" s="177"/>
      <c r="E361" s="176"/>
      <c r="F361" s="176"/>
      <c r="G361" s="178"/>
    </row>
    <row r="362" spans="1:7" x14ac:dyDescent="0.25">
      <c r="A362" s="181"/>
      <c r="B362" s="144"/>
      <c r="C362" s="176"/>
      <c r="D362" s="177"/>
      <c r="E362" s="176"/>
      <c r="F362" s="176"/>
      <c r="G362" s="178"/>
    </row>
    <row r="363" spans="1:7" x14ac:dyDescent="0.25">
      <c r="A363" s="181"/>
      <c r="B363" s="144"/>
      <c r="C363" s="176"/>
      <c r="D363" s="177"/>
      <c r="E363" s="176"/>
      <c r="F363" s="176"/>
      <c r="G363" s="178"/>
    </row>
    <row r="364" spans="1:7" x14ac:dyDescent="0.25">
      <c r="A364" s="181"/>
      <c r="B364" s="144"/>
      <c r="C364" s="176"/>
      <c r="D364" s="177"/>
      <c r="E364" s="176"/>
      <c r="F364" s="176"/>
      <c r="G364" s="178"/>
    </row>
    <row r="365" spans="1:7" x14ac:dyDescent="0.25">
      <c r="A365" s="181"/>
      <c r="B365" s="144"/>
      <c r="C365" s="176"/>
      <c r="D365" s="177"/>
      <c r="E365" s="176"/>
      <c r="F365" s="176"/>
      <c r="G365" s="178"/>
    </row>
    <row r="366" spans="1:7" x14ac:dyDescent="0.25">
      <c r="A366" s="181"/>
      <c r="B366" s="144"/>
      <c r="C366" s="176"/>
      <c r="D366" s="177"/>
      <c r="E366" s="176"/>
      <c r="F366" s="176"/>
      <c r="G366" s="178"/>
    </row>
    <row r="367" spans="1:7" x14ac:dyDescent="0.25">
      <c r="A367" s="181"/>
      <c r="B367" s="144"/>
      <c r="C367" s="176"/>
      <c r="D367" s="177"/>
      <c r="E367" s="176"/>
      <c r="F367" s="176"/>
      <c r="G367" s="178"/>
    </row>
    <row r="368" spans="1:7" x14ac:dyDescent="0.25">
      <c r="A368" s="181"/>
      <c r="B368" s="144"/>
      <c r="C368" s="176"/>
      <c r="D368" s="177"/>
      <c r="E368" s="176"/>
      <c r="F368" s="176"/>
      <c r="G368" s="178"/>
    </row>
    <row r="369" spans="1:7" x14ac:dyDescent="0.25">
      <c r="A369" s="181"/>
      <c r="B369" s="144"/>
      <c r="C369" s="176"/>
      <c r="D369" s="177"/>
      <c r="E369" s="176"/>
      <c r="F369" s="176"/>
      <c r="G369" s="178"/>
    </row>
    <row r="370" spans="1:7" x14ac:dyDescent="0.25">
      <c r="A370" s="181"/>
      <c r="B370" s="144"/>
      <c r="C370" s="176"/>
      <c r="D370" s="177"/>
      <c r="E370" s="176"/>
      <c r="F370" s="176"/>
      <c r="G370" s="178"/>
    </row>
    <row r="371" spans="1:7" x14ac:dyDescent="0.25">
      <c r="A371" s="181"/>
      <c r="B371" s="144"/>
      <c r="C371" s="176"/>
      <c r="D371" s="177"/>
      <c r="E371" s="176"/>
      <c r="F371" s="176"/>
      <c r="G371" s="178"/>
    </row>
    <row r="372" spans="1:7" x14ac:dyDescent="0.25">
      <c r="A372" s="181"/>
      <c r="B372" s="144"/>
      <c r="C372" s="176"/>
      <c r="D372" s="177"/>
      <c r="E372" s="176"/>
      <c r="F372" s="176"/>
      <c r="G372" s="178"/>
    </row>
    <row r="373" spans="1:7" x14ac:dyDescent="0.25">
      <c r="A373" s="181"/>
      <c r="B373" s="144"/>
      <c r="C373" s="176"/>
      <c r="D373" s="177"/>
      <c r="E373" s="176"/>
      <c r="F373" s="176"/>
      <c r="G373" s="178"/>
    </row>
    <row r="374" spans="1:7" x14ac:dyDescent="0.25">
      <c r="A374" s="181"/>
      <c r="B374" s="144"/>
      <c r="C374" s="176"/>
      <c r="D374" s="177"/>
      <c r="E374" s="176"/>
      <c r="F374" s="176"/>
      <c r="G374" s="178"/>
    </row>
    <row r="375" spans="1:7" x14ac:dyDescent="0.25">
      <c r="A375" s="181"/>
      <c r="B375" s="144"/>
      <c r="C375" s="176"/>
      <c r="D375" s="177"/>
      <c r="E375" s="176"/>
      <c r="F375" s="176"/>
      <c r="G375" s="178"/>
    </row>
    <row r="376" spans="1:7" x14ac:dyDescent="0.25">
      <c r="A376" s="181"/>
      <c r="B376" s="144"/>
      <c r="C376" s="176"/>
      <c r="D376" s="177"/>
      <c r="E376" s="176"/>
      <c r="F376" s="176"/>
      <c r="G376" s="178"/>
    </row>
    <row r="377" spans="1:7" x14ac:dyDescent="0.25">
      <c r="A377" s="181"/>
      <c r="B377" s="144"/>
      <c r="C377" s="176"/>
      <c r="D377" s="177"/>
      <c r="E377" s="176"/>
      <c r="F377" s="176"/>
      <c r="G377" s="178"/>
    </row>
    <row r="378" spans="1:7" x14ac:dyDescent="0.25">
      <c r="A378" s="181"/>
      <c r="B378" s="144"/>
      <c r="C378" s="176"/>
      <c r="D378" s="177"/>
      <c r="E378" s="176"/>
      <c r="F378" s="176"/>
      <c r="G378" s="178"/>
    </row>
    <row r="379" spans="1:7" x14ac:dyDescent="0.25">
      <c r="A379" s="181"/>
      <c r="B379" s="144"/>
      <c r="C379" s="176"/>
      <c r="D379" s="177"/>
      <c r="E379" s="176"/>
      <c r="F379" s="176"/>
      <c r="G379" s="178"/>
    </row>
    <row r="380" spans="1:7" x14ac:dyDescent="0.25">
      <c r="A380" s="181"/>
      <c r="B380" s="144"/>
      <c r="C380" s="176"/>
      <c r="D380" s="177"/>
      <c r="E380" s="176"/>
      <c r="F380" s="176"/>
      <c r="G380" s="178"/>
    </row>
    <row r="381" spans="1:7" x14ac:dyDescent="0.25">
      <c r="A381" s="181"/>
      <c r="B381" s="144"/>
      <c r="C381" s="176"/>
      <c r="D381" s="177"/>
      <c r="E381" s="176"/>
      <c r="F381" s="176"/>
      <c r="G381" s="178"/>
    </row>
    <row r="382" spans="1:7" x14ac:dyDescent="0.25">
      <c r="A382" s="181"/>
      <c r="B382" s="144"/>
      <c r="C382" s="176"/>
      <c r="D382" s="177"/>
      <c r="E382" s="176"/>
      <c r="F382" s="176"/>
      <c r="G382" s="178"/>
    </row>
    <row r="383" spans="1:7" x14ac:dyDescent="0.25">
      <c r="A383" s="181"/>
      <c r="B383" s="144"/>
      <c r="C383" s="176"/>
      <c r="D383" s="177"/>
      <c r="E383" s="176"/>
      <c r="F383" s="176"/>
      <c r="G383" s="178"/>
    </row>
    <row r="384" spans="1:7" x14ac:dyDescent="0.25">
      <c r="G384" s="182"/>
    </row>
    <row r="385" spans="1:7" x14ac:dyDescent="0.25">
      <c r="A385" s="113"/>
      <c r="F385" s="166"/>
      <c r="G385" s="168"/>
    </row>
    <row r="386" spans="1:7" x14ac:dyDescent="0.25">
      <c r="A386" s="113"/>
      <c r="D386" s="166"/>
      <c r="E386" s="166"/>
      <c r="F386" s="166"/>
      <c r="G386" s="168"/>
    </row>
    <row r="387" spans="1:7" x14ac:dyDescent="0.25">
      <c r="A387" s="113"/>
      <c r="D387" s="166"/>
      <c r="E387" s="166"/>
      <c r="F387" s="166"/>
      <c r="G387" s="168"/>
    </row>
    <row r="388" spans="1:7" x14ac:dyDescent="0.25">
      <c r="D388" s="166"/>
      <c r="E388" s="166"/>
      <c r="F388" s="166"/>
      <c r="G388" s="168"/>
    </row>
    <row r="389" spans="1:7" x14ac:dyDescent="0.25">
      <c r="A389" s="113"/>
      <c r="D389" s="166"/>
      <c r="E389" s="166"/>
      <c r="F389" s="166"/>
      <c r="G389" s="168"/>
    </row>
    <row r="390" spans="1:7" x14ac:dyDescent="0.25">
      <c r="A390" s="113"/>
      <c r="D390" s="166"/>
      <c r="E390" s="166"/>
      <c r="F390" s="166"/>
    </row>
    <row r="391" spans="1:7" x14ac:dyDescent="0.25">
      <c r="A391" s="113"/>
      <c r="D391" s="166"/>
      <c r="E391" s="166"/>
      <c r="F391" s="166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3E45-C1DE-4801-B6B1-C89D9F840AE6}">
  <dimension ref="A1:G391"/>
  <sheetViews>
    <sheetView showGridLines="0" workbookViewId="0">
      <pane ySplit="2610" topLeftCell="A368" activePane="bottomLeft"/>
      <selection activeCell="G385" sqref="G385"/>
      <selection pane="bottomLeft" activeCell="I383" sqref="I383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82" t="s">
        <v>66</v>
      </c>
      <c r="B1" s="682"/>
      <c r="C1" s="682"/>
      <c r="D1" s="682"/>
      <c r="E1" s="682"/>
      <c r="F1" s="682"/>
      <c r="G1" s="682"/>
    </row>
    <row r="2" spans="1:7" ht="15.75" customHeight="1" x14ac:dyDescent="0.25">
      <c r="A2" s="682"/>
      <c r="B2" s="682"/>
      <c r="C2" s="682"/>
      <c r="D2" s="682"/>
      <c r="E2" s="682"/>
      <c r="F2" s="682"/>
      <c r="G2" s="682"/>
    </row>
    <row r="3" spans="1:7" ht="15" customHeight="1" thickBot="1" x14ac:dyDescent="0.3">
      <c r="A3" s="683"/>
      <c r="B3" s="683"/>
      <c r="C3" s="683"/>
      <c r="D3" s="683"/>
      <c r="E3" s="683"/>
      <c r="F3" s="683"/>
      <c r="G3" s="683"/>
    </row>
    <row r="4" spans="1:7" ht="17.25" customHeight="1" thickBot="1" x14ac:dyDescent="0.3">
      <c r="A4" s="684" t="s">
        <v>63</v>
      </c>
      <c r="B4" s="685"/>
      <c r="C4" s="686"/>
      <c r="D4" s="687" t="s">
        <v>50</v>
      </c>
      <c r="E4" s="688"/>
      <c r="F4" s="688"/>
      <c r="G4" s="711"/>
    </row>
    <row r="5" spans="1:7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712" t="s">
        <v>51</v>
      </c>
    </row>
    <row r="6" spans="1:7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713"/>
    </row>
    <row r="7" spans="1:7" ht="16.5" hidden="1" thickBot="1" x14ac:dyDescent="0.3">
      <c r="A7" s="69">
        <v>1993</v>
      </c>
      <c r="B7" s="70" t="s">
        <v>12</v>
      </c>
      <c r="C7" s="71">
        <v>100</v>
      </c>
      <c r="D7" s="71"/>
      <c r="E7" s="151"/>
      <c r="F7" s="152"/>
      <c r="G7" s="183">
        <f>$C$383/C7</f>
        <v>74.675699999999793</v>
      </c>
    </row>
    <row r="8" spans="1:7" ht="16.5" hidden="1" thickBot="1" x14ac:dyDescent="0.3">
      <c r="A8" s="75">
        <v>1994</v>
      </c>
      <c r="B8" s="76" t="s">
        <v>13</v>
      </c>
      <c r="C8" s="77">
        <f t="shared" ref="C8:C71" si="0">+C7*(1+D8/100)</f>
        <v>141.32</v>
      </c>
      <c r="D8" s="184">
        <v>41.32</v>
      </c>
      <c r="E8" s="81"/>
      <c r="F8" s="153"/>
      <c r="G8" s="80">
        <f>$C$383/C8</f>
        <v>52.841565242003824</v>
      </c>
    </row>
    <row r="9" spans="1:7" ht="16.5" hidden="1" thickBot="1" x14ac:dyDescent="0.3">
      <c r="A9" s="75">
        <v>1994</v>
      </c>
      <c r="B9" s="76" t="s">
        <v>14</v>
      </c>
      <c r="C9" s="77">
        <f t="shared" si="0"/>
        <v>198.65</v>
      </c>
      <c r="D9" s="184">
        <v>40.567506368525351</v>
      </c>
      <c r="E9" s="81"/>
      <c r="F9" s="153"/>
      <c r="G9" s="80">
        <f>$C$383/C9</f>
        <v>37.591593254467554</v>
      </c>
    </row>
    <row r="10" spans="1:7" ht="16.5" hidden="1" thickBot="1" x14ac:dyDescent="0.3">
      <c r="A10" s="75">
        <v>1994</v>
      </c>
      <c r="B10" s="76" t="s">
        <v>15</v>
      </c>
      <c r="C10" s="77">
        <f t="shared" si="0"/>
        <v>284.23</v>
      </c>
      <c r="D10" s="184">
        <v>43.08079536873899</v>
      </c>
      <c r="E10" s="81"/>
      <c r="F10" s="153"/>
      <c r="G10" s="80">
        <f>$C$383/C10</f>
        <v>26.272983147450933</v>
      </c>
    </row>
    <row r="11" spans="1:7" ht="16.5" hidden="1" thickBot="1" x14ac:dyDescent="0.3">
      <c r="A11" s="75">
        <v>1994</v>
      </c>
      <c r="B11" s="76" t="s">
        <v>16</v>
      </c>
      <c r="C11" s="77">
        <f t="shared" si="0"/>
        <v>406.05</v>
      </c>
      <c r="D11" s="184">
        <v>42.859655912465257</v>
      </c>
      <c r="E11" s="81"/>
      <c r="F11" s="153"/>
      <c r="G11" s="80">
        <f>$C$383/C11</f>
        <v>18.390764684152149</v>
      </c>
    </row>
    <row r="12" spans="1:7" ht="16.5" hidden="1" thickBot="1" x14ac:dyDescent="0.3">
      <c r="A12" s="75">
        <v>1994</v>
      </c>
      <c r="B12" s="76" t="s">
        <v>17</v>
      </c>
      <c r="C12" s="77">
        <f t="shared" si="0"/>
        <v>579.55999999999995</v>
      </c>
      <c r="D12" s="184">
        <v>42.731190740056626</v>
      </c>
      <c r="E12" s="81"/>
      <c r="F12" s="153"/>
      <c r="G12" s="80">
        <f>$C$383/C12</f>
        <v>12.884895437918386</v>
      </c>
    </row>
    <row r="13" spans="1:7" ht="16.5" hidden="1" thickBot="1" x14ac:dyDescent="0.3">
      <c r="A13" s="75">
        <v>1994</v>
      </c>
      <c r="B13" s="76" t="s">
        <v>18</v>
      </c>
      <c r="C13" s="77">
        <f t="shared" si="0"/>
        <v>859.14</v>
      </c>
      <c r="D13" s="184">
        <v>48.24004417144041</v>
      </c>
      <c r="E13" s="81"/>
      <c r="F13" s="153"/>
      <c r="G13" s="80">
        <f>$C$383/C13</f>
        <v>8.6919128430756096</v>
      </c>
    </row>
    <row r="14" spans="1:7" ht="16.5" hidden="1" thickBot="1" x14ac:dyDescent="0.3">
      <c r="A14" s="75">
        <v>1994</v>
      </c>
      <c r="B14" s="76" t="s">
        <v>19</v>
      </c>
      <c r="C14" s="77">
        <f t="shared" si="0"/>
        <v>925.72</v>
      </c>
      <c r="D14" s="184">
        <v>7.749610075191482</v>
      </c>
      <c r="E14" s="81"/>
      <c r="F14" s="153"/>
      <c r="G14" s="80">
        <f>$C$383/C14</f>
        <v>8.0667696495700429</v>
      </c>
    </row>
    <row r="15" spans="1:7" ht="16.5" hidden="1" thickBot="1" x14ac:dyDescent="0.3">
      <c r="A15" s="75">
        <v>1994</v>
      </c>
      <c r="B15" s="76" t="s">
        <v>20</v>
      </c>
      <c r="C15" s="77">
        <f t="shared" si="0"/>
        <v>942.84999999999991</v>
      </c>
      <c r="D15" s="184">
        <v>1.8504515404225819</v>
      </c>
      <c r="E15" s="81"/>
      <c r="F15" s="153"/>
      <c r="G15" s="80">
        <f>$C$383/C15</f>
        <v>7.9202100015909007</v>
      </c>
    </row>
    <row r="16" spans="1:7" ht="16.5" hidden="1" thickBot="1" x14ac:dyDescent="0.3">
      <c r="A16" s="75">
        <v>1994</v>
      </c>
      <c r="B16" s="76" t="s">
        <v>21</v>
      </c>
      <c r="C16" s="77">
        <f t="shared" si="0"/>
        <v>956.04999999999984</v>
      </c>
      <c r="D16" s="184">
        <v>1.4000106061409445</v>
      </c>
      <c r="E16" s="81"/>
      <c r="F16" s="153"/>
      <c r="G16" s="80">
        <f>$C$383/C16</f>
        <v>7.8108571727419918</v>
      </c>
    </row>
    <row r="17" spans="1:7" ht="16.5" hidden="1" thickBot="1" x14ac:dyDescent="0.3">
      <c r="A17" s="75">
        <v>1994</v>
      </c>
      <c r="B17" s="76" t="s">
        <v>22</v>
      </c>
      <c r="C17" s="77">
        <f t="shared" si="0"/>
        <v>983.01</v>
      </c>
      <c r="D17" s="184">
        <v>2.8199361958056723</v>
      </c>
      <c r="E17" s="81"/>
      <c r="F17" s="153"/>
      <c r="G17" s="80">
        <f>$C$383/C17</f>
        <v>7.5966368602557246</v>
      </c>
    </row>
    <row r="18" spans="1:7" ht="16.5" hidden="1" thickBot="1" x14ac:dyDescent="0.3">
      <c r="A18" s="75">
        <v>1994</v>
      </c>
      <c r="B18" s="76" t="s">
        <v>23</v>
      </c>
      <c r="C18" s="77">
        <f t="shared" si="0"/>
        <v>1012.11</v>
      </c>
      <c r="D18" s="184">
        <v>2.9602954191717323</v>
      </c>
      <c r="E18" s="81"/>
      <c r="F18" s="153"/>
      <c r="G18" s="80">
        <f>$C$383/C18</f>
        <v>7.3782197587218583</v>
      </c>
    </row>
    <row r="19" spans="1:7" ht="16.5" hidden="1" thickBot="1" x14ac:dyDescent="0.3">
      <c r="A19" s="75">
        <v>1994</v>
      </c>
      <c r="B19" s="76" t="s">
        <v>12</v>
      </c>
      <c r="C19" s="77">
        <f t="shared" si="0"/>
        <v>1029.32</v>
      </c>
      <c r="D19" s="184">
        <v>1.7004080584126058</v>
      </c>
      <c r="E19" s="77">
        <v>929.32</v>
      </c>
      <c r="F19" s="154">
        <v>929.32</v>
      </c>
      <c r="G19" s="80">
        <f>$C$383/C19</f>
        <v>7.2548575758753158</v>
      </c>
    </row>
    <row r="20" spans="1:7" ht="16.5" hidden="1" thickBot="1" x14ac:dyDescent="0.3">
      <c r="A20" s="75">
        <v>1995</v>
      </c>
      <c r="B20" s="76" t="s">
        <v>13</v>
      </c>
      <c r="C20" s="77">
        <f t="shared" si="0"/>
        <v>1044.1400000000001</v>
      </c>
      <c r="D20" s="184">
        <v>1.4397854894493634</v>
      </c>
      <c r="E20" s="77">
        <f>100*((C20/1029.32)-1)</f>
        <v>1.4397854894493634</v>
      </c>
      <c r="F20" s="154">
        <f t="shared" ref="F20:F83" si="1">100*((C20/C8)-1)</f>
        <v>638.84800452872923</v>
      </c>
      <c r="G20" s="80">
        <f>$C$383/C20</f>
        <v>7.1518857624456293</v>
      </c>
    </row>
    <row r="21" spans="1:7" ht="16.5" hidden="1" thickBot="1" x14ac:dyDescent="0.3">
      <c r="A21" s="75">
        <v>1995</v>
      </c>
      <c r="B21" s="76" t="s">
        <v>14</v>
      </c>
      <c r="C21" s="77">
        <f t="shared" si="0"/>
        <v>1054.69</v>
      </c>
      <c r="D21" s="184">
        <v>1.0104009040933226</v>
      </c>
      <c r="E21" s="77">
        <f t="shared" ref="E21:E30" si="2">100*((C21/1029.32)-1)</f>
        <v>2.4647339991450856</v>
      </c>
      <c r="F21" s="154">
        <f t="shared" si="1"/>
        <v>430.92876919204633</v>
      </c>
      <c r="G21" s="80">
        <f>$C$383/C21</f>
        <v>7.0803458836245525</v>
      </c>
    </row>
    <row r="22" spans="1:7" ht="16.5" hidden="1" thickBot="1" x14ac:dyDescent="0.3">
      <c r="A22" s="75">
        <v>1995</v>
      </c>
      <c r="B22" s="76" t="s">
        <v>15</v>
      </c>
      <c r="C22" s="77">
        <f t="shared" si="0"/>
        <v>1071.78</v>
      </c>
      <c r="D22" s="184">
        <v>1.6203813442812409</v>
      </c>
      <c r="E22" s="77">
        <f t="shared" si="2"/>
        <v>4.1250534333346245</v>
      </c>
      <c r="F22" s="154">
        <f t="shared" si="1"/>
        <v>277.08194068184213</v>
      </c>
      <c r="G22" s="80">
        <f>$C$383/C22</f>
        <v>6.9674466774897645</v>
      </c>
    </row>
    <row r="23" spans="1:7" ht="16.5" hidden="1" thickBot="1" x14ac:dyDescent="0.3">
      <c r="A23" s="75">
        <v>1995</v>
      </c>
      <c r="B23" s="76" t="s">
        <v>16</v>
      </c>
      <c r="C23" s="77">
        <f t="shared" si="0"/>
        <v>1098.47</v>
      </c>
      <c r="D23" s="184">
        <v>2.4902498647110471</v>
      </c>
      <c r="E23" s="77">
        <f t="shared" si="2"/>
        <v>6.7180274355885583</v>
      </c>
      <c r="F23" s="154">
        <f t="shared" si="1"/>
        <v>170.52579731560152</v>
      </c>
      <c r="G23" s="80">
        <f>$C$383/C23</f>
        <v>6.7981556164483141</v>
      </c>
    </row>
    <row r="24" spans="1:7" ht="16.5" hidden="1" thickBot="1" x14ac:dyDescent="0.3">
      <c r="A24" s="75">
        <v>1995</v>
      </c>
      <c r="B24" s="76" t="s">
        <v>17</v>
      </c>
      <c r="C24" s="77">
        <f t="shared" si="0"/>
        <v>1121.54</v>
      </c>
      <c r="D24" s="184">
        <v>2.1001939060693475</v>
      </c>
      <c r="E24" s="77">
        <f t="shared" si="2"/>
        <v>8.9593129444681896</v>
      </c>
      <c r="F24" s="154">
        <f t="shared" si="1"/>
        <v>93.515770584581432</v>
      </c>
      <c r="G24" s="80">
        <f>$C$383/C24</f>
        <v>6.6583180269985736</v>
      </c>
    </row>
    <row r="25" spans="1:7" ht="16.5" hidden="1" thickBot="1" x14ac:dyDescent="0.3">
      <c r="A25" s="75">
        <v>1995</v>
      </c>
      <c r="B25" s="76" t="s">
        <v>18</v>
      </c>
      <c r="C25" s="77">
        <f t="shared" si="0"/>
        <v>1145.99</v>
      </c>
      <c r="D25" s="184">
        <v>2.1800381618132247</v>
      </c>
      <c r="E25" s="77">
        <f t="shared" si="2"/>
        <v>11.334667547507093</v>
      </c>
      <c r="F25" s="154">
        <f t="shared" si="1"/>
        <v>33.38803920199269</v>
      </c>
      <c r="G25" s="80">
        <f>$C$383/C25</f>
        <v>6.5162610493983193</v>
      </c>
    </row>
    <row r="26" spans="1:7" ht="16.5" hidden="1" thickBot="1" x14ac:dyDescent="0.3">
      <c r="A26" s="75">
        <v>1995</v>
      </c>
      <c r="B26" s="76" t="s">
        <v>19</v>
      </c>
      <c r="C26" s="77">
        <f t="shared" si="0"/>
        <v>1174.18</v>
      </c>
      <c r="D26" s="184">
        <v>2.4598818488817509</v>
      </c>
      <c r="E26" s="77">
        <f t="shared" si="2"/>
        <v>14.073368826021081</v>
      </c>
      <c r="F26" s="154">
        <f t="shared" si="1"/>
        <v>26.83964913796828</v>
      </c>
      <c r="G26" s="80">
        <f>$C$383/C26</f>
        <v>6.3598170638232459</v>
      </c>
    </row>
    <row r="27" spans="1:7" ht="16.5" hidden="1" thickBot="1" x14ac:dyDescent="0.3">
      <c r="A27" s="75">
        <v>1995</v>
      </c>
      <c r="B27" s="76" t="s">
        <v>20</v>
      </c>
      <c r="C27" s="77">
        <f t="shared" si="0"/>
        <v>1186.1599999999999</v>
      </c>
      <c r="D27" s="184">
        <v>1.0202864978112292</v>
      </c>
      <c r="E27" s="77">
        <f t="shared" si="2"/>
        <v>15.237244005751371</v>
      </c>
      <c r="F27" s="154">
        <f t="shared" si="1"/>
        <v>25.805801559102726</v>
      </c>
      <c r="G27" s="80">
        <f>$C$383/C27</f>
        <v>6.295584069602735</v>
      </c>
    </row>
    <row r="28" spans="1:7" ht="16.5" hidden="1" thickBot="1" x14ac:dyDescent="0.3">
      <c r="A28" s="75">
        <v>1995</v>
      </c>
      <c r="B28" s="76" t="s">
        <v>21</v>
      </c>
      <c r="C28" s="77">
        <f t="shared" si="0"/>
        <v>1200.0399999999997</v>
      </c>
      <c r="D28" s="184">
        <v>1.1701625413097716</v>
      </c>
      <c r="E28" s="77">
        <f t="shared" si="2"/>
        <v>16.585707068744405</v>
      </c>
      <c r="F28" s="154">
        <f t="shared" si="1"/>
        <v>25.520631766121006</v>
      </c>
      <c r="G28" s="80">
        <f>$C$383/C28</f>
        <v>6.2227675744141706</v>
      </c>
    </row>
    <row r="29" spans="1:7" ht="16.5" hidden="1" thickBot="1" x14ac:dyDescent="0.3">
      <c r="A29" s="75">
        <v>1995</v>
      </c>
      <c r="B29" s="76" t="s">
        <v>22</v>
      </c>
      <c r="C29" s="77">
        <f t="shared" si="0"/>
        <v>1216.8399999999997</v>
      </c>
      <c r="D29" s="184">
        <v>1.399953334888826</v>
      </c>
      <c r="E29" s="77">
        <f t="shared" si="2"/>
        <v>18.217852562857018</v>
      </c>
      <c r="F29" s="154">
        <f t="shared" si="1"/>
        <v>23.787143569241387</v>
      </c>
      <c r="G29" s="80">
        <f>$C$383/C29</f>
        <v>6.1368544755267589</v>
      </c>
    </row>
    <row r="30" spans="1:7" ht="16.5" hidden="1" thickBot="1" x14ac:dyDescent="0.3">
      <c r="A30" s="75">
        <v>1995</v>
      </c>
      <c r="B30" s="76" t="s">
        <v>23</v>
      </c>
      <c r="C30" s="77">
        <f t="shared" si="0"/>
        <v>1235.2099999999998</v>
      </c>
      <c r="D30" s="184">
        <v>1.5096479405673824</v>
      </c>
      <c r="E30" s="77">
        <f t="shared" si="2"/>
        <v>20.002525939455175</v>
      </c>
      <c r="F30" s="154">
        <f t="shared" si="1"/>
        <v>22.043058560828356</v>
      </c>
      <c r="G30" s="80">
        <f>$C$383/C30</f>
        <v>6.0455873899984462</v>
      </c>
    </row>
    <row r="31" spans="1:7" ht="16.5" hidden="1" thickBot="1" x14ac:dyDescent="0.3">
      <c r="A31" s="75">
        <v>1995</v>
      </c>
      <c r="B31" s="76" t="s">
        <v>12</v>
      </c>
      <c r="C31" s="77">
        <f t="shared" si="0"/>
        <v>1255.5899999999997</v>
      </c>
      <c r="D31" s="184">
        <v>1.6499218756324652</v>
      </c>
      <c r="E31" s="77">
        <f>100*((C31/1029.32)-1)</f>
        <v>21.982473866241769</v>
      </c>
      <c r="F31" s="154">
        <f t="shared" si="1"/>
        <v>21.982473866241769</v>
      </c>
      <c r="G31" s="80">
        <f>$C$383/C31</f>
        <v>5.9474589635151451</v>
      </c>
    </row>
    <row r="32" spans="1:7" ht="16.5" hidden="1" thickBot="1" x14ac:dyDescent="0.3">
      <c r="A32" s="75">
        <v>1996</v>
      </c>
      <c r="B32" s="76" t="s">
        <v>13</v>
      </c>
      <c r="C32" s="77">
        <f t="shared" si="0"/>
        <v>1273.9199999999998</v>
      </c>
      <c r="D32" s="184">
        <v>1.4598714548539116</v>
      </c>
      <c r="E32" s="77">
        <f>100*((C32/C31)-1)</f>
        <v>1.4598714548539116</v>
      </c>
      <c r="F32" s="154">
        <f t="shared" si="1"/>
        <v>22.006627463750039</v>
      </c>
      <c r="G32" s="80">
        <f>$C$383/C32</f>
        <v>5.8618830067822003</v>
      </c>
    </row>
    <row r="33" spans="1:7" ht="16.5" hidden="1" thickBot="1" x14ac:dyDescent="0.3">
      <c r="A33" s="75">
        <v>1996</v>
      </c>
      <c r="B33" s="76" t="s">
        <v>14</v>
      </c>
      <c r="C33" s="77">
        <f t="shared" si="0"/>
        <v>1282.9599999999996</v>
      </c>
      <c r="D33" s="184">
        <v>0.70962069831699282</v>
      </c>
      <c r="E33" s="77">
        <f>100*((C33/1255.58)-1)</f>
        <v>2.1806655091670457</v>
      </c>
      <c r="F33" s="154">
        <f t="shared" si="1"/>
        <v>21.643326475077941</v>
      </c>
      <c r="G33" s="80">
        <f>$C$383/C33</f>
        <v>5.8205789736234816</v>
      </c>
    </row>
    <row r="34" spans="1:7" ht="16.5" hidden="1" thickBot="1" x14ac:dyDescent="0.3">
      <c r="A34" s="75">
        <v>1996</v>
      </c>
      <c r="B34" s="76" t="s">
        <v>15</v>
      </c>
      <c r="C34" s="77">
        <f t="shared" si="0"/>
        <v>1286.6799999999996</v>
      </c>
      <c r="D34" s="184">
        <v>0.28995448026438719</v>
      </c>
      <c r="E34" s="77">
        <f t="shared" ref="E34:E43" si="3">100*((C34/1255.58)-1)</f>
        <v>2.47694292677485</v>
      </c>
      <c r="F34" s="154">
        <f t="shared" si="1"/>
        <v>20.050756685140581</v>
      </c>
      <c r="G34" s="80">
        <f>$C$383/C34</f>
        <v>5.8037507383343039</v>
      </c>
    </row>
    <row r="35" spans="1:7" ht="16.5" hidden="1" thickBot="1" x14ac:dyDescent="0.3">
      <c r="A35" s="75">
        <v>1996</v>
      </c>
      <c r="B35" s="76" t="s">
        <v>16</v>
      </c>
      <c r="C35" s="77">
        <f t="shared" si="0"/>
        <v>1298.6499999999996</v>
      </c>
      <c r="D35" s="184">
        <v>0.93030124040165418</v>
      </c>
      <c r="E35" s="77">
        <f t="shared" si="3"/>
        <v>3.430287197948334</v>
      </c>
      <c r="F35" s="154">
        <f t="shared" si="1"/>
        <v>18.223529090462144</v>
      </c>
      <c r="G35" s="80">
        <f>$C$383/C35</f>
        <v>5.7502560351133729</v>
      </c>
    </row>
    <row r="36" spans="1:7" ht="16.5" hidden="1" thickBot="1" x14ac:dyDescent="0.3">
      <c r="A36" s="75">
        <v>1996</v>
      </c>
      <c r="B36" s="76" t="s">
        <v>17</v>
      </c>
      <c r="C36" s="77">
        <f t="shared" si="0"/>
        <v>1315.2699999999995</v>
      </c>
      <c r="D36" s="184">
        <v>1.2797905517267782</v>
      </c>
      <c r="E36" s="77">
        <f t="shared" si="3"/>
        <v>4.7539782411315512</v>
      </c>
      <c r="F36" s="154">
        <f t="shared" si="1"/>
        <v>17.273570269450889</v>
      </c>
      <c r="G36" s="80">
        <f>$C$383/C36</f>
        <v>5.677594714393229</v>
      </c>
    </row>
    <row r="37" spans="1:7" ht="16.5" hidden="1" thickBot="1" x14ac:dyDescent="0.3">
      <c r="A37" s="75">
        <v>1996</v>
      </c>
      <c r="B37" s="76" t="s">
        <v>18</v>
      </c>
      <c r="C37" s="77">
        <f t="shared" si="0"/>
        <v>1332.7599999999995</v>
      </c>
      <c r="D37" s="184">
        <v>1.3297649912185294</v>
      </c>
      <c r="E37" s="77">
        <f t="shared" si="3"/>
        <v>6.1469599706908129</v>
      </c>
      <c r="F37" s="154">
        <f t="shared" si="1"/>
        <v>16.297698932800419</v>
      </c>
      <c r="G37" s="80">
        <f>$C$383/C37</f>
        <v>5.6030868273357415</v>
      </c>
    </row>
    <row r="38" spans="1:7" ht="16.5" hidden="1" thickBot="1" x14ac:dyDescent="0.3">
      <c r="A38" s="75">
        <v>1996</v>
      </c>
      <c r="B38" s="76" t="s">
        <v>19</v>
      </c>
      <c r="C38" s="77">
        <f t="shared" si="0"/>
        <v>1348.7499999999995</v>
      </c>
      <c r="D38" s="184">
        <v>1.1997658993367244</v>
      </c>
      <c r="E38" s="77">
        <f t="shared" si="3"/>
        <v>7.4204749996017449</v>
      </c>
      <c r="F38" s="154">
        <f t="shared" si="1"/>
        <v>14.867396821611623</v>
      </c>
      <c r="G38" s="80">
        <f>$C$383/C38</f>
        <v>5.5366598702502188</v>
      </c>
    </row>
    <row r="39" spans="1:7" ht="16.5" hidden="1" thickBot="1" x14ac:dyDescent="0.3">
      <c r="A39" s="75">
        <v>1996</v>
      </c>
      <c r="B39" s="76" t="s">
        <v>20</v>
      </c>
      <c r="C39" s="77">
        <f t="shared" si="0"/>
        <v>1355.4899999999996</v>
      </c>
      <c r="D39" s="184">
        <v>0.4997219647822071</v>
      </c>
      <c r="E39" s="77">
        <f t="shared" si="3"/>
        <v>7.9572787078481255</v>
      </c>
      <c r="F39" s="154">
        <f t="shared" si="1"/>
        <v>14.275477170027639</v>
      </c>
      <c r="G39" s="80">
        <f>$C$383/C39</f>
        <v>5.5091295398711777</v>
      </c>
    </row>
    <row r="40" spans="1:7" ht="16.5" hidden="1" thickBot="1" x14ac:dyDescent="0.3">
      <c r="A40" s="75">
        <v>1996</v>
      </c>
      <c r="B40" s="76" t="s">
        <v>21</v>
      </c>
      <c r="C40" s="77">
        <f t="shared" si="0"/>
        <v>1355.7599999999995</v>
      </c>
      <c r="D40" s="184">
        <v>1.9918996082601836E-2</v>
      </c>
      <c r="E40" s="77">
        <f t="shared" si="3"/>
        <v>7.9787827139648382</v>
      </c>
      <c r="F40" s="154">
        <f t="shared" si="1"/>
        <v>12.976234125529128</v>
      </c>
      <c r="G40" s="80">
        <f>$C$383/C40</f>
        <v>5.5080323951141663</v>
      </c>
    </row>
    <row r="41" spans="1:7" ht="16.5" hidden="1" thickBot="1" x14ac:dyDescent="0.3">
      <c r="A41" s="75">
        <v>1996</v>
      </c>
      <c r="B41" s="76" t="s">
        <v>22</v>
      </c>
      <c r="C41" s="77">
        <f t="shared" si="0"/>
        <v>1360.9099999999996</v>
      </c>
      <c r="D41" s="184">
        <v>0.37986074231428635</v>
      </c>
      <c r="E41" s="77">
        <f t="shared" si="3"/>
        <v>8.3889517195240302</v>
      </c>
      <c r="F41" s="154">
        <f t="shared" si="1"/>
        <v>11.83968311363861</v>
      </c>
      <c r="G41" s="80">
        <f>$C$383/C41</f>
        <v>5.4871887193127993</v>
      </c>
    </row>
    <row r="42" spans="1:7" ht="16.5" hidden="1" thickBot="1" x14ac:dyDescent="0.3">
      <c r="A42" s="75">
        <v>1996</v>
      </c>
      <c r="B42" s="76" t="s">
        <v>23</v>
      </c>
      <c r="C42" s="77">
        <f t="shared" si="0"/>
        <v>1365.5399999999995</v>
      </c>
      <c r="D42" s="184">
        <v>0.34021353359148243</v>
      </c>
      <c r="E42" s="77">
        <f t="shared" si="3"/>
        <v>8.7577056021917787</v>
      </c>
      <c r="F42" s="154">
        <f t="shared" si="1"/>
        <v>10.551242298880336</v>
      </c>
      <c r="G42" s="80">
        <f>$C$383/C42</f>
        <v>5.4685838569357053</v>
      </c>
    </row>
    <row r="43" spans="1:7" ht="16.5" hidden="1" thickBot="1" x14ac:dyDescent="0.3">
      <c r="A43" s="75">
        <v>1996</v>
      </c>
      <c r="B43" s="76" t="s">
        <v>12</v>
      </c>
      <c r="C43" s="77">
        <f t="shared" si="0"/>
        <v>1370.0499999999995</v>
      </c>
      <c r="D43" s="184">
        <v>0.3302722732398955</v>
      </c>
      <c r="E43" s="77">
        <f t="shared" si="3"/>
        <v>9.1169021488076929</v>
      </c>
      <c r="F43" s="154">
        <f t="shared" si="1"/>
        <v>9.1160330999768835</v>
      </c>
      <c r="G43" s="80">
        <f>$C$383/C43</f>
        <v>5.450582095543945</v>
      </c>
    </row>
    <row r="44" spans="1:7" ht="16.5" hidden="1" thickBot="1" x14ac:dyDescent="0.3">
      <c r="A44" s="75">
        <v>1997</v>
      </c>
      <c r="B44" s="76" t="s">
        <v>13</v>
      </c>
      <c r="C44" s="77">
        <f t="shared" si="0"/>
        <v>1381.1499999999996</v>
      </c>
      <c r="D44" s="184">
        <v>0.81018940914565629</v>
      </c>
      <c r="E44" s="77">
        <f t="shared" ref="E44:E51" si="4">100*((C44/1370.05)-1)</f>
        <v>0.81018940914563409</v>
      </c>
      <c r="F44" s="154">
        <f t="shared" si="1"/>
        <v>8.4173260487314661</v>
      </c>
      <c r="G44" s="80">
        <f>$C$383/C44</f>
        <v>5.4067769612279486</v>
      </c>
    </row>
    <row r="45" spans="1:7" ht="16.5" hidden="1" thickBot="1" x14ac:dyDescent="0.3">
      <c r="A45" s="75">
        <v>1997</v>
      </c>
      <c r="B45" s="76" t="s">
        <v>14</v>
      </c>
      <c r="C45" s="77">
        <f t="shared" si="0"/>
        <v>1387.3699999999994</v>
      </c>
      <c r="D45" s="184">
        <v>0.45034934655900916</v>
      </c>
      <c r="E45" s="77">
        <f t="shared" si="4"/>
        <v>1.2641874384146101</v>
      </c>
      <c r="F45" s="154">
        <f t="shared" si="1"/>
        <v>8.1382116355926737</v>
      </c>
      <c r="G45" s="80">
        <f>$C$383/C45</f>
        <v>5.3825367421812373</v>
      </c>
    </row>
    <row r="46" spans="1:7" ht="16.5" hidden="1" thickBot="1" x14ac:dyDescent="0.3">
      <c r="A46" s="75">
        <v>1997</v>
      </c>
      <c r="B46" s="76" t="s">
        <v>15</v>
      </c>
      <c r="C46" s="77">
        <f t="shared" si="0"/>
        <v>1396.7999999999995</v>
      </c>
      <c r="D46" s="184">
        <v>0.67970332355464791</v>
      </c>
      <c r="E46" s="77">
        <f t="shared" si="4"/>
        <v>1.9524834860041196</v>
      </c>
      <c r="F46" s="154">
        <f t="shared" si="1"/>
        <v>8.5584605340877307</v>
      </c>
      <c r="G46" s="80">
        <f>$C$383/C46</f>
        <v>5.3461984536082348</v>
      </c>
    </row>
    <row r="47" spans="1:7" ht="16.5" hidden="1" thickBot="1" x14ac:dyDescent="0.3">
      <c r="A47" s="75">
        <v>1997</v>
      </c>
      <c r="B47" s="76" t="s">
        <v>16</v>
      </c>
      <c r="C47" s="77">
        <f t="shared" si="0"/>
        <v>1405.1799999999994</v>
      </c>
      <c r="D47" s="184">
        <v>0.59994272623138389</v>
      </c>
      <c r="E47" s="77">
        <f t="shared" si="4"/>
        <v>2.5641399948906463</v>
      </c>
      <c r="F47" s="154">
        <f t="shared" si="1"/>
        <v>8.2031340237939112</v>
      </c>
      <c r="G47" s="80">
        <f>$C$383/C47</f>
        <v>5.3143156036948884</v>
      </c>
    </row>
    <row r="48" spans="1:7" ht="16.5" hidden="1" thickBot="1" x14ac:dyDescent="0.3">
      <c r="A48" s="75">
        <v>1997</v>
      </c>
      <c r="B48" s="76" t="s">
        <v>17</v>
      </c>
      <c r="C48" s="77">
        <f t="shared" si="0"/>
        <v>1406.7299999999993</v>
      </c>
      <c r="D48" s="184">
        <v>0.11030615294838064</v>
      </c>
      <c r="E48" s="77">
        <f t="shared" si="4"/>
        <v>2.6772745520236008</v>
      </c>
      <c r="F48" s="154">
        <f t="shared" si="1"/>
        <v>6.9537053228614587</v>
      </c>
      <c r="G48" s="80">
        <f>$C$383/C48</f>
        <v>5.3084600456377435</v>
      </c>
    </row>
    <row r="49" spans="1:7" ht="16.5" hidden="1" thickBot="1" x14ac:dyDescent="0.3">
      <c r="A49" s="75">
        <v>1997</v>
      </c>
      <c r="B49" s="76" t="s">
        <v>18</v>
      </c>
      <c r="C49" s="77">
        <f t="shared" si="0"/>
        <v>1411.6499999999994</v>
      </c>
      <c r="D49" s="184">
        <v>0.34974728625962737</v>
      </c>
      <c r="E49" s="77">
        <f t="shared" si="4"/>
        <v>3.0363855333746637</v>
      </c>
      <c r="F49" s="154">
        <f t="shared" si="1"/>
        <v>5.9192952969777002</v>
      </c>
      <c r="G49" s="80">
        <f>$C$383/C49</f>
        <v>5.2899585591329172</v>
      </c>
    </row>
    <row r="50" spans="1:7" ht="16.5" hidden="1" thickBot="1" x14ac:dyDescent="0.3">
      <c r="A50" s="75">
        <v>1997</v>
      </c>
      <c r="B50" s="76" t="s">
        <v>19</v>
      </c>
      <c r="C50" s="77">
        <f t="shared" si="0"/>
        <v>1414.1899999999996</v>
      </c>
      <c r="D50" s="184">
        <v>0.17993128608366771</v>
      </c>
      <c r="E50" s="77">
        <f t="shared" si="4"/>
        <v>3.2217802269989937</v>
      </c>
      <c r="F50" s="154">
        <f t="shared" si="1"/>
        <v>4.8518999073215996</v>
      </c>
      <c r="G50" s="80">
        <f>$C$383/C50</f>
        <v>5.2804573642862573</v>
      </c>
    </row>
    <row r="51" spans="1:7" ht="16.5" hidden="1" thickBot="1" x14ac:dyDescent="0.3">
      <c r="A51" s="75">
        <v>1997</v>
      </c>
      <c r="B51" s="76" t="s">
        <v>20</v>
      </c>
      <c r="C51" s="77">
        <f t="shared" si="0"/>
        <v>1413.7699999999995</v>
      </c>
      <c r="D51" s="184">
        <v>-2.969897962792345E-2</v>
      </c>
      <c r="E51" s="77">
        <f t="shared" si="4"/>
        <v>3.1911244115177873</v>
      </c>
      <c r="F51" s="154">
        <f t="shared" si="1"/>
        <v>4.2995521914584334</v>
      </c>
      <c r="G51" s="80">
        <f>$C$383/C51</f>
        <v>5.2820260721333616</v>
      </c>
    </row>
    <row r="52" spans="1:7" ht="16.5" hidden="1" thickBot="1" x14ac:dyDescent="0.3">
      <c r="A52" s="75">
        <v>1997</v>
      </c>
      <c r="B52" s="76" t="s">
        <v>21</v>
      </c>
      <c r="C52" s="77">
        <f t="shared" si="0"/>
        <v>1415.1799999999996</v>
      </c>
      <c r="D52" s="184">
        <v>9.973333710575627E-2</v>
      </c>
      <c r="E52" s="77">
        <f>100*($C$52/$C$43-1)</f>
        <v>3.2940403634903914</v>
      </c>
      <c r="F52" s="154">
        <f t="shared" si="1"/>
        <v>4.3827816132648856</v>
      </c>
      <c r="G52" s="80">
        <f>$C$383/C52</f>
        <v>5.2767633799233895</v>
      </c>
    </row>
    <row r="53" spans="1:7" ht="16.5" hidden="1" thickBot="1" x14ac:dyDescent="0.3">
      <c r="A53" s="75">
        <v>1997</v>
      </c>
      <c r="B53" s="76" t="s">
        <v>22</v>
      </c>
      <c r="C53" s="77">
        <f t="shared" si="0"/>
        <v>1419.2799999999997</v>
      </c>
      <c r="D53" s="184">
        <v>0.28971579587049323</v>
      </c>
      <c r="E53" s="77">
        <f>100*($C$53/$C$43-1)</f>
        <v>3.5932995146162661</v>
      </c>
      <c r="F53" s="154">
        <f t="shared" si="1"/>
        <v>4.289041891087586</v>
      </c>
      <c r="G53" s="80">
        <f>$C$383/C53</f>
        <v>5.2615199255960636</v>
      </c>
    </row>
    <row r="54" spans="1:7" ht="16.5" hidden="1" thickBot="1" x14ac:dyDescent="0.3">
      <c r="A54" s="75">
        <v>1997</v>
      </c>
      <c r="B54" s="76" t="s">
        <v>23</v>
      </c>
      <c r="C54" s="77">
        <f t="shared" si="0"/>
        <v>1421.4099999999999</v>
      </c>
      <c r="D54" s="184">
        <v>0.15007609492136975</v>
      </c>
      <c r="E54" s="77">
        <f>100*($C$54/$C$43-1)</f>
        <v>3.7487682931280242</v>
      </c>
      <c r="F54" s="154">
        <f t="shared" si="1"/>
        <v>4.0914217086281068</v>
      </c>
      <c r="G54" s="80">
        <f>$C$383/C54</f>
        <v>5.2536354746343283</v>
      </c>
    </row>
    <row r="55" spans="1:7" ht="16.5" hidden="1" thickBot="1" x14ac:dyDescent="0.3">
      <c r="A55" s="75">
        <v>1997</v>
      </c>
      <c r="B55" s="76" t="s">
        <v>12</v>
      </c>
      <c r="C55" s="77">
        <f t="shared" si="0"/>
        <v>1429.5099999999995</v>
      </c>
      <c r="D55" s="184">
        <v>0.56985669159494989</v>
      </c>
      <c r="E55" s="77">
        <f>100*(($C$55/$C$43)-1)</f>
        <v>4.3399875916937392</v>
      </c>
      <c r="F55" s="154">
        <f t="shared" si="1"/>
        <v>4.3399875916937392</v>
      </c>
      <c r="G55" s="80">
        <f>$C$383/C55</f>
        <v>5.2238669194339193</v>
      </c>
    </row>
    <row r="56" spans="1:7" ht="16.5" hidden="1" thickBot="1" x14ac:dyDescent="0.3">
      <c r="A56" s="75">
        <v>1998</v>
      </c>
      <c r="B56" s="76" t="s">
        <v>13</v>
      </c>
      <c r="C56" s="77">
        <f t="shared" si="0"/>
        <v>1441.6599999999994</v>
      </c>
      <c r="D56" s="184">
        <v>0.84994158837643496</v>
      </c>
      <c r="E56" s="77">
        <f>+$C$56/$C$53*100-100</f>
        <v>1.57685587058225</v>
      </c>
      <c r="F56" s="154">
        <f t="shared" si="1"/>
        <v>4.381131665640936</v>
      </c>
      <c r="G56" s="80">
        <f>$C$383/C56</f>
        <v>5.1798412940637757</v>
      </c>
    </row>
    <row r="57" spans="1:7" ht="16.5" hidden="1" thickBot="1" x14ac:dyDescent="0.3">
      <c r="A57" s="75">
        <v>1998</v>
      </c>
      <c r="B57" s="76" t="s">
        <v>14</v>
      </c>
      <c r="C57" s="77">
        <f t="shared" si="0"/>
        <v>1449.4399999999994</v>
      </c>
      <c r="D57" s="184">
        <v>0.53965567470832809</v>
      </c>
      <c r="E57" s="77">
        <f>+$C$57/$C$54*100-100</f>
        <v>1.9719855636304544</v>
      </c>
      <c r="F57" s="154">
        <f t="shared" si="1"/>
        <v>4.4739326927928369</v>
      </c>
      <c r="G57" s="80">
        <f>$C$383/C57</f>
        <v>5.1520380284799527</v>
      </c>
    </row>
    <row r="58" spans="1:7" ht="16.5" hidden="1" thickBot="1" x14ac:dyDescent="0.3">
      <c r="A58" s="75">
        <v>1998</v>
      </c>
      <c r="B58" s="76" t="s">
        <v>15</v>
      </c>
      <c r="C58" s="77">
        <f t="shared" si="0"/>
        <v>1456.5399999999993</v>
      </c>
      <c r="D58" s="184">
        <v>0.48984435368142343</v>
      </c>
      <c r="E58" s="77">
        <f>+$C$59/$C$54*100-100</f>
        <v>2.9322996179849099</v>
      </c>
      <c r="F58" s="154">
        <f t="shared" si="1"/>
        <v>4.276918671248553</v>
      </c>
      <c r="G58" s="80">
        <f>$C$383/C58</f>
        <v>5.1269240803548017</v>
      </c>
    </row>
    <row r="59" spans="1:7" ht="16.5" hidden="1" thickBot="1" x14ac:dyDescent="0.3">
      <c r="A59" s="75">
        <v>1998</v>
      </c>
      <c r="B59" s="76" t="s">
        <v>16</v>
      </c>
      <c r="C59" s="77">
        <f t="shared" si="0"/>
        <v>1463.0899999999992</v>
      </c>
      <c r="D59" s="184">
        <v>0.44969585455942873</v>
      </c>
      <c r="E59" s="77">
        <f>+$C$60/$C$54*100-100</f>
        <v>3.6731133170583803</v>
      </c>
      <c r="F59" s="154">
        <f t="shared" si="1"/>
        <v>4.1211802046712709</v>
      </c>
      <c r="G59" s="80">
        <f>$C$383/C59</f>
        <v>5.1039717310623294</v>
      </c>
    </row>
    <row r="60" spans="1:7" ht="16.5" hidden="1" thickBot="1" x14ac:dyDescent="0.3">
      <c r="A60" s="75">
        <v>1998</v>
      </c>
      <c r="B60" s="76" t="s">
        <v>17</v>
      </c>
      <c r="C60" s="77">
        <f t="shared" si="0"/>
        <v>1473.6199999999992</v>
      </c>
      <c r="D60" s="184">
        <v>0.719709655591938</v>
      </c>
      <c r="E60" s="77">
        <f>+$C$61/$C$54*100-100</f>
        <v>3.8285927353824576</v>
      </c>
      <c r="F60" s="154">
        <f t="shared" si="1"/>
        <v>4.7549991825012627</v>
      </c>
      <c r="G60" s="80">
        <f>$C$383/C60</f>
        <v>5.0675004410906368</v>
      </c>
    </row>
    <row r="61" spans="1:7" ht="16.5" hidden="1" thickBot="1" x14ac:dyDescent="0.3">
      <c r="A61" s="75">
        <v>1998</v>
      </c>
      <c r="B61" s="76" t="s">
        <v>18</v>
      </c>
      <c r="C61" s="77">
        <f t="shared" si="0"/>
        <v>1475.8299999999995</v>
      </c>
      <c r="D61" s="184">
        <v>0.14997082015717478</v>
      </c>
      <c r="E61" s="77">
        <f>+$C$61/$C$54*100-100</f>
        <v>3.8285927353824576</v>
      </c>
      <c r="F61" s="154">
        <f t="shared" si="1"/>
        <v>4.5464527326178672</v>
      </c>
      <c r="G61" s="80">
        <f>$C$383/C61</f>
        <v>5.0599120494907828</v>
      </c>
    </row>
    <row r="62" spans="1:7" ht="16.5" hidden="1" thickBot="1" x14ac:dyDescent="0.3">
      <c r="A62" s="75">
        <v>1998</v>
      </c>
      <c r="B62" s="76" t="s">
        <v>19</v>
      </c>
      <c r="C62" s="77">
        <f t="shared" si="0"/>
        <v>1471.6999999999996</v>
      </c>
      <c r="D62" s="184">
        <v>-0.27984252928859865</v>
      </c>
      <c r="E62" s="77">
        <f>+($C$62/$C$54)*100-100</f>
        <v>3.5380361753470027</v>
      </c>
      <c r="F62" s="154">
        <f t="shared" si="1"/>
        <v>4.066638853336535</v>
      </c>
      <c r="G62" s="80">
        <f>$C$383/C62</f>
        <v>5.0741115716518186</v>
      </c>
    </row>
    <row r="63" spans="1:7" ht="16.5" hidden="1" thickBot="1" x14ac:dyDescent="0.3">
      <c r="A63" s="75">
        <v>1998</v>
      </c>
      <c r="B63" s="76" t="s">
        <v>20</v>
      </c>
      <c r="C63" s="77">
        <f t="shared" si="0"/>
        <v>1464.4899999999996</v>
      </c>
      <c r="D63" s="184">
        <v>-0.48990962832099472</v>
      </c>
      <c r="E63" s="77">
        <f>+$C$63/$C$54*100-100</f>
        <v>3.0307933671495135</v>
      </c>
      <c r="F63" s="154">
        <f t="shared" si="1"/>
        <v>3.5875708212792734</v>
      </c>
      <c r="G63" s="80">
        <f>$C$383/C63</f>
        <v>5.0990925168488568</v>
      </c>
    </row>
    <row r="64" spans="1:7" ht="16.5" hidden="1" thickBot="1" x14ac:dyDescent="0.3">
      <c r="A64" s="75">
        <v>1998</v>
      </c>
      <c r="B64" s="76" t="s">
        <v>21</v>
      </c>
      <c r="C64" s="77">
        <f t="shared" si="0"/>
        <v>1459.9499999999996</v>
      </c>
      <c r="D64" s="184">
        <v>-0.31000553093568639</v>
      </c>
      <c r="E64" s="77">
        <f>+$C$64/$C$54*100-100</f>
        <v>2.7113922091444209</v>
      </c>
      <c r="F64" s="154">
        <f t="shared" si="1"/>
        <v>3.1635551661272743</v>
      </c>
      <c r="G64" s="80">
        <f>$C$383/C64</f>
        <v>5.1149491420938951</v>
      </c>
    </row>
    <row r="65" spans="1:7" ht="16.5" hidden="1" thickBot="1" x14ac:dyDescent="0.3">
      <c r="A65" s="75">
        <v>1998</v>
      </c>
      <c r="B65" s="76" t="s">
        <v>22</v>
      </c>
      <c r="C65" s="77">
        <f t="shared" si="0"/>
        <v>1461.5599999999995</v>
      </c>
      <c r="D65" s="184">
        <v>0.11027774923797473</v>
      </c>
      <c r="E65" s="77">
        <f>+$C$65/$C$54*100-100</f>
        <v>2.8246600206836661</v>
      </c>
      <c r="F65" s="154">
        <f t="shared" si="1"/>
        <v>2.9789752550588799</v>
      </c>
      <c r="G65" s="80">
        <f>$C$383/C65</f>
        <v>5.1093147048359162</v>
      </c>
    </row>
    <row r="66" spans="1:7" ht="16.5" hidden="1" thickBot="1" x14ac:dyDescent="0.3">
      <c r="A66" s="75">
        <v>1998</v>
      </c>
      <c r="B66" s="76" t="s">
        <v>23</v>
      </c>
      <c r="C66" s="77">
        <f t="shared" si="0"/>
        <v>1458.9299999999996</v>
      </c>
      <c r="D66" s="184">
        <v>-0.17994471660416345</v>
      </c>
      <c r="E66" s="77">
        <f>+$C$66/$C$54*100-100</f>
        <v>2.6396324776102489</v>
      </c>
      <c r="F66" s="154">
        <f t="shared" si="1"/>
        <v>2.6396324776102542</v>
      </c>
      <c r="G66" s="80">
        <f>$C$383/C66</f>
        <v>5.1185252205383271</v>
      </c>
    </row>
    <row r="67" spans="1:7" ht="16.5" hidden="1" thickBot="1" x14ac:dyDescent="0.3">
      <c r="A67" s="75">
        <v>1998</v>
      </c>
      <c r="B67" s="76" t="s">
        <v>12</v>
      </c>
      <c r="C67" s="77">
        <f t="shared" si="0"/>
        <v>1465.0599999999995</v>
      </c>
      <c r="D67" s="184">
        <v>0.42017094720101511</v>
      </c>
      <c r="E67" s="77">
        <f>+(($C$67/$C$55)-1)*100</f>
        <v>2.4868661289532801</v>
      </c>
      <c r="F67" s="154">
        <f t="shared" si="1"/>
        <v>2.4868661289532801</v>
      </c>
      <c r="G67" s="80">
        <f>$C$383/C67</f>
        <v>5.0971086508402266</v>
      </c>
    </row>
    <row r="68" spans="1:7" ht="16.5" hidden="1" thickBot="1" x14ac:dyDescent="0.3">
      <c r="A68" s="75">
        <v>1999</v>
      </c>
      <c r="B68" s="76" t="s">
        <v>13</v>
      </c>
      <c r="C68" s="77">
        <f t="shared" si="0"/>
        <v>1474.5799999999992</v>
      </c>
      <c r="D68" s="184">
        <v>0.64980273845438585</v>
      </c>
      <c r="E68" s="77">
        <f>+(($C$68/$C$67)-1)*100</f>
        <v>0.64980273845438585</v>
      </c>
      <c r="F68" s="154">
        <f t="shared" si="1"/>
        <v>2.2834787675318546</v>
      </c>
      <c r="G68" s="80">
        <f>$C$383/C68</f>
        <v>5.064201331904667</v>
      </c>
    </row>
    <row r="69" spans="1:7" ht="16.5" hidden="1" thickBot="1" x14ac:dyDescent="0.3">
      <c r="A69" s="75">
        <v>1999</v>
      </c>
      <c r="B69" s="76" t="s">
        <v>14</v>
      </c>
      <c r="C69" s="77">
        <f t="shared" si="0"/>
        <v>1493.5999999999992</v>
      </c>
      <c r="D69" s="184">
        <v>1.2898588072535855</v>
      </c>
      <c r="E69" s="77">
        <f>+(($C$69/$C$67)-1)*100</f>
        <v>1.9480430835596918</v>
      </c>
      <c r="F69" s="154">
        <f t="shared" si="1"/>
        <v>3.0466938955734602</v>
      </c>
      <c r="G69" s="80">
        <f>$C$383/C69</f>
        <v>4.9997121049812421</v>
      </c>
    </row>
    <row r="70" spans="1:7" ht="16.5" hidden="1" thickBot="1" x14ac:dyDescent="0.3">
      <c r="A70" s="75">
        <v>1999</v>
      </c>
      <c r="B70" s="76" t="s">
        <v>15</v>
      </c>
      <c r="C70" s="77">
        <f t="shared" si="0"/>
        <v>1512.7199999999993</v>
      </c>
      <c r="D70" s="184">
        <v>1.2801285484735025</v>
      </c>
      <c r="E70" s="77">
        <f>+(($C$70/$C$67)-1)*100</f>
        <v>3.2531090876824154</v>
      </c>
      <c r="F70" s="154">
        <f t="shared" si="1"/>
        <v>3.8570859708624505</v>
      </c>
      <c r="G70" s="80">
        <f>$C$383/C70</f>
        <v>4.9365183246073183</v>
      </c>
    </row>
    <row r="71" spans="1:7" ht="16.5" hidden="1" thickBot="1" x14ac:dyDescent="0.3">
      <c r="A71" s="75">
        <v>1999</v>
      </c>
      <c r="B71" s="76" t="s">
        <v>16</v>
      </c>
      <c r="C71" s="77">
        <f t="shared" si="0"/>
        <v>1519.8299999999992</v>
      </c>
      <c r="D71" s="184">
        <v>0.47001427891479874</v>
      </c>
      <c r="E71" s="77">
        <f>+(($C$71/$C$67)-1)*100</f>
        <v>3.7384134438179784</v>
      </c>
      <c r="F71" s="154">
        <f t="shared" si="1"/>
        <v>3.8780936237688746</v>
      </c>
      <c r="G71" s="80">
        <f>$C$383/C71</f>
        <v>4.9134245277432234</v>
      </c>
    </row>
    <row r="72" spans="1:7" ht="16.5" hidden="1" thickBot="1" x14ac:dyDescent="0.3">
      <c r="A72" s="75">
        <v>1999</v>
      </c>
      <c r="B72" s="76" t="s">
        <v>17</v>
      </c>
      <c r="C72" s="77">
        <f t="shared" ref="C72:C135" si="5">+C71*(1+D72/100)</f>
        <v>1520.5899999999992</v>
      </c>
      <c r="D72" s="184">
        <v>5.0005592730761883E-2</v>
      </c>
      <c r="E72" s="77">
        <f>+(($C$72/$C$67)-1)*100</f>
        <v>3.7902884523500546</v>
      </c>
      <c r="F72" s="154">
        <f t="shared" si="1"/>
        <v>3.1873888790868721</v>
      </c>
      <c r="G72" s="80">
        <f>$C$383/C72</f>
        <v>4.9109687687016113</v>
      </c>
    </row>
    <row r="73" spans="1:7" ht="16.5" hidden="1" thickBot="1" x14ac:dyDescent="0.3">
      <c r="A73" s="75">
        <v>1999</v>
      </c>
      <c r="B73" s="76" t="s">
        <v>18</v>
      </c>
      <c r="C73" s="77">
        <f t="shared" si="5"/>
        <v>1521.6499999999996</v>
      </c>
      <c r="D73" s="184">
        <v>6.9709783702398553E-2</v>
      </c>
      <c r="E73" s="77">
        <f>+(($C$73/$C$67)-1)*100</f>
        <v>3.8626404379342949</v>
      </c>
      <c r="F73" s="154">
        <f t="shared" si="1"/>
        <v>3.104693630025146</v>
      </c>
      <c r="G73" s="80">
        <f>$C$383/C73</f>
        <v>4.9075477277954729</v>
      </c>
    </row>
    <row r="74" spans="1:7" ht="16.5" hidden="1" thickBot="1" x14ac:dyDescent="0.3">
      <c r="A74" s="75">
        <v>1999</v>
      </c>
      <c r="B74" s="76" t="s">
        <v>19</v>
      </c>
      <c r="C74" s="77">
        <f t="shared" si="5"/>
        <v>1532.9099999999996</v>
      </c>
      <c r="D74" s="184">
        <v>0.73998619919166675</v>
      </c>
      <c r="E74" s="77">
        <f>+(($C$74/$C$67)-1)*100</f>
        <v>4.6312096432910677</v>
      </c>
      <c r="F74" s="154">
        <f t="shared" si="1"/>
        <v>4.1591356934157719</v>
      </c>
      <c r="G74" s="80">
        <f>$C$383/C74</f>
        <v>4.8714993052429572</v>
      </c>
    </row>
    <row r="75" spans="1:7" ht="16.5" hidden="1" thickBot="1" x14ac:dyDescent="0.3">
      <c r="A75" s="75">
        <v>1999</v>
      </c>
      <c r="B75" s="76" t="s">
        <v>20</v>
      </c>
      <c r="C75" s="77">
        <f t="shared" si="5"/>
        <v>1541.3399999999997</v>
      </c>
      <c r="D75" s="184">
        <v>0.54993443842104028</v>
      </c>
      <c r="E75" s="77">
        <f>+(($C$75/$C$67)-1)*100</f>
        <v>5.206612698456059</v>
      </c>
      <c r="F75" s="154">
        <f t="shared" si="1"/>
        <v>5.2475605842307038</v>
      </c>
      <c r="G75" s="80">
        <f>$C$383/C75</f>
        <v>4.8448557748452519</v>
      </c>
    </row>
    <row r="76" spans="1:7" ht="16.5" hidden="1" thickBot="1" x14ac:dyDescent="0.3">
      <c r="A76" s="75">
        <v>1999</v>
      </c>
      <c r="B76" s="76" t="s">
        <v>21</v>
      </c>
      <c r="C76" s="77">
        <f t="shared" si="5"/>
        <v>1547.3499999999995</v>
      </c>
      <c r="D76" s="184">
        <v>0.38992045882153548</v>
      </c>
      <c r="E76" s="77">
        <f>+(($C$76/$C$67)-1)*100</f>
        <v>5.6168348054004502</v>
      </c>
      <c r="F76" s="154">
        <f t="shared" si="1"/>
        <v>5.9865063872050372</v>
      </c>
      <c r="G76" s="80">
        <f>$C$383/C76</f>
        <v>4.8260380650789942</v>
      </c>
    </row>
    <row r="77" spans="1:7" ht="16.5" hidden="1" thickBot="1" x14ac:dyDescent="0.3">
      <c r="A77" s="75">
        <v>1999</v>
      </c>
      <c r="B77" s="76" t="s">
        <v>22</v>
      </c>
      <c r="C77" s="77">
        <f t="shared" si="5"/>
        <v>1562.1999999999996</v>
      </c>
      <c r="D77" s="184">
        <v>0.95970530261415554</v>
      </c>
      <c r="E77" s="77">
        <f>+(($C$77/$C$67)-1)*100</f>
        <v>6.6304451694811251</v>
      </c>
      <c r="F77" s="154">
        <f t="shared" si="1"/>
        <v>6.8857932619940332</v>
      </c>
      <c r="G77" s="80">
        <f>$C$383/C77</f>
        <v>4.7801625912175023</v>
      </c>
    </row>
    <row r="78" spans="1:7" ht="16.5" hidden="1" thickBot="1" x14ac:dyDescent="0.3">
      <c r="A78" s="75">
        <v>1999</v>
      </c>
      <c r="B78" s="76" t="s">
        <v>23</v>
      </c>
      <c r="C78" s="77">
        <f t="shared" si="5"/>
        <v>1576.8799999999997</v>
      </c>
      <c r="D78" s="184">
        <v>0.93970042248112673</v>
      </c>
      <c r="E78" s="77">
        <f>+(($C$78/$C$67)-1)*100</f>
        <v>7.6324519132322299</v>
      </c>
      <c r="F78" s="154">
        <f t="shared" si="1"/>
        <v>8.0846922059317539</v>
      </c>
      <c r="G78" s="80">
        <f>$C$383/C78</f>
        <v>4.7356615595352727</v>
      </c>
    </row>
    <row r="79" spans="1:7" ht="16.5" hidden="1" thickBot="1" x14ac:dyDescent="0.3">
      <c r="A79" s="75">
        <v>1999</v>
      </c>
      <c r="B79" s="76" t="s">
        <v>12</v>
      </c>
      <c r="C79" s="77">
        <f t="shared" si="5"/>
        <v>1588.5499999999995</v>
      </c>
      <c r="D79" s="184">
        <v>0.74006899700673756</v>
      </c>
      <c r="E79" s="77">
        <f>+(($C$79/$C$67)-1)*100</f>
        <v>8.4290063205602515</v>
      </c>
      <c r="F79" s="154">
        <f t="shared" si="1"/>
        <v>8.4290063205602515</v>
      </c>
      <c r="G79" s="80">
        <f>$C$383/C79</f>
        <v>4.7008718642787333</v>
      </c>
    </row>
    <row r="80" spans="1:7" ht="16.5" hidden="1" thickBot="1" x14ac:dyDescent="0.3">
      <c r="A80" s="75">
        <v>2000</v>
      </c>
      <c r="B80" s="82" t="s">
        <v>13</v>
      </c>
      <c r="C80" s="77">
        <f t="shared" si="5"/>
        <v>1598.2399999999996</v>
      </c>
      <c r="D80" s="184">
        <v>0.60999024267414104</v>
      </c>
      <c r="E80" s="77">
        <f>+(($C$80/$C$79)-1)*100</f>
        <v>0.60999024267414104</v>
      </c>
      <c r="F80" s="154">
        <f t="shared" si="1"/>
        <v>8.3861167247623278</v>
      </c>
      <c r="G80" s="80">
        <f>$C$383/C80</f>
        <v>4.6723708579437266</v>
      </c>
    </row>
    <row r="81" spans="1:7" ht="16.5" hidden="1" thickBot="1" x14ac:dyDescent="0.3">
      <c r="A81" s="75">
        <v>2000</v>
      </c>
      <c r="B81" s="82" t="s">
        <v>14</v>
      </c>
      <c r="C81" s="77">
        <f t="shared" si="5"/>
        <v>1599.0399999999993</v>
      </c>
      <c r="D81" s="184">
        <v>5.0055060566611687E-2</v>
      </c>
      <c r="E81" s="77">
        <f>+(($C$81/$C$79)-1)*100</f>
        <v>0.66035063422615892</v>
      </c>
      <c r="F81" s="154">
        <f t="shared" si="1"/>
        <v>7.0594536689876808</v>
      </c>
      <c r="G81" s="80">
        <f>$C$383/C81</f>
        <v>4.6700332699619667</v>
      </c>
    </row>
    <row r="82" spans="1:7" ht="16.5" hidden="1" thickBot="1" x14ac:dyDescent="0.3">
      <c r="A82" s="75">
        <v>2000</v>
      </c>
      <c r="B82" s="82" t="s">
        <v>15</v>
      </c>
      <c r="C82" s="77">
        <f t="shared" si="5"/>
        <v>1601.1199999999992</v>
      </c>
      <c r="D82" s="184">
        <v>0.13007804682809709</v>
      </c>
      <c r="E82" s="77">
        <f>+(($C$82/$C$79)-1)*100</f>
        <v>0.79128765226148534</v>
      </c>
      <c r="F82" s="154">
        <f t="shared" si="1"/>
        <v>5.8437780950869822</v>
      </c>
      <c r="G82" s="80">
        <f>$C$383/C82</f>
        <v>4.6639664734685615</v>
      </c>
    </row>
    <row r="83" spans="1:7" ht="16.5" hidden="1" thickBot="1" x14ac:dyDescent="0.3">
      <c r="A83" s="75">
        <v>2000</v>
      </c>
      <c r="B83" s="82" t="s">
        <v>16</v>
      </c>
      <c r="C83" s="77">
        <f t="shared" si="5"/>
        <v>1602.5599999999995</v>
      </c>
      <c r="D83" s="184">
        <v>8.9937044069166028E-2</v>
      </c>
      <c r="E83" s="77">
        <f>+(($C$83/$C$79)-1)*100</f>
        <v>0.8819363570551797</v>
      </c>
      <c r="F83" s="154">
        <f t="shared" si="1"/>
        <v>5.4433719560740501</v>
      </c>
      <c r="G83" s="80">
        <f>$C$383/C83</f>
        <v>4.659775609025548</v>
      </c>
    </row>
    <row r="84" spans="1:7" ht="16.5" hidden="1" thickBot="1" x14ac:dyDescent="0.3">
      <c r="A84" s="75">
        <v>2000</v>
      </c>
      <c r="B84" s="82" t="s">
        <v>17</v>
      </c>
      <c r="C84" s="77">
        <f t="shared" si="5"/>
        <v>1601.7599999999995</v>
      </c>
      <c r="D84" s="184">
        <v>-4.9920127795521907E-2</v>
      </c>
      <c r="E84" s="77">
        <f>+(($C$84/$C$79)-1)*100</f>
        <v>0.83157596550313961</v>
      </c>
      <c r="F84" s="154">
        <f t="shared" ref="F84:F147" si="6">100*((C84/C72)-1)</f>
        <v>5.3380595689831223</v>
      </c>
      <c r="G84" s="80">
        <f>$C$383/C84</f>
        <v>4.6621029367695419</v>
      </c>
    </row>
    <row r="85" spans="1:7" ht="16.5" hidden="1" thickBot="1" x14ac:dyDescent="0.3">
      <c r="A85" s="75">
        <v>2000</v>
      </c>
      <c r="B85" s="82" t="s">
        <v>18</v>
      </c>
      <c r="C85" s="77">
        <f t="shared" si="5"/>
        <v>1606.5699999999995</v>
      </c>
      <c r="D85" s="184">
        <v>0.30029467585654945</v>
      </c>
      <c r="E85" s="77">
        <f>+(($C$85/$C$79)-1)*100</f>
        <v>1.1343678197097917</v>
      </c>
      <c r="F85" s="154">
        <f t="shared" si="6"/>
        <v>5.5807840173495826</v>
      </c>
      <c r="G85" s="80">
        <f>$C$383/C85</f>
        <v>4.6481448053928442</v>
      </c>
    </row>
    <row r="86" spans="1:7" ht="16.5" hidden="1" thickBot="1" x14ac:dyDescent="0.3">
      <c r="A86" s="75">
        <v>2000</v>
      </c>
      <c r="B86" s="82" t="s">
        <v>19</v>
      </c>
      <c r="C86" s="77">
        <f t="shared" si="5"/>
        <v>1628.8999999999996</v>
      </c>
      <c r="D86" s="184">
        <v>1.3899176506470434</v>
      </c>
      <c r="E86" s="77">
        <f>+(($C$86/$C$79)-1)*100</f>
        <v>2.5400522489062549</v>
      </c>
      <c r="F86" s="154">
        <f t="shared" si="6"/>
        <v>6.2619462329817077</v>
      </c>
      <c r="G86" s="80">
        <f>$C$383/C86</f>
        <v>4.5844250721345583</v>
      </c>
    </row>
    <row r="87" spans="1:7" ht="16.5" hidden="1" thickBot="1" x14ac:dyDescent="0.3">
      <c r="A87" s="75">
        <v>2000</v>
      </c>
      <c r="B87" s="82" t="s">
        <v>20</v>
      </c>
      <c r="C87" s="77">
        <f t="shared" si="5"/>
        <v>1648.6099999999994</v>
      </c>
      <c r="D87" s="184">
        <v>1.2100190312480663</v>
      </c>
      <c r="E87" s="77">
        <f>+(($C$87/$C$79)-1)*100</f>
        <v>3.7808063957697202</v>
      </c>
      <c r="F87" s="154">
        <f t="shared" si="6"/>
        <v>6.9595287217615764</v>
      </c>
      <c r="G87" s="80">
        <f>$C$383/C87</f>
        <v>4.529615858207813</v>
      </c>
    </row>
    <row r="88" spans="1:7" ht="16.5" hidden="1" thickBot="1" x14ac:dyDescent="0.3">
      <c r="A88" s="75">
        <v>2000</v>
      </c>
      <c r="B88" s="82" t="s">
        <v>21</v>
      </c>
      <c r="C88" s="77">
        <f t="shared" si="5"/>
        <v>1655.6999999999996</v>
      </c>
      <c r="D88" s="184">
        <v>0.43005926204500167</v>
      </c>
      <c r="E88" s="77">
        <f>+(($C$88/$C$79)-1)*100</f>
        <v>4.227125365899731</v>
      </c>
      <c r="F88" s="154">
        <f t="shared" si="6"/>
        <v>7.0022942449995185</v>
      </c>
      <c r="G88" s="80">
        <f>$C$383/C88</f>
        <v>4.5102192426164045</v>
      </c>
    </row>
    <row r="89" spans="1:7" ht="16.5" hidden="1" thickBot="1" x14ac:dyDescent="0.3">
      <c r="A89" s="75">
        <v>2000</v>
      </c>
      <c r="B89" s="82" t="s">
        <v>22</v>
      </c>
      <c r="C89" s="77">
        <f t="shared" si="5"/>
        <v>1658.3499999999995</v>
      </c>
      <c r="D89" s="184">
        <v>0.16005314972518114</v>
      </c>
      <c r="E89" s="77">
        <f>+(($C$89/$C$79)-1)*100</f>
        <v>4.3939441629158749</v>
      </c>
      <c r="F89" s="154">
        <f t="shared" si="6"/>
        <v>6.1547817180898745</v>
      </c>
      <c r="G89" s="80">
        <f>$C$383/C89</f>
        <v>4.5030120300298382</v>
      </c>
    </row>
    <row r="90" spans="1:7" ht="16.5" hidden="1" thickBot="1" x14ac:dyDescent="0.3">
      <c r="A90" s="75">
        <v>2000</v>
      </c>
      <c r="B90" s="82" t="s">
        <v>23</v>
      </c>
      <c r="C90" s="77">
        <f t="shared" si="5"/>
        <v>1663.1599999999994</v>
      </c>
      <c r="D90" s="184">
        <v>0.2900473362076772</v>
      </c>
      <c r="E90" s="77">
        <f>+(($C$90/$C$79)-1)*100</f>
        <v>4.696736017122527</v>
      </c>
      <c r="F90" s="154">
        <f t="shared" si="6"/>
        <v>5.4715641012632377</v>
      </c>
      <c r="G90" s="80">
        <f>$C$383/C90</f>
        <v>4.4899889367228543</v>
      </c>
    </row>
    <row r="91" spans="1:7" ht="16.5" hidden="1" thickBot="1" x14ac:dyDescent="0.3">
      <c r="A91" s="75">
        <v>2000</v>
      </c>
      <c r="B91" s="82" t="s">
        <v>12</v>
      </c>
      <c r="C91" s="77">
        <f t="shared" si="5"/>
        <v>1672.3099999999993</v>
      </c>
      <c r="D91" s="184">
        <v>0.55015753144616042</v>
      </c>
      <c r="E91" s="77">
        <f>+(($C$91/$C$79)-1)*100</f>
        <v>5.2727329954990187</v>
      </c>
      <c r="F91" s="154">
        <f t="shared" si="6"/>
        <v>5.2727329954990187</v>
      </c>
      <c r="G91" s="80">
        <f>$C$383/C91</f>
        <v>4.4654220808342853</v>
      </c>
    </row>
    <row r="92" spans="1:7" ht="16.5" hidden="1" thickBot="1" x14ac:dyDescent="0.3">
      <c r="A92" s="75">
        <v>2001</v>
      </c>
      <c r="B92" s="82" t="s">
        <v>13</v>
      </c>
      <c r="C92" s="77">
        <f t="shared" si="5"/>
        <v>1685.1899999999994</v>
      </c>
      <c r="D92" s="184">
        <v>0.77019212944968718</v>
      </c>
      <c r="E92" s="77">
        <f>+(($C$92/$C$91)-1)*100</f>
        <v>0.77019212944968718</v>
      </c>
      <c r="F92" s="154">
        <f t="shared" si="6"/>
        <v>5.4403593953348484</v>
      </c>
      <c r="G92" s="80">
        <f>$C$383/C92</f>
        <v>4.4312926138892248</v>
      </c>
    </row>
    <row r="93" spans="1:7" ht="16.5" hidden="1" thickBot="1" x14ac:dyDescent="0.3">
      <c r="A93" s="75">
        <v>2001</v>
      </c>
      <c r="B93" s="82" t="s">
        <v>14</v>
      </c>
      <c r="C93" s="77">
        <f t="shared" si="5"/>
        <v>1693.4499999999994</v>
      </c>
      <c r="D93" s="184">
        <v>0.49015244571828376</v>
      </c>
      <c r="E93" s="77">
        <f>+(($C$93/$C$91)-1)*100</f>
        <v>1.2641196907271945</v>
      </c>
      <c r="F93" s="154">
        <f t="shared" si="6"/>
        <v>5.9041675005003125</v>
      </c>
      <c r="G93" s="80">
        <f>$C$383/C93</f>
        <v>4.4096784670347411</v>
      </c>
    </row>
    <row r="94" spans="1:7" ht="16.5" hidden="1" thickBot="1" x14ac:dyDescent="0.3">
      <c r="A94" s="75">
        <v>2001</v>
      </c>
      <c r="B94" s="82" t="s">
        <v>15</v>
      </c>
      <c r="C94" s="77">
        <f t="shared" si="5"/>
        <v>1701.5799999999992</v>
      </c>
      <c r="D94" s="184">
        <v>0.48008503351146814</v>
      </c>
      <c r="E94" s="77">
        <f t="shared" ref="E94:E100" si="7">+((C94/$C$91)-1)*100</f>
        <v>1.7502735736795172</v>
      </c>
      <c r="F94" s="154">
        <f t="shared" si="6"/>
        <v>6.2743579494354051</v>
      </c>
      <c r="G94" s="80">
        <f>$C$383/C94</f>
        <v>4.3886094100776827</v>
      </c>
    </row>
    <row r="95" spans="1:7" ht="16.5" hidden="1" thickBot="1" x14ac:dyDescent="0.3">
      <c r="A95" s="75">
        <v>2001</v>
      </c>
      <c r="B95" s="82" t="s">
        <v>16</v>
      </c>
      <c r="C95" s="77">
        <f t="shared" si="5"/>
        <v>1715.869999999999</v>
      </c>
      <c r="D95" s="184">
        <v>0.83980770813008032</v>
      </c>
      <c r="E95" s="77">
        <f t="shared" si="7"/>
        <v>2.6047802141947241</v>
      </c>
      <c r="F95" s="154">
        <f t="shared" si="6"/>
        <v>7.0705621006389441</v>
      </c>
      <c r="G95" s="80">
        <f>$C$383/C95</f>
        <v>4.3520604707815771</v>
      </c>
    </row>
    <row r="96" spans="1:7" ht="16.5" hidden="1" thickBot="1" x14ac:dyDescent="0.3">
      <c r="A96" s="75">
        <v>2001</v>
      </c>
      <c r="B96" s="82" t="s">
        <v>17</v>
      </c>
      <c r="C96" s="77">
        <f t="shared" si="5"/>
        <v>1725.6499999999992</v>
      </c>
      <c r="D96" s="184">
        <v>0.56997324972172247</v>
      </c>
      <c r="E96" s="77">
        <f t="shared" si="7"/>
        <v>3.1896000143514014</v>
      </c>
      <c r="F96" s="154">
        <f t="shared" si="6"/>
        <v>7.7346169213864613</v>
      </c>
      <c r="G96" s="80">
        <f>$C$383/C96</f>
        <v>4.3273954741691441</v>
      </c>
    </row>
    <row r="97" spans="1:7" ht="16.5" hidden="1" thickBot="1" x14ac:dyDescent="0.3">
      <c r="A97" s="75">
        <v>2001</v>
      </c>
      <c r="B97" s="82" t="s">
        <v>18</v>
      </c>
      <c r="C97" s="77">
        <f t="shared" si="5"/>
        <v>1735.9999999999991</v>
      </c>
      <c r="D97" s="184">
        <v>0.59977399820356769</v>
      </c>
      <c r="E97" s="77">
        <f t="shared" si="7"/>
        <v>3.8085044040877536</v>
      </c>
      <c r="F97" s="154">
        <f t="shared" si="6"/>
        <v>8.0562938434054931</v>
      </c>
      <c r="G97" s="80">
        <f>$C$383/C97</f>
        <v>4.3015956221198062</v>
      </c>
    </row>
    <row r="98" spans="1:7" ht="16.5" hidden="1" thickBot="1" x14ac:dyDescent="0.3">
      <c r="A98" s="75">
        <v>2001</v>
      </c>
      <c r="B98" s="82" t="s">
        <v>19</v>
      </c>
      <c r="C98" s="77">
        <f t="shared" si="5"/>
        <v>1755.2699999999991</v>
      </c>
      <c r="D98" s="184">
        <v>1.1100230414746504</v>
      </c>
      <c r="E98" s="77">
        <f t="shared" si="7"/>
        <v>4.9608027219833595</v>
      </c>
      <c r="F98" s="154">
        <f t="shared" si="6"/>
        <v>7.7579961937503494</v>
      </c>
      <c r="G98" s="80">
        <f>$C$383/C98</f>
        <v>4.2543711223914178</v>
      </c>
    </row>
    <row r="99" spans="1:7" ht="16.5" hidden="1" thickBot="1" x14ac:dyDescent="0.3">
      <c r="A99" s="75">
        <v>2001</v>
      </c>
      <c r="B99" s="82" t="s">
        <v>20</v>
      </c>
      <c r="C99" s="77">
        <f t="shared" si="5"/>
        <v>1769.1399999999992</v>
      </c>
      <c r="D99" s="184">
        <v>0.79019182234072449</v>
      </c>
      <c r="E99" s="77">
        <f t="shared" si="7"/>
        <v>5.790194401755655</v>
      </c>
      <c r="F99" s="154">
        <f t="shared" si="6"/>
        <v>7.3110074547649173</v>
      </c>
      <c r="G99" s="80">
        <f>$C$383/C99</f>
        <v>4.2210169913065005</v>
      </c>
    </row>
    <row r="100" spans="1:7" ht="16.5" hidden="1" thickBot="1" x14ac:dyDescent="0.3">
      <c r="A100" s="75">
        <v>2001</v>
      </c>
      <c r="B100" s="82" t="s">
        <v>21</v>
      </c>
      <c r="C100" s="77">
        <f t="shared" si="5"/>
        <v>1776.9199999999989</v>
      </c>
      <c r="D100" s="184">
        <v>0.43976169212158744</v>
      </c>
      <c r="E100" s="77">
        <f t="shared" si="7"/>
        <v>6.2554191507555146</v>
      </c>
      <c r="F100" s="154">
        <f t="shared" si="6"/>
        <v>7.3213746451651573</v>
      </c>
      <c r="G100" s="80">
        <f>$C$383/C100</f>
        <v>4.2025358485469146</v>
      </c>
    </row>
    <row r="101" spans="1:7" ht="16.5" hidden="1" thickBot="1" x14ac:dyDescent="0.3">
      <c r="A101" s="75">
        <v>2001</v>
      </c>
      <c r="B101" s="82" t="s">
        <v>22</v>
      </c>
      <c r="C101" s="77">
        <f t="shared" si="5"/>
        <v>1793.6199999999988</v>
      </c>
      <c r="D101" s="184">
        <v>0.93982846723543734</v>
      </c>
      <c r="E101" s="77">
        <f>+((C101/$C$91)-1)*100</f>
        <v>7.25403782791465</v>
      </c>
      <c r="F101" s="154">
        <f t="shared" si="6"/>
        <v>8.1569029456989952</v>
      </c>
      <c r="G101" s="80">
        <f>$C$383/C101</f>
        <v>4.163406964685934</v>
      </c>
    </row>
    <row r="102" spans="1:7" ht="16.5" hidden="1" thickBot="1" x14ac:dyDescent="0.3">
      <c r="A102" s="75">
        <v>2001</v>
      </c>
      <c r="B102" s="82" t="s">
        <v>23</v>
      </c>
      <c r="C102" s="77">
        <f t="shared" si="5"/>
        <v>1816.7599999999991</v>
      </c>
      <c r="D102" s="184">
        <v>1.2901283437963595</v>
      </c>
      <c r="E102" s="77">
        <f>+((C102/$C$91)-1)*100</f>
        <v>8.6377525697986623</v>
      </c>
      <c r="F102" s="154">
        <f t="shared" si="6"/>
        <v>9.2354313475552452</v>
      </c>
      <c r="G102" s="80">
        <f>$C$383/C102</f>
        <v>4.1103778154516739</v>
      </c>
    </row>
    <row r="103" spans="1:7" ht="16.5" hidden="1" thickBot="1" x14ac:dyDescent="0.3">
      <c r="A103" s="75">
        <v>2001</v>
      </c>
      <c r="B103" s="82" t="s">
        <v>64</v>
      </c>
      <c r="C103" s="77">
        <f t="shared" si="5"/>
        <v>1830.1999999999994</v>
      </c>
      <c r="D103" s="184">
        <v>0.73977850679232127</v>
      </c>
      <c r="E103" s="77">
        <f>+((C103/$C$91)-1)*100</f>
        <v>9.4414313135722452</v>
      </c>
      <c r="F103" s="154">
        <f t="shared" si="6"/>
        <v>9.4414313135722452</v>
      </c>
      <c r="G103" s="80">
        <f>$C$383/C103</f>
        <v>4.0801934214839815</v>
      </c>
    </row>
    <row r="104" spans="1:7" ht="16.5" hidden="1" thickBot="1" x14ac:dyDescent="0.3">
      <c r="A104" s="75">
        <v>2002</v>
      </c>
      <c r="B104" s="82" t="s">
        <v>13</v>
      </c>
      <c r="C104" s="77">
        <f t="shared" si="5"/>
        <v>1849.7799999999993</v>
      </c>
      <c r="D104" s="184">
        <v>1.0698284340509234</v>
      </c>
      <c r="E104" s="77">
        <f t="shared" ref="E104:E111" si="8">+((C104/$C$103)-1)*100</f>
        <v>1.0698284340509234</v>
      </c>
      <c r="F104" s="154">
        <f t="shared" si="6"/>
        <v>9.7668512155899343</v>
      </c>
      <c r="G104" s="80">
        <f>$C$383/C104</f>
        <v>4.0370044005232959</v>
      </c>
    </row>
    <row r="105" spans="1:7" ht="16.5" hidden="1" thickBot="1" x14ac:dyDescent="0.3">
      <c r="A105" s="75">
        <v>2002</v>
      </c>
      <c r="B105" s="82" t="s">
        <v>14</v>
      </c>
      <c r="C105" s="77">
        <f t="shared" si="5"/>
        <v>1855.5099999999991</v>
      </c>
      <c r="D105" s="184">
        <v>0.30976656683496806</v>
      </c>
      <c r="E105" s="77">
        <f>+((C105/$C$103)-1)*100</f>
        <v>1.3829089716970611</v>
      </c>
      <c r="F105" s="154">
        <f t="shared" si="6"/>
        <v>9.5698131034279044</v>
      </c>
      <c r="G105" s="80">
        <f>$C$383/C105</f>
        <v>4.0245377281717607</v>
      </c>
    </row>
    <row r="106" spans="1:7" ht="16.5" hidden="1" thickBot="1" x14ac:dyDescent="0.3">
      <c r="A106" s="75">
        <v>2002</v>
      </c>
      <c r="B106" s="82" t="s">
        <v>15</v>
      </c>
      <c r="C106" s="77">
        <f t="shared" si="5"/>
        <v>1867.0099999999989</v>
      </c>
      <c r="D106" s="184">
        <v>0.61977569509190644</v>
      </c>
      <c r="E106" s="77">
        <f t="shared" si="8"/>
        <v>2.011255600480788</v>
      </c>
      <c r="F106" s="154">
        <f t="shared" si="6"/>
        <v>9.7221405987376173</v>
      </c>
      <c r="G106" s="80">
        <f>$C$383/C106</f>
        <v>3.9997482605877765</v>
      </c>
    </row>
    <row r="107" spans="1:7" ht="16.5" hidden="1" thickBot="1" x14ac:dyDescent="0.3">
      <c r="A107" s="75">
        <v>2002</v>
      </c>
      <c r="B107" s="82" t="s">
        <v>16</v>
      </c>
      <c r="C107" s="77">
        <f t="shared" si="5"/>
        <v>1879.7099999999987</v>
      </c>
      <c r="D107" s="184">
        <v>0.68023202875184818</v>
      </c>
      <c r="E107" s="77">
        <f t="shared" si="8"/>
        <v>2.7051688340071767</v>
      </c>
      <c r="F107" s="154">
        <f t="shared" si="6"/>
        <v>9.548508919673381</v>
      </c>
      <c r="G107" s="80">
        <f>$C$383/C107</f>
        <v>3.9727245160157603</v>
      </c>
    </row>
    <row r="108" spans="1:7" ht="16.5" hidden="1" thickBot="1" x14ac:dyDescent="0.3">
      <c r="A108" s="75">
        <v>2002</v>
      </c>
      <c r="B108" s="82" t="s">
        <v>17</v>
      </c>
      <c r="C108" s="77">
        <f t="shared" si="5"/>
        <v>1881.3999999999987</v>
      </c>
      <c r="D108" s="184">
        <v>8.9907485729190384E-2</v>
      </c>
      <c r="E108" s="77">
        <f t="shared" si="8"/>
        <v>2.7975084690197383</v>
      </c>
      <c r="F108" s="154">
        <f t="shared" si="6"/>
        <v>9.0255845623388176</v>
      </c>
      <c r="G108" s="80">
        <f>$C$383/C108</f>
        <v>3.9691559476985141</v>
      </c>
    </row>
    <row r="109" spans="1:7" ht="16.5" hidden="1" thickBot="1" x14ac:dyDescent="0.3">
      <c r="A109" s="75">
        <v>2002</v>
      </c>
      <c r="B109" s="82" t="s">
        <v>18</v>
      </c>
      <c r="C109" s="77">
        <f t="shared" si="5"/>
        <v>1892.8799999999987</v>
      </c>
      <c r="D109" s="184">
        <v>0.61018390560221292</v>
      </c>
      <c r="E109" s="77">
        <f t="shared" si="8"/>
        <v>3.4247623210577727</v>
      </c>
      <c r="F109" s="154">
        <f t="shared" si="6"/>
        <v>9.0368663594469822</v>
      </c>
      <c r="G109" s="80">
        <f>$C$383/C109</f>
        <v>3.9450836820083599</v>
      </c>
    </row>
    <row r="110" spans="1:7" ht="16.5" hidden="1" thickBot="1" x14ac:dyDescent="0.3">
      <c r="A110" s="75">
        <v>2002</v>
      </c>
      <c r="B110" s="82" t="s">
        <v>19</v>
      </c>
      <c r="C110" s="77">
        <f t="shared" si="5"/>
        <v>1914.6499999999987</v>
      </c>
      <c r="D110" s="184">
        <v>1.1500993195553866</v>
      </c>
      <c r="E110" s="77">
        <f t="shared" si="8"/>
        <v>4.6142498087640371</v>
      </c>
      <c r="F110" s="154">
        <f t="shared" si="6"/>
        <v>9.0800845453975487</v>
      </c>
      <c r="G110" s="80">
        <f>$C$383/C110</f>
        <v>3.900227195570984</v>
      </c>
    </row>
    <row r="111" spans="1:7" ht="16.5" hidden="1" thickBot="1" x14ac:dyDescent="0.3">
      <c r="A111" s="75">
        <v>2002</v>
      </c>
      <c r="B111" s="82" t="s">
        <v>20</v>
      </c>
      <c r="C111" s="77">
        <f t="shared" si="5"/>
        <v>1931.1199999999985</v>
      </c>
      <c r="D111" s="184">
        <v>0.86020943775624303</v>
      </c>
      <c r="E111" s="77">
        <f t="shared" si="8"/>
        <v>5.5141514588569196</v>
      </c>
      <c r="F111" s="154">
        <f t="shared" si="6"/>
        <v>9.1558610398272187</v>
      </c>
      <c r="G111" s="80">
        <f>$C$383/C111</f>
        <v>3.8669632130577001</v>
      </c>
    </row>
    <row r="112" spans="1:7" ht="16.5" hidden="1" thickBot="1" x14ac:dyDescent="0.3">
      <c r="A112" s="75">
        <v>2002</v>
      </c>
      <c r="B112" s="82" t="s">
        <v>21</v>
      </c>
      <c r="C112" s="77">
        <f t="shared" si="5"/>
        <v>1947.1499999999987</v>
      </c>
      <c r="D112" s="184">
        <v>0.83008823894943351</v>
      </c>
      <c r="E112" s="77">
        <f>+((C112/$C$103)-1)*100</f>
        <v>6.3900120205441668</v>
      </c>
      <c r="F112" s="154">
        <f t="shared" si="6"/>
        <v>9.5800598788915678</v>
      </c>
      <c r="G112" s="80">
        <f>$C$383/C112</f>
        <v>3.8351282643864031</v>
      </c>
    </row>
    <row r="113" spans="1:7" ht="16.5" hidden="1" thickBot="1" x14ac:dyDescent="0.3">
      <c r="A113" s="75">
        <v>2002</v>
      </c>
      <c r="B113" s="82" t="s">
        <v>22</v>
      </c>
      <c r="C113" s="77">
        <f t="shared" si="5"/>
        <v>1977.7199999999989</v>
      </c>
      <c r="D113" s="184">
        <v>1.5699869039365266</v>
      </c>
      <c r="E113" s="77">
        <f>+((C113/$C$103)-1)*100</f>
        <v>8.0603212763632257</v>
      </c>
      <c r="F113" s="154">
        <f t="shared" si="6"/>
        <v>10.264158517411737</v>
      </c>
      <c r="G113" s="80">
        <f>$C$383/C113</f>
        <v>3.7758479461197663</v>
      </c>
    </row>
    <row r="114" spans="1:7" ht="16.5" hidden="1" thickBot="1" x14ac:dyDescent="0.3">
      <c r="A114" s="75">
        <v>2002</v>
      </c>
      <c r="B114" s="82" t="s">
        <v>23</v>
      </c>
      <c r="C114" s="77">
        <f t="shared" si="5"/>
        <v>2044.7599999999989</v>
      </c>
      <c r="D114" s="184">
        <v>3.3897619481018548</v>
      </c>
      <c r="E114" s="77">
        <f>+((C114/$C$103)-1)*100</f>
        <v>11.723308927985986</v>
      </c>
      <c r="F114" s="154">
        <f t="shared" si="6"/>
        <v>12.549813954512423</v>
      </c>
      <c r="G114" s="80">
        <f>$C$383/C114</f>
        <v>3.6520520745710909</v>
      </c>
    </row>
    <row r="115" spans="1:7" ht="16.5" hidden="1" thickBot="1" x14ac:dyDescent="0.3">
      <c r="A115" s="75">
        <v>2002</v>
      </c>
      <c r="B115" s="82" t="s">
        <v>12</v>
      </c>
      <c r="C115" s="77">
        <f t="shared" si="5"/>
        <v>2099.9699999999984</v>
      </c>
      <c r="D115" s="184">
        <v>2.7000723801326121</v>
      </c>
      <c r="E115" s="77">
        <f>+((C115/$C$103)-1)*100</f>
        <v>14.739919134520774</v>
      </c>
      <c r="F115" s="154">
        <f t="shared" si="6"/>
        <v>14.739919134520774</v>
      </c>
      <c r="G115" s="80">
        <f>$C$383/C115</f>
        <v>3.5560365148073472</v>
      </c>
    </row>
    <row r="116" spans="1:7" ht="16.5" hidden="1" thickBot="1" x14ac:dyDescent="0.3">
      <c r="A116" s="75">
        <v>2003</v>
      </c>
      <c r="B116" s="82" t="s">
        <v>13</v>
      </c>
      <c r="C116" s="77">
        <f t="shared" si="5"/>
        <v>2151.8399999999988</v>
      </c>
      <c r="D116" s="184">
        <v>2.4700352862183861</v>
      </c>
      <c r="E116" s="77">
        <f t="shared" ref="E116:E127" si="9">+((C116/$C$115)-1)*100</f>
        <v>2.4700352862183861</v>
      </c>
      <c r="F116" s="154">
        <f t="shared" si="6"/>
        <v>16.329509455178439</v>
      </c>
      <c r="G116" s="80">
        <f>$C$383/C116</f>
        <v>3.4703184251617145</v>
      </c>
    </row>
    <row r="117" spans="1:7" ht="16.5" hidden="1" thickBot="1" x14ac:dyDescent="0.3">
      <c r="A117" s="75">
        <v>2003</v>
      </c>
      <c r="B117" s="82" t="s">
        <v>14</v>
      </c>
      <c r="C117" s="77">
        <f t="shared" si="5"/>
        <v>2183.2599999999989</v>
      </c>
      <c r="D117" s="184">
        <v>1.4601457357424463</v>
      </c>
      <c r="E117" s="77">
        <f t="shared" si="9"/>
        <v>3.9662471368638874</v>
      </c>
      <c r="F117" s="154">
        <f t="shared" si="6"/>
        <v>17.663607310119577</v>
      </c>
      <c r="G117" s="80">
        <f>$C$383/C117</f>
        <v>3.4203759515586709</v>
      </c>
    </row>
    <row r="118" spans="1:7" ht="16.5" hidden="1" thickBot="1" x14ac:dyDescent="0.3">
      <c r="A118" s="75">
        <v>2003</v>
      </c>
      <c r="B118" s="82" t="s">
        <v>15</v>
      </c>
      <c r="C118" s="77">
        <f t="shared" si="5"/>
        <v>2213.1699999999987</v>
      </c>
      <c r="D118" s="184">
        <v>1.3699696783708637</v>
      </c>
      <c r="E118" s="77">
        <f t="shared" si="9"/>
        <v>5.3905531983790445</v>
      </c>
      <c r="F118" s="154">
        <f t="shared" si="6"/>
        <v>18.540875517538737</v>
      </c>
      <c r="G118" s="80">
        <f>$C$383/C118</f>
        <v>3.3741511045242722</v>
      </c>
    </row>
    <row r="119" spans="1:7" ht="16.5" hidden="1" thickBot="1" x14ac:dyDescent="0.3">
      <c r="A119" s="75">
        <v>2003</v>
      </c>
      <c r="B119" s="82" t="s">
        <v>16</v>
      </c>
      <c r="C119" s="77">
        <f t="shared" si="5"/>
        <v>2243.7099999999987</v>
      </c>
      <c r="D119" s="184">
        <v>1.3799211086360286</v>
      </c>
      <c r="E119" s="77">
        <f t="shared" si="9"/>
        <v>6.8448596884717494</v>
      </c>
      <c r="F119" s="154">
        <f t="shared" si="6"/>
        <v>19.364689233977607</v>
      </c>
      <c r="G119" s="80">
        <f>$C$383/C119</f>
        <v>3.3282242357523852</v>
      </c>
    </row>
    <row r="120" spans="1:7" ht="16.5" hidden="1" thickBot="1" x14ac:dyDescent="0.3">
      <c r="A120" s="75">
        <v>2003</v>
      </c>
      <c r="B120" s="82" t="s">
        <v>17</v>
      </c>
      <c r="C120" s="77">
        <f t="shared" si="5"/>
        <v>2265.9199999999987</v>
      </c>
      <c r="D120" s="184">
        <v>0.98987837109074661</v>
      </c>
      <c r="E120" s="77">
        <f t="shared" si="9"/>
        <v>7.9024938451501825</v>
      </c>
      <c r="F120" s="154">
        <f t="shared" si="6"/>
        <v>20.437971723184866</v>
      </c>
      <c r="G120" s="80">
        <f>$C$383/C120</f>
        <v>3.2956017864708302</v>
      </c>
    </row>
    <row r="121" spans="1:7" ht="16.5" hidden="1" thickBot="1" x14ac:dyDescent="0.3">
      <c r="A121" s="75">
        <v>2003</v>
      </c>
      <c r="B121" s="82" t="s">
        <v>18</v>
      </c>
      <c r="C121" s="77">
        <f t="shared" si="5"/>
        <v>2264.5599999999986</v>
      </c>
      <c r="D121" s="184">
        <v>-6.0019771218755569E-2</v>
      </c>
      <c r="E121" s="77">
        <f t="shared" si="9"/>
        <v>7.8377310152049962</v>
      </c>
      <c r="F121" s="154">
        <f t="shared" si="6"/>
        <v>19.635687418114212</v>
      </c>
      <c r="G121" s="80">
        <f>$C$383/C121</f>
        <v>3.2975809870350021</v>
      </c>
    </row>
    <row r="122" spans="1:7" ht="16.5" hidden="1" thickBot="1" x14ac:dyDescent="0.3">
      <c r="A122" s="75">
        <v>2003</v>
      </c>
      <c r="B122" s="82" t="s">
        <v>19</v>
      </c>
      <c r="C122" s="77">
        <f t="shared" si="5"/>
        <v>2265.4699999999984</v>
      </c>
      <c r="D122" s="184">
        <v>4.0184406683851925E-2</v>
      </c>
      <c r="E122" s="77">
        <f t="shared" si="9"/>
        <v>7.8810649675947753</v>
      </c>
      <c r="F122" s="154">
        <f t="shared" si="6"/>
        <v>18.322931084010129</v>
      </c>
      <c r="G122" s="80">
        <f>$C$383/C122</f>
        <v>3.2962564059554902</v>
      </c>
    </row>
    <row r="123" spans="1:7" ht="16.5" hidden="1" thickBot="1" x14ac:dyDescent="0.3">
      <c r="A123" s="75">
        <v>2003</v>
      </c>
      <c r="B123" s="82" t="s">
        <v>20</v>
      </c>
      <c r="C123" s="77">
        <f t="shared" si="5"/>
        <v>2269.5499999999984</v>
      </c>
      <c r="D123" s="184">
        <v>0.18009507960821125</v>
      </c>
      <c r="E123" s="77">
        <f t="shared" si="9"/>
        <v>8.0753534574303565</v>
      </c>
      <c r="F123" s="154">
        <f t="shared" si="6"/>
        <v>17.525063175773646</v>
      </c>
      <c r="G123" s="80">
        <f>$C$383/C123</f>
        <v>3.2903306822938401</v>
      </c>
    </row>
    <row r="124" spans="1:7" ht="16.5" hidden="1" thickBot="1" x14ac:dyDescent="0.3">
      <c r="A124" s="75">
        <v>2003</v>
      </c>
      <c r="B124" s="82" t="s">
        <v>21</v>
      </c>
      <c r="C124" s="77">
        <f t="shared" si="5"/>
        <v>2288.159999999998</v>
      </c>
      <c r="D124" s="184">
        <v>0.81998634090456601</v>
      </c>
      <c r="E124" s="77">
        <f t="shared" si="9"/>
        <v>8.9615565936656196</v>
      </c>
      <c r="F124" s="154">
        <f t="shared" si="6"/>
        <v>17.513288652646143</v>
      </c>
      <c r="G124" s="80">
        <f>$C$383/C124</f>
        <v>3.2635698552548713</v>
      </c>
    </row>
    <row r="125" spans="1:7" ht="16.5" hidden="1" thickBot="1" x14ac:dyDescent="0.3">
      <c r="A125" s="75">
        <v>2003</v>
      </c>
      <c r="B125" s="82" t="s">
        <v>22</v>
      </c>
      <c r="C125" s="77">
        <f t="shared" si="5"/>
        <v>2297.0799999999981</v>
      </c>
      <c r="D125" s="184">
        <v>0.38983287881966255</v>
      </c>
      <c r="E125" s="77">
        <f t="shared" si="9"/>
        <v>9.3863245665414254</v>
      </c>
      <c r="F125" s="154">
        <f t="shared" si="6"/>
        <v>16.147887466375387</v>
      </c>
      <c r="G125" s="80">
        <f>$C$383/C125</f>
        <v>3.2508967907081971</v>
      </c>
    </row>
    <row r="126" spans="1:7" ht="16.5" hidden="1" thickBot="1" x14ac:dyDescent="0.3">
      <c r="A126" s="75">
        <v>2003</v>
      </c>
      <c r="B126" s="82" t="s">
        <v>23</v>
      </c>
      <c r="C126" s="77">
        <f t="shared" si="5"/>
        <v>2305.5799999999981</v>
      </c>
      <c r="D126" s="184">
        <v>0.37003500095773578</v>
      </c>
      <c r="E126" s="77">
        <f t="shared" si="9"/>
        <v>9.7910922536988529</v>
      </c>
      <c r="F126" s="154">
        <f t="shared" si="6"/>
        <v>12.755531211486893</v>
      </c>
      <c r="G126" s="80">
        <f>$C$383/C126</f>
        <v>3.2389116838279244</v>
      </c>
    </row>
    <row r="127" spans="1:7" ht="16.5" hidden="1" thickBot="1" x14ac:dyDescent="0.3">
      <c r="A127" s="75">
        <v>2003</v>
      </c>
      <c r="B127" s="82" t="s">
        <v>12</v>
      </c>
      <c r="C127" s="77">
        <f t="shared" si="5"/>
        <v>2318.0299999999984</v>
      </c>
      <c r="D127" s="184">
        <v>0.53999427475950323</v>
      </c>
      <c r="E127" s="77">
        <f t="shared" si="9"/>
        <v>10.383957866064764</v>
      </c>
      <c r="F127" s="154">
        <f t="shared" si="6"/>
        <v>10.383957866064764</v>
      </c>
      <c r="G127" s="80">
        <f>$C$383/C127</f>
        <v>3.2215156835761336</v>
      </c>
    </row>
    <row r="128" spans="1:7" ht="16.5" hidden="1" thickBot="1" x14ac:dyDescent="0.3">
      <c r="A128" s="75">
        <v>2004</v>
      </c>
      <c r="B128" s="82" t="s">
        <v>13</v>
      </c>
      <c r="C128" s="77">
        <f t="shared" si="5"/>
        <v>2337.2699999999982</v>
      </c>
      <c r="D128" s="184">
        <v>0.83001514216811678</v>
      </c>
      <c r="E128" s="77">
        <f t="shared" ref="E128:E139" si="10">+((C128/$C$127)-1)*100</f>
        <v>0.83001514216811678</v>
      </c>
      <c r="F128" s="154">
        <f t="shared" si="6"/>
        <v>8.6172763774257977</v>
      </c>
      <c r="G128" s="80">
        <f>$C$383/C128</f>
        <v>3.1949967269506669</v>
      </c>
    </row>
    <row r="129" spans="1:7" ht="16.5" hidden="1" thickBot="1" x14ac:dyDescent="0.3">
      <c r="A129" s="75">
        <v>2004</v>
      </c>
      <c r="B129" s="82" t="s">
        <v>14</v>
      </c>
      <c r="C129" s="77">
        <f t="shared" si="5"/>
        <v>2346.3899999999981</v>
      </c>
      <c r="D129" s="184">
        <v>0.39019882170223674</v>
      </c>
      <c r="E129" s="77">
        <f t="shared" si="10"/>
        <v>1.2234526731750517</v>
      </c>
      <c r="F129" s="154">
        <f t="shared" si="6"/>
        <v>7.471854016470747</v>
      </c>
      <c r="G129" s="80">
        <f>$C$383/C129</f>
        <v>3.1825783437535899</v>
      </c>
    </row>
    <row r="130" spans="1:7" ht="16.5" hidden="1" thickBot="1" x14ac:dyDescent="0.3">
      <c r="A130" s="75">
        <v>2004</v>
      </c>
      <c r="B130" s="82" t="s">
        <v>15</v>
      </c>
      <c r="C130" s="77">
        <f t="shared" si="5"/>
        <v>2359.7599999999984</v>
      </c>
      <c r="D130" s="184">
        <v>0.56981149766237582</v>
      </c>
      <c r="E130" s="77">
        <f t="shared" si="10"/>
        <v>1.8002355448376361</v>
      </c>
      <c r="F130" s="154">
        <f t="shared" si="6"/>
        <v>6.6235309533384079</v>
      </c>
      <c r="G130" s="80">
        <f>$C$383/C130</f>
        <v>3.1645463945485917</v>
      </c>
    </row>
    <row r="131" spans="1:7" ht="16.5" hidden="1" thickBot="1" x14ac:dyDescent="0.3">
      <c r="A131" s="75">
        <v>2004</v>
      </c>
      <c r="B131" s="82" t="s">
        <v>16</v>
      </c>
      <c r="C131" s="77">
        <f t="shared" si="5"/>
        <v>2369.429999999998</v>
      </c>
      <c r="D131" s="184">
        <v>0.40978743601043366</v>
      </c>
      <c r="E131" s="77">
        <f t="shared" si="10"/>
        <v>2.2174001199294135</v>
      </c>
      <c r="F131" s="154">
        <f t="shared" si="6"/>
        <v>5.6032196674258072</v>
      </c>
      <c r="G131" s="80">
        <f>$C$383/C131</f>
        <v>3.1516314050214551</v>
      </c>
    </row>
    <row r="132" spans="1:7" ht="16.5" hidden="1" thickBot="1" x14ac:dyDescent="0.3">
      <c r="A132" s="75">
        <v>2004</v>
      </c>
      <c r="B132" s="82" t="s">
        <v>17</v>
      </c>
      <c r="C132" s="77">
        <f t="shared" si="5"/>
        <v>2378.909999999998</v>
      </c>
      <c r="D132" s="184">
        <v>0.40009622567453995</v>
      </c>
      <c r="E132" s="77">
        <f t="shared" si="10"/>
        <v>2.6263680797918854</v>
      </c>
      <c r="F132" s="154">
        <f t="shared" si="6"/>
        <v>4.9864955514757447</v>
      </c>
      <c r="G132" s="80">
        <f>$C$383/C132</f>
        <v>3.1390720960439804</v>
      </c>
    </row>
    <row r="133" spans="1:7" ht="16.5" hidden="1" thickBot="1" x14ac:dyDescent="0.3">
      <c r="A133" s="75">
        <v>2004</v>
      </c>
      <c r="B133" s="82" t="s">
        <v>18</v>
      </c>
      <c r="C133" s="77">
        <f t="shared" si="5"/>
        <v>2390.7999999999984</v>
      </c>
      <c r="D133" s="184">
        <v>0.49980873593369335</v>
      </c>
      <c r="E133" s="77">
        <f t="shared" si="10"/>
        <v>3.1393036328261514</v>
      </c>
      <c r="F133" s="154">
        <f t="shared" si="6"/>
        <v>5.5745928568905256</v>
      </c>
      <c r="G133" s="80">
        <f>$C$383/C133</f>
        <v>3.1234607662706981</v>
      </c>
    </row>
    <row r="134" spans="1:7" ht="16.5" hidden="1" thickBot="1" x14ac:dyDescent="0.3">
      <c r="A134" s="75">
        <v>2004</v>
      </c>
      <c r="B134" s="82" t="s">
        <v>19</v>
      </c>
      <c r="C134" s="77">
        <f t="shared" si="5"/>
        <v>2408.2499999999982</v>
      </c>
      <c r="D134" s="184">
        <v>0.72988121131001282</v>
      </c>
      <c r="E134" s="77">
        <f t="shared" si="10"/>
        <v>3.8920980315181319</v>
      </c>
      <c r="F134" s="154">
        <f t="shared" si="6"/>
        <v>6.3024449672694827</v>
      </c>
      <c r="G134" s="80">
        <f>$C$383/C134</f>
        <v>3.100828402366858</v>
      </c>
    </row>
    <row r="135" spans="1:7" ht="16.5" hidden="1" thickBot="1" x14ac:dyDescent="0.3">
      <c r="A135" s="75">
        <v>2004</v>
      </c>
      <c r="B135" s="82" t="s">
        <v>20</v>
      </c>
      <c r="C135" s="77">
        <f t="shared" si="5"/>
        <v>2420.2899999999981</v>
      </c>
      <c r="D135" s="184">
        <v>0.49994809508979721</v>
      </c>
      <c r="E135" s="77">
        <f t="shared" si="10"/>
        <v>4.4115045965755328</v>
      </c>
      <c r="F135" s="154">
        <f t="shared" si="6"/>
        <v>6.6418452997290212</v>
      </c>
      <c r="G135" s="80">
        <f>$C$383/C135</f>
        <v>3.0854029888980188</v>
      </c>
    </row>
    <row r="136" spans="1:7" ht="16.5" hidden="1" thickBot="1" x14ac:dyDescent="0.3">
      <c r="A136" s="75">
        <v>2004</v>
      </c>
      <c r="B136" s="82" t="s">
        <v>21</v>
      </c>
      <c r="C136" s="77">
        <f t="shared" ref="C136:C199" si="11">+C135*(1+D136/100)</f>
        <v>2424.3999999999983</v>
      </c>
      <c r="D136" s="184">
        <v>0.1698143610889602</v>
      </c>
      <c r="E136" s="77">
        <f t="shared" si="10"/>
        <v>4.5888103260095736</v>
      </c>
      <c r="F136" s="154">
        <f t="shared" si="6"/>
        <v>5.9541290818823978</v>
      </c>
      <c r="G136" s="80">
        <f>$C$383/C136</f>
        <v>3.0801724137930973</v>
      </c>
    </row>
    <row r="137" spans="1:7" ht="16.5" hidden="1" thickBot="1" x14ac:dyDescent="0.3">
      <c r="A137" s="75">
        <v>2004</v>
      </c>
      <c r="B137" s="82" t="s">
        <v>22</v>
      </c>
      <c r="C137" s="77">
        <f t="shared" si="11"/>
        <v>2428.5199999999982</v>
      </c>
      <c r="D137" s="184">
        <v>0.1699389539679963</v>
      </c>
      <c r="E137" s="77">
        <f t="shared" si="10"/>
        <v>4.7665474562451626</v>
      </c>
      <c r="F137" s="154">
        <f t="shared" si="6"/>
        <v>5.7220471206923751</v>
      </c>
      <c r="G137" s="80">
        <f>$C$383/C137</f>
        <v>3.0749468812280671</v>
      </c>
    </row>
    <row r="138" spans="1:7" ht="16.5" hidden="1" thickBot="1" x14ac:dyDescent="0.3">
      <c r="A138" s="75">
        <v>2004</v>
      </c>
      <c r="B138" s="82" t="s">
        <v>23</v>
      </c>
      <c r="C138" s="77">
        <f t="shared" si="11"/>
        <v>2439.2099999999982</v>
      </c>
      <c r="D138" s="184">
        <v>0.44018579216971165</v>
      </c>
      <c r="E138" s="77">
        <f t="shared" si="10"/>
        <v>5.2277149130943057</v>
      </c>
      <c r="F138" s="154">
        <f t="shared" si="6"/>
        <v>5.7959385490852666</v>
      </c>
      <c r="G138" s="80">
        <f>$C$383/C138</f>
        <v>3.0614707220780439</v>
      </c>
    </row>
    <row r="139" spans="1:7" ht="16.5" hidden="1" thickBot="1" x14ac:dyDescent="0.3">
      <c r="A139" s="75">
        <v>2004</v>
      </c>
      <c r="B139" s="82" t="s">
        <v>12</v>
      </c>
      <c r="C139" s="77">
        <f t="shared" si="11"/>
        <v>2460.1899999999982</v>
      </c>
      <c r="D139" s="184">
        <v>0.86011454528309716</v>
      </c>
      <c r="E139" s="77">
        <f t="shared" si="10"/>
        <v>6.1327937947308619</v>
      </c>
      <c r="F139" s="154">
        <f t="shared" si="6"/>
        <v>6.1327937947308619</v>
      </c>
      <c r="G139" s="80">
        <f>$C$383/C139</f>
        <v>3.035363122360462</v>
      </c>
    </row>
    <row r="140" spans="1:7" ht="16.5" hidden="1" thickBot="1" x14ac:dyDescent="0.3">
      <c r="A140" s="75">
        <v>2005</v>
      </c>
      <c r="B140" s="82" t="s">
        <v>13</v>
      </c>
      <c r="C140" s="77">
        <f t="shared" si="11"/>
        <v>2474.2099999999982</v>
      </c>
      <c r="D140" s="184">
        <v>0.56987468447557976</v>
      </c>
      <c r="E140" s="77">
        <f t="shared" ref="E140:E147" si="12">+((C140/$C$139)-1)*100</f>
        <v>0.56987468447557976</v>
      </c>
      <c r="F140" s="154">
        <f t="shared" si="6"/>
        <v>5.8589722197264438</v>
      </c>
      <c r="G140" s="80">
        <f>$C$383/C140</f>
        <v>3.0181633733595712</v>
      </c>
    </row>
    <row r="141" spans="1:7" ht="16.5" hidden="1" thickBot="1" x14ac:dyDescent="0.3">
      <c r="A141" s="75">
        <v>2005</v>
      </c>
      <c r="B141" s="82" t="s">
        <v>14</v>
      </c>
      <c r="C141" s="77">
        <f t="shared" si="11"/>
        <v>2485.0999999999981</v>
      </c>
      <c r="D141" s="184">
        <v>0.44014048928748828</v>
      </c>
      <c r="E141" s="77">
        <f t="shared" si="12"/>
        <v>1.0125234229876545</v>
      </c>
      <c r="F141" s="154">
        <f t="shared" si="6"/>
        <v>5.9116344682682787</v>
      </c>
      <c r="G141" s="80">
        <f>$C$383/C141</f>
        <v>3.0049374270653035</v>
      </c>
    </row>
    <row r="142" spans="1:7" ht="16.5" hidden="1" thickBot="1" x14ac:dyDescent="0.3">
      <c r="A142" s="75">
        <v>2005</v>
      </c>
      <c r="B142" s="82" t="s">
        <v>15</v>
      </c>
      <c r="C142" s="77">
        <f t="shared" si="11"/>
        <v>2503.239999999998</v>
      </c>
      <c r="D142" s="184">
        <v>0.72995050500985759</v>
      </c>
      <c r="E142" s="77">
        <f t="shared" si="12"/>
        <v>1.7498648478369461</v>
      </c>
      <c r="F142" s="154">
        <f t="shared" si="6"/>
        <v>6.0802793504423969</v>
      </c>
      <c r="G142" s="80">
        <f>$C$383/C142</f>
        <v>2.9831618222783214</v>
      </c>
    </row>
    <row r="143" spans="1:7" ht="16.5" hidden="1" thickBot="1" x14ac:dyDescent="0.3">
      <c r="A143" s="75">
        <v>2005</v>
      </c>
      <c r="B143" s="82" t="s">
        <v>16</v>
      </c>
      <c r="C143" s="77">
        <f t="shared" si="11"/>
        <v>2526.0199999999986</v>
      </c>
      <c r="D143" s="184">
        <v>0.91002061328520067</v>
      </c>
      <c r="E143" s="77">
        <f t="shared" si="12"/>
        <v>2.6758095919421132</v>
      </c>
      <c r="F143" s="154">
        <f t="shared" si="6"/>
        <v>6.6087624449762572</v>
      </c>
      <c r="G143" s="80">
        <f>$C$383/C143</f>
        <v>2.9562592536876129</v>
      </c>
    </row>
    <row r="144" spans="1:7" ht="16.5" hidden="1" thickBot="1" x14ac:dyDescent="0.3">
      <c r="A144" s="75">
        <v>2005</v>
      </c>
      <c r="B144" s="82" t="s">
        <v>17</v>
      </c>
      <c r="C144" s="77">
        <f t="shared" si="11"/>
        <v>2543.699999999998</v>
      </c>
      <c r="D144" s="184">
        <v>0.69991528174755402</v>
      </c>
      <c r="E144" s="77">
        <f t="shared" si="12"/>
        <v>3.3944532739341282</v>
      </c>
      <c r="F144" s="154">
        <f t="shared" si="6"/>
        <v>6.9271220853247994</v>
      </c>
      <c r="G144" s="80">
        <f>$C$383/C144</f>
        <v>2.9357117584620771</v>
      </c>
    </row>
    <row r="145" spans="1:7" ht="16.5" hidden="1" thickBot="1" x14ac:dyDescent="0.3">
      <c r="A145" s="75">
        <v>2005</v>
      </c>
      <c r="B145" s="82" t="s">
        <v>18</v>
      </c>
      <c r="C145" s="77">
        <f t="shared" si="11"/>
        <v>2540.8999999999983</v>
      </c>
      <c r="D145" s="184">
        <v>-0.11007587372723338</v>
      </c>
      <c r="E145" s="77">
        <f t="shared" si="12"/>
        <v>3.2806409261073366</v>
      </c>
      <c r="F145" s="154">
        <f t="shared" si="6"/>
        <v>6.2782332273715991</v>
      </c>
      <c r="G145" s="80">
        <f>$C$383/C145</f>
        <v>2.9389468298634283</v>
      </c>
    </row>
    <row r="146" spans="1:7" ht="16.5" hidden="1" thickBot="1" x14ac:dyDescent="0.3">
      <c r="A146" s="75">
        <v>2005</v>
      </c>
      <c r="B146" s="82" t="s">
        <v>19</v>
      </c>
      <c r="C146" s="77">
        <f t="shared" si="11"/>
        <v>2541.659999999998</v>
      </c>
      <c r="D146" s="184">
        <v>2.9910661576604269E-2</v>
      </c>
      <c r="E146" s="77">
        <f t="shared" si="12"/>
        <v>3.311532849088894</v>
      </c>
      <c r="F146" s="154">
        <f t="shared" si="6"/>
        <v>5.5397072563064365</v>
      </c>
      <c r="G146" s="80">
        <f>$C$383/C146</f>
        <v>2.9380680342768053</v>
      </c>
    </row>
    <row r="147" spans="1:7" ht="16.5" hidden="1" thickBot="1" x14ac:dyDescent="0.3">
      <c r="A147" s="75">
        <v>2005</v>
      </c>
      <c r="B147" s="82" t="s">
        <v>34</v>
      </c>
      <c r="C147" s="77">
        <f t="shared" si="11"/>
        <v>2541.659999999998</v>
      </c>
      <c r="D147" s="184">
        <v>0</v>
      </c>
      <c r="E147" s="77">
        <f t="shared" si="12"/>
        <v>3.311532849088894</v>
      </c>
      <c r="F147" s="154">
        <f t="shared" si="6"/>
        <v>5.0146883224737593</v>
      </c>
      <c r="G147" s="80">
        <f>$C$383/C147</f>
        <v>2.9380680342768053</v>
      </c>
    </row>
    <row r="148" spans="1:7" ht="16.5" hidden="1" thickBot="1" x14ac:dyDescent="0.3">
      <c r="A148" s="85">
        <v>2005</v>
      </c>
      <c r="B148" s="82" t="s">
        <v>36</v>
      </c>
      <c r="C148" s="77">
        <f t="shared" si="11"/>
        <v>2545.469999999998</v>
      </c>
      <c r="D148" s="184">
        <v>0.14990203252991385</v>
      </c>
      <c r="E148" s="77">
        <f>+((C148/$C$139)-1)*100</f>
        <v>3.4663989366674919</v>
      </c>
      <c r="F148" s="154">
        <f t="shared" ref="F148:F208" si="13">100*((C148/C136)-1)</f>
        <v>4.9938129021613431</v>
      </c>
      <c r="G148" s="80">
        <f>$C$383/C148</f>
        <v>2.9336704027154066</v>
      </c>
    </row>
    <row r="149" spans="1:7" ht="16.5" hidden="1" thickBot="1" x14ac:dyDescent="0.3">
      <c r="A149" s="85">
        <v>2005</v>
      </c>
      <c r="B149" s="82" t="s">
        <v>35</v>
      </c>
      <c r="C149" s="77">
        <f t="shared" si="11"/>
        <v>2560.2299999999982</v>
      </c>
      <c r="D149" s="184">
        <v>0.57985362231729454</v>
      </c>
      <c r="E149" s="77">
        <f>+((C149/$C$139)-1)*100</f>
        <v>4.0663525987830296</v>
      </c>
      <c r="F149" s="154">
        <f t="shared" si="13"/>
        <v>5.4234677910826479</v>
      </c>
      <c r="G149" s="80">
        <f>$C$383/C149</f>
        <v>2.9167574788202564</v>
      </c>
    </row>
    <row r="150" spans="1:7" ht="16.5" hidden="1" thickBot="1" x14ac:dyDescent="0.3">
      <c r="A150" s="85">
        <v>2005</v>
      </c>
      <c r="B150" s="82" t="s">
        <v>25</v>
      </c>
      <c r="C150" s="77">
        <f t="shared" si="11"/>
        <v>2574.0499999999984</v>
      </c>
      <c r="D150" s="184">
        <v>0.53979525277025875</v>
      </c>
      <c r="E150" s="77">
        <f>+((C150/$C$139)-1)*100</f>
        <v>4.6280978298424147</v>
      </c>
      <c r="F150" s="154">
        <f t="shared" si="13"/>
        <v>5.5280193177299264</v>
      </c>
      <c r="G150" s="80">
        <f>$C$383/C150</f>
        <v>2.9010974922786987</v>
      </c>
    </row>
    <row r="151" spans="1:7" ht="16.5" hidden="1" thickBot="1" x14ac:dyDescent="0.3">
      <c r="A151" s="85">
        <v>2005</v>
      </c>
      <c r="B151" s="82" t="s">
        <v>26</v>
      </c>
      <c r="C151" s="77">
        <f t="shared" si="11"/>
        <v>2584.3499999999981</v>
      </c>
      <c r="D151" s="184">
        <v>0.40014762727995645</v>
      </c>
      <c r="E151" s="77">
        <f>+((C151/$C$139)-1)*100</f>
        <v>5.0467646807766942</v>
      </c>
      <c r="F151" s="154">
        <f t="shared" si="13"/>
        <v>5.0467646807766942</v>
      </c>
      <c r="G151" s="80">
        <f>$C$383/C151</f>
        <v>2.8895350861918803</v>
      </c>
    </row>
    <row r="152" spans="1:7" ht="16.5" hidden="1" thickBot="1" x14ac:dyDescent="0.3">
      <c r="A152" s="85">
        <v>2006</v>
      </c>
      <c r="B152" s="82" t="s">
        <v>27</v>
      </c>
      <c r="C152" s="77">
        <f t="shared" si="11"/>
        <v>2594.1699999999983</v>
      </c>
      <c r="D152" s="184">
        <v>0.37997949194188418</v>
      </c>
      <c r="E152" s="77">
        <f t="shared" ref="E152:E160" si="14">+((C152/$C$151)-1)*100</f>
        <v>0.37997949194188418</v>
      </c>
      <c r="F152" s="154">
        <f t="shared" si="13"/>
        <v>4.8484162621604598</v>
      </c>
      <c r="G152" s="80">
        <f>$C$383/C152</f>
        <v>2.8785970079061838</v>
      </c>
    </row>
    <row r="153" spans="1:7" ht="16.5" hidden="1" thickBot="1" x14ac:dyDescent="0.3">
      <c r="A153" s="75">
        <v>2006</v>
      </c>
      <c r="B153" s="82" t="s">
        <v>28</v>
      </c>
      <c r="C153" s="77">
        <f t="shared" si="11"/>
        <v>2600.1399999999985</v>
      </c>
      <c r="D153" s="184">
        <v>0.23013141004637472</v>
      </c>
      <c r="E153" s="77">
        <f t="shared" si="14"/>
        <v>0.61098535415096134</v>
      </c>
      <c r="F153" s="154">
        <f t="shared" si="13"/>
        <v>4.6291899722345375</v>
      </c>
      <c r="G153" s="80">
        <f>$C$383/C153</f>
        <v>2.8719876622027982</v>
      </c>
    </row>
    <row r="154" spans="1:7" ht="16.5" hidden="1" thickBot="1" x14ac:dyDescent="0.3">
      <c r="A154" s="75">
        <v>2006</v>
      </c>
      <c r="B154" s="82" t="s">
        <v>29</v>
      </c>
      <c r="C154" s="77">
        <f t="shared" si="11"/>
        <v>2607.1599999999985</v>
      </c>
      <c r="D154" s="184">
        <v>0.26998546232126497</v>
      </c>
      <c r="E154" s="77">
        <f t="shared" si="14"/>
        <v>0.88262038810533738</v>
      </c>
      <c r="F154" s="154">
        <f t="shared" si="13"/>
        <v>4.1514197599910707</v>
      </c>
      <c r="G154" s="80">
        <f>$C$383/C154</f>
        <v>2.8642545912026818</v>
      </c>
    </row>
    <row r="155" spans="1:7" ht="16.5" hidden="1" thickBot="1" x14ac:dyDescent="0.3">
      <c r="A155" s="75">
        <v>2006</v>
      </c>
      <c r="B155" s="82" t="s">
        <v>30</v>
      </c>
      <c r="C155" s="77">
        <f t="shared" si="11"/>
        <v>2610.2899999999986</v>
      </c>
      <c r="D155" s="184">
        <v>0.12005400512435926</v>
      </c>
      <c r="E155" s="77">
        <f t="shared" si="14"/>
        <v>1.0037340143556506</v>
      </c>
      <c r="F155" s="154">
        <f t="shared" si="13"/>
        <v>3.336078099144113</v>
      </c>
      <c r="G155" s="80">
        <f>$C$383/C155</f>
        <v>2.8608200621386835</v>
      </c>
    </row>
    <row r="156" spans="1:7" ht="16.5" hidden="1" thickBot="1" x14ac:dyDescent="0.3">
      <c r="A156" s="75">
        <v>2006</v>
      </c>
      <c r="B156" s="82" t="s">
        <v>31</v>
      </c>
      <c r="C156" s="77">
        <f t="shared" si="11"/>
        <v>2613.6799999999985</v>
      </c>
      <c r="D156" s="184">
        <v>0.12987062740155153</v>
      </c>
      <c r="E156" s="77">
        <f t="shared" si="14"/>
        <v>1.1349081974191044</v>
      </c>
      <c r="F156" s="154">
        <f t="shared" si="13"/>
        <v>2.7511105869403085</v>
      </c>
      <c r="G156" s="80">
        <f>$C$383/C156</f>
        <v>2.857109516084595</v>
      </c>
    </row>
    <row r="157" spans="1:7" ht="16.5" hidden="1" thickBot="1" x14ac:dyDescent="0.3">
      <c r="A157" s="75">
        <v>2006</v>
      </c>
      <c r="B157" s="82" t="s">
        <v>32</v>
      </c>
      <c r="C157" s="77">
        <f t="shared" si="11"/>
        <v>2611.8499999999985</v>
      </c>
      <c r="D157" s="184">
        <v>-7.0016222337854206E-2</v>
      </c>
      <c r="E157" s="77">
        <f t="shared" si="14"/>
        <v>1.0640973552344057</v>
      </c>
      <c r="F157" s="154">
        <f t="shared" si="13"/>
        <v>2.7923176827108653</v>
      </c>
      <c r="G157" s="80">
        <f>$C$383/C157</f>
        <v>2.8591113578497938</v>
      </c>
    </row>
    <row r="158" spans="1:7" ht="16.5" hidden="1" thickBot="1" x14ac:dyDescent="0.3">
      <c r="A158" s="75">
        <v>2006</v>
      </c>
      <c r="B158" s="82" t="s">
        <v>33</v>
      </c>
      <c r="C158" s="77">
        <f t="shared" si="11"/>
        <v>2614.7199999999984</v>
      </c>
      <c r="D158" s="184">
        <v>0.10988379883989374</v>
      </c>
      <c r="E158" s="77">
        <f t="shared" si="14"/>
        <v>1.1751504246716005</v>
      </c>
      <c r="F158" s="154">
        <f t="shared" si="13"/>
        <v>2.8744993429491217</v>
      </c>
      <c r="G158" s="80">
        <f>$C$383/C158</f>
        <v>2.8559731061069575</v>
      </c>
    </row>
    <row r="159" spans="1:7" ht="16.5" hidden="1" thickBot="1" x14ac:dyDescent="0.3">
      <c r="A159" s="75">
        <v>2006</v>
      </c>
      <c r="B159" s="82" t="s">
        <v>34</v>
      </c>
      <c r="C159" s="77">
        <f t="shared" si="11"/>
        <v>2614.1999999999985</v>
      </c>
      <c r="D159" s="184">
        <v>-1.9887406682173037E-2</v>
      </c>
      <c r="E159" s="77">
        <f t="shared" si="14"/>
        <v>1.1550293110453413</v>
      </c>
      <c r="F159" s="154">
        <f t="shared" si="13"/>
        <v>2.8540402728925329</v>
      </c>
      <c r="G159" s="80">
        <f>$C$383/C159</f>
        <v>2.8565411980720619</v>
      </c>
    </row>
    <row r="160" spans="1:7" ht="16.5" hidden="1" thickBot="1" x14ac:dyDescent="0.3">
      <c r="A160" s="75">
        <v>2006</v>
      </c>
      <c r="B160" s="82" t="s">
        <v>36</v>
      </c>
      <c r="C160" s="77">
        <f t="shared" si="11"/>
        <v>2618.3799999999987</v>
      </c>
      <c r="D160" s="184">
        <v>0.15989595287277947</v>
      </c>
      <c r="E160" s="77">
        <f t="shared" si="14"/>
        <v>1.3167721090409756</v>
      </c>
      <c r="F160" s="154">
        <f t="shared" si="13"/>
        <v>2.8643040381540974</v>
      </c>
      <c r="G160" s="80">
        <f>$C$383/C160</f>
        <v>2.8519809958829443</v>
      </c>
    </row>
    <row r="161" spans="1:7" ht="16.5" hidden="1" thickBot="1" x14ac:dyDescent="0.3">
      <c r="A161" s="75">
        <v>2006</v>
      </c>
      <c r="B161" s="82" t="s">
        <v>35</v>
      </c>
      <c r="C161" s="77">
        <f t="shared" si="11"/>
        <v>2629.6399999999985</v>
      </c>
      <c r="D161" s="184">
        <v>0.43003689304073056</v>
      </c>
      <c r="E161" s="77">
        <f>+((C161/$C$151)-1)*100</f>
        <v>1.7524716079478475</v>
      </c>
      <c r="F161" s="154">
        <f t="shared" si="13"/>
        <v>2.711084550997378</v>
      </c>
      <c r="G161" s="80">
        <f>$C$383/C161</f>
        <v>2.8397689417562799</v>
      </c>
    </row>
    <row r="162" spans="1:7" ht="16.5" hidden="1" thickBot="1" x14ac:dyDescent="0.3">
      <c r="A162" s="86">
        <v>2006</v>
      </c>
      <c r="B162" s="82" t="s">
        <v>25</v>
      </c>
      <c r="C162" s="77">
        <f t="shared" si="11"/>
        <v>2640.6799999999985</v>
      </c>
      <c r="D162" s="184">
        <v>0.41982933025053182</v>
      </c>
      <c r="E162" s="77">
        <f>+((C162/$C$151)-1)*100</f>
        <v>2.1796583280128567</v>
      </c>
      <c r="F162" s="154">
        <f t="shared" si="13"/>
        <v>2.5885278063751738</v>
      </c>
      <c r="G162" s="80">
        <f>$C$383/C162</f>
        <v>2.8278966023902874</v>
      </c>
    </row>
    <row r="163" spans="1:7" ht="16.5" hidden="1" thickBot="1" x14ac:dyDescent="0.3">
      <c r="A163" s="86">
        <v>2006</v>
      </c>
      <c r="B163" s="82" t="s">
        <v>26</v>
      </c>
      <c r="C163" s="77">
        <f t="shared" si="11"/>
        <v>2657.0499999999984</v>
      </c>
      <c r="D163" s="184">
        <v>0.61991608222125016</v>
      </c>
      <c r="E163" s="77">
        <f>+((C163/$C$151)-1)*100</f>
        <v>2.8130864627469387</v>
      </c>
      <c r="F163" s="154">
        <f t="shared" si="13"/>
        <v>2.8130864627469387</v>
      </c>
      <c r="G163" s="80">
        <f>$C$383/C163</f>
        <v>2.8104740219416211</v>
      </c>
    </row>
    <row r="164" spans="1:7" ht="16.5" hidden="1" thickBot="1" x14ac:dyDescent="0.3">
      <c r="A164" s="75">
        <v>2007</v>
      </c>
      <c r="B164" s="82" t="s">
        <v>13</v>
      </c>
      <c r="C164" s="77">
        <f t="shared" si="11"/>
        <v>2670.0699999999983</v>
      </c>
      <c r="D164" s="184">
        <v>0.4900171242543383</v>
      </c>
      <c r="E164" s="77">
        <f t="shared" ref="E164:E175" si="15">+((C164/$C$163)-1)*100</f>
        <v>0.4900171242543383</v>
      </c>
      <c r="F164" s="154">
        <f t="shared" si="13"/>
        <v>2.9257912935543917</v>
      </c>
      <c r="G164" s="80">
        <f>$C$383/C164</f>
        <v>2.7967693730875909</v>
      </c>
    </row>
    <row r="165" spans="1:7" ht="16.5" hidden="1" thickBot="1" x14ac:dyDescent="0.3">
      <c r="A165" s="75">
        <v>2007</v>
      </c>
      <c r="B165" s="82" t="s">
        <v>14</v>
      </c>
      <c r="C165" s="77">
        <f t="shared" si="11"/>
        <v>2681.2799999999984</v>
      </c>
      <c r="D165" s="184">
        <v>0.41983918024621758</v>
      </c>
      <c r="E165" s="77">
        <f t="shared" si="15"/>
        <v>0.91191358837809933</v>
      </c>
      <c r="F165" s="154">
        <f t="shared" si="13"/>
        <v>3.1206011983970106</v>
      </c>
      <c r="G165" s="80">
        <f>$C$383/C165</f>
        <v>2.7850765306122391</v>
      </c>
    </row>
    <row r="166" spans="1:7" ht="16.5" hidden="1" thickBot="1" x14ac:dyDescent="0.3">
      <c r="A166" s="75">
        <v>2007</v>
      </c>
      <c r="B166" s="82" t="s">
        <v>29</v>
      </c>
      <c r="C166" s="77">
        <f t="shared" si="11"/>
        <v>2693.0799999999981</v>
      </c>
      <c r="D166" s="184">
        <v>0.44008831602815324</v>
      </c>
      <c r="E166" s="77">
        <f t="shared" si="15"/>
        <v>1.3560151295609613</v>
      </c>
      <c r="F166" s="154">
        <f t="shared" si="13"/>
        <v>3.2955399745316694</v>
      </c>
      <c r="G166" s="80">
        <f>$C$383/C166</f>
        <v>2.7728734385907527</v>
      </c>
    </row>
    <row r="167" spans="1:7" ht="16.5" hidden="1" thickBot="1" x14ac:dyDescent="0.3">
      <c r="A167" s="75">
        <v>2007</v>
      </c>
      <c r="B167" s="82" t="s">
        <v>30</v>
      </c>
      <c r="C167" s="77">
        <f t="shared" si="11"/>
        <v>2700.0799999999981</v>
      </c>
      <c r="D167" s="184">
        <v>0.25992543853134986</v>
      </c>
      <c r="E167" s="77">
        <f t="shared" si="15"/>
        <v>1.619465196364378</v>
      </c>
      <c r="F167" s="154">
        <f t="shared" si="13"/>
        <v>3.4398476797597111</v>
      </c>
      <c r="G167" s="80">
        <f>$C$383/C167</f>
        <v>2.7656847204527217</v>
      </c>
    </row>
    <row r="168" spans="1:7" ht="16.5" hidden="1" thickBot="1" x14ac:dyDescent="0.3">
      <c r="A168" s="75">
        <v>2007</v>
      </c>
      <c r="B168" s="82" t="s">
        <v>31</v>
      </c>
      <c r="C168" s="77">
        <f t="shared" si="11"/>
        <v>2707.0999999999976</v>
      </c>
      <c r="D168" s="184">
        <v>0.25999229652453604</v>
      </c>
      <c r="E168" s="77">
        <f t="shared" si="15"/>
        <v>1.8836679776443432</v>
      </c>
      <c r="F168" s="154">
        <f t="shared" si="13"/>
        <v>3.5742707600011858</v>
      </c>
      <c r="G168" s="80">
        <f>$C$383/C168</f>
        <v>2.7585127996749237</v>
      </c>
    </row>
    <row r="169" spans="1:7" ht="16.5" hidden="1" thickBot="1" x14ac:dyDescent="0.3">
      <c r="A169" s="75">
        <v>2007</v>
      </c>
      <c r="B169" s="82" t="s">
        <v>32</v>
      </c>
      <c r="C169" s="77">
        <f t="shared" si="11"/>
        <v>2715.4899999999975</v>
      </c>
      <c r="D169" s="184">
        <v>0.30992575080344142</v>
      </c>
      <c r="E169" s="77">
        <f t="shared" si="15"/>
        <v>2.1994317005701536</v>
      </c>
      <c r="F169" s="154">
        <f t="shared" si="13"/>
        <v>3.9680686103719109</v>
      </c>
      <c r="G169" s="80">
        <f>$C$383/C169</f>
        <v>2.7499898729142758</v>
      </c>
    </row>
    <row r="170" spans="1:7" ht="16.5" hidden="1" thickBot="1" x14ac:dyDescent="0.3">
      <c r="A170" s="75">
        <v>2007</v>
      </c>
      <c r="B170" s="82" t="s">
        <v>33</v>
      </c>
      <c r="C170" s="77">
        <f t="shared" si="11"/>
        <v>2724.1799999999976</v>
      </c>
      <c r="D170" s="184">
        <v>0.32001590873103058</v>
      </c>
      <c r="E170" s="77">
        <f t="shared" si="15"/>
        <v>2.5264861406446792</v>
      </c>
      <c r="F170" s="154">
        <f t="shared" si="13"/>
        <v>4.1862991065964694</v>
      </c>
      <c r="G170" s="80">
        <f>$C$383/C170</f>
        <v>2.7412175406911388</v>
      </c>
    </row>
    <row r="171" spans="1:7" ht="16.5" hidden="1" thickBot="1" x14ac:dyDescent="0.3">
      <c r="A171" s="75">
        <v>2007</v>
      </c>
      <c r="B171" s="82" t="s">
        <v>34</v>
      </c>
      <c r="C171" s="77">
        <f t="shared" si="11"/>
        <v>2740.2499999999977</v>
      </c>
      <c r="D171" s="184">
        <v>0.58990228252171484</v>
      </c>
      <c r="E171" s="77">
        <f t="shared" si="15"/>
        <v>3.1312922225776418</v>
      </c>
      <c r="F171" s="154">
        <f t="shared" si="13"/>
        <v>4.821742789381056</v>
      </c>
      <c r="G171" s="80">
        <f>$C$383/C171</f>
        <v>2.7251418666180043</v>
      </c>
    </row>
    <row r="172" spans="1:7" ht="16.5" hidden="1" thickBot="1" x14ac:dyDescent="0.3">
      <c r="A172" s="75">
        <v>2007</v>
      </c>
      <c r="B172" s="82" t="s">
        <v>36</v>
      </c>
      <c r="C172" s="77">
        <f t="shared" si="11"/>
        <v>2747.0999999999976</v>
      </c>
      <c r="D172" s="184">
        <v>0.2499771918620608</v>
      </c>
      <c r="E172" s="77">
        <f t="shared" si="15"/>
        <v>3.3890969308066898</v>
      </c>
      <c r="F172" s="154">
        <f t="shared" si="13"/>
        <v>4.9160167737302807</v>
      </c>
      <c r="G172" s="80">
        <f>$C$383/C172</f>
        <v>2.718346620072071</v>
      </c>
    </row>
    <row r="173" spans="1:7" ht="16.5" hidden="1" thickBot="1" x14ac:dyDescent="0.3">
      <c r="A173" s="75">
        <v>2007</v>
      </c>
      <c r="B173" s="82" t="s">
        <v>35</v>
      </c>
      <c r="C173" s="77">
        <f t="shared" si="11"/>
        <v>2755.3399999999979</v>
      </c>
      <c r="D173" s="184">
        <v>0.29995267736886433</v>
      </c>
      <c r="E173" s="77">
        <f t="shared" si="15"/>
        <v>3.6992152951581536</v>
      </c>
      <c r="F173" s="154">
        <f t="shared" si="13"/>
        <v>4.780121993885067</v>
      </c>
      <c r="G173" s="80">
        <f>$C$383/C173</f>
        <v>2.7102172508655866</v>
      </c>
    </row>
    <row r="174" spans="1:7" ht="16.5" hidden="1" thickBot="1" x14ac:dyDescent="0.3">
      <c r="A174" s="75">
        <v>2007</v>
      </c>
      <c r="B174" s="82" t="s">
        <v>25</v>
      </c>
      <c r="C174" s="77">
        <f t="shared" si="11"/>
        <v>2767.1899999999978</v>
      </c>
      <c r="D174" s="184">
        <v>0.43007396546341781</v>
      </c>
      <c r="E174" s="77">
        <f t="shared" si="15"/>
        <v>4.1451986225324866</v>
      </c>
      <c r="F174" s="154">
        <f t="shared" si="13"/>
        <v>4.7908114576548311</v>
      </c>
      <c r="G174" s="80">
        <f>$C$383/C174</f>
        <v>2.6986112265511171</v>
      </c>
    </row>
    <row r="175" spans="1:7" ht="16.5" hidden="1" thickBot="1" x14ac:dyDescent="0.3">
      <c r="A175" s="75">
        <v>2007</v>
      </c>
      <c r="B175" s="82" t="s">
        <v>26</v>
      </c>
      <c r="C175" s="77">
        <f t="shared" si="11"/>
        <v>2794.0299999999979</v>
      </c>
      <c r="D175" s="184">
        <v>0.96993701191461223</v>
      </c>
      <c r="E175" s="77">
        <f t="shared" si="15"/>
        <v>5.1553414501044337</v>
      </c>
      <c r="F175" s="154">
        <f t="shared" si="13"/>
        <v>5.1553414501044337</v>
      </c>
      <c r="G175" s="80">
        <f>$C$383/C175</f>
        <v>2.6726878379974393</v>
      </c>
    </row>
    <row r="176" spans="1:7" ht="16.5" hidden="1" thickBot="1" x14ac:dyDescent="0.3">
      <c r="A176" s="75">
        <v>2008</v>
      </c>
      <c r="B176" s="82" t="s">
        <v>27</v>
      </c>
      <c r="C176" s="77">
        <f t="shared" si="11"/>
        <v>2813.3099999999977</v>
      </c>
      <c r="D176" s="184">
        <v>0.69004269818147002</v>
      </c>
      <c r="E176" s="77">
        <f t="shared" ref="E176:E187" si="16">+((C176/$C$175)-1)*100</f>
        <v>0.69004269818147002</v>
      </c>
      <c r="F176" s="154">
        <f t="shared" si="13"/>
        <v>5.3646533611478198</v>
      </c>
      <c r="G176" s="80">
        <f>$C$383/C176</f>
        <v>2.6543715409961881</v>
      </c>
    </row>
    <row r="177" spans="1:7" ht="16.5" hidden="1" thickBot="1" x14ac:dyDescent="0.3">
      <c r="A177" s="75">
        <v>2008</v>
      </c>
      <c r="B177" s="82" t="s">
        <v>28</v>
      </c>
      <c r="C177" s="77">
        <f t="shared" si="11"/>
        <v>2826.8099999999977</v>
      </c>
      <c r="D177" s="184">
        <v>0.47986179980166188</v>
      </c>
      <c r="E177" s="77">
        <f t="shared" si="16"/>
        <v>1.1732157492940321</v>
      </c>
      <c r="F177" s="154">
        <f t="shared" si="13"/>
        <v>5.427631578947345</v>
      </c>
      <c r="G177" s="80">
        <f>$C$383/C177</f>
        <v>2.6416950555573195</v>
      </c>
    </row>
    <row r="178" spans="1:7" ht="16.5" hidden="1" thickBot="1" x14ac:dyDescent="0.3">
      <c r="A178" s="75">
        <v>2008</v>
      </c>
      <c r="B178" s="82" t="s">
        <v>29</v>
      </c>
      <c r="C178" s="77">
        <f t="shared" si="11"/>
        <v>2841.2299999999977</v>
      </c>
      <c r="D178" s="184">
        <v>0.51011564272094301</v>
      </c>
      <c r="E178" s="77">
        <f t="shared" si="16"/>
        <v>1.6893161490749931</v>
      </c>
      <c r="F178" s="154">
        <f t="shared" si="13"/>
        <v>5.5011362454884249</v>
      </c>
      <c r="G178" s="80">
        <f>$C$383/C178</f>
        <v>2.6282877486159113</v>
      </c>
    </row>
    <row r="179" spans="1:7" ht="16.5" hidden="1" thickBot="1" x14ac:dyDescent="0.3">
      <c r="A179" s="75">
        <v>2008</v>
      </c>
      <c r="B179" s="82" t="s">
        <v>30</v>
      </c>
      <c r="C179" s="77">
        <f t="shared" si="11"/>
        <v>2859.4099999999976</v>
      </c>
      <c r="D179" s="184">
        <v>0.63986372099407163</v>
      </c>
      <c r="E179" s="77">
        <f t="shared" si="16"/>
        <v>2.3399891912398774</v>
      </c>
      <c r="F179" s="154">
        <f t="shared" si="13"/>
        <v>5.9009362685549904</v>
      </c>
      <c r="G179" s="80">
        <f>$C$383/C179</f>
        <v>2.6115772134810977</v>
      </c>
    </row>
    <row r="180" spans="1:7" ht="16.5" hidden="1" thickBot="1" x14ac:dyDescent="0.3">
      <c r="A180" s="75">
        <v>2008</v>
      </c>
      <c r="B180" s="82" t="s">
        <v>31</v>
      </c>
      <c r="C180" s="77">
        <f t="shared" si="11"/>
        <v>2886.8599999999979</v>
      </c>
      <c r="D180" s="184">
        <v>0.95998824932417293</v>
      </c>
      <c r="E180" s="77">
        <f t="shared" si="16"/>
        <v>3.3224410618354128</v>
      </c>
      <c r="F180" s="154">
        <f t="shared" si="13"/>
        <v>6.6403162055336029</v>
      </c>
      <c r="G180" s="80">
        <f>$C$383/C180</f>
        <v>2.5867447676714441</v>
      </c>
    </row>
    <row r="181" spans="1:7" ht="16.5" hidden="1" thickBot="1" x14ac:dyDescent="0.3">
      <c r="A181" s="75">
        <v>2008</v>
      </c>
      <c r="B181" s="82" t="s">
        <v>32</v>
      </c>
      <c r="C181" s="77">
        <f t="shared" si="11"/>
        <v>2913.1299999999978</v>
      </c>
      <c r="D181" s="184">
        <v>0.90998524348253618</v>
      </c>
      <c r="E181" s="77">
        <f t="shared" si="16"/>
        <v>4.2626600287040572</v>
      </c>
      <c r="F181" s="154">
        <f t="shared" si="13"/>
        <v>7.2782444420712578</v>
      </c>
      <c r="G181" s="80">
        <f>$C$383/C181</f>
        <v>2.5634180417626351</v>
      </c>
    </row>
    <row r="182" spans="1:7" ht="16.5" hidden="1" thickBot="1" x14ac:dyDescent="0.3">
      <c r="A182" s="75">
        <v>2008</v>
      </c>
      <c r="B182" s="82" t="s">
        <v>33</v>
      </c>
      <c r="C182" s="77">
        <f t="shared" si="11"/>
        <v>2930.0299999999979</v>
      </c>
      <c r="D182" s="184">
        <v>0.5801320229444018</v>
      </c>
      <c r="E182" s="77">
        <f t="shared" si="16"/>
        <v>4.8675211075042135</v>
      </c>
      <c r="F182" s="154">
        <f t="shared" si="13"/>
        <v>7.5564022935342257</v>
      </c>
      <c r="G182" s="80">
        <f>$C$383/C182</f>
        <v>2.5486326078572521</v>
      </c>
    </row>
    <row r="183" spans="1:7" ht="16.5" hidden="1" thickBot="1" x14ac:dyDescent="0.3">
      <c r="A183" s="75">
        <v>2008</v>
      </c>
      <c r="B183" s="82" t="s">
        <v>34</v>
      </c>
      <c r="C183" s="77">
        <f t="shared" si="11"/>
        <v>2936.1799999999976</v>
      </c>
      <c r="D183" s="184">
        <v>0.20989546182119678</v>
      </c>
      <c r="E183" s="77">
        <f t="shared" si="16"/>
        <v>5.0876332752332498</v>
      </c>
      <c r="F183" s="154">
        <f t="shared" si="13"/>
        <v>7.1500775476690093</v>
      </c>
      <c r="G183" s="80">
        <f>$C$383/C183</f>
        <v>2.5432943484391237</v>
      </c>
    </row>
    <row r="184" spans="1:7" ht="16.5" hidden="1" thickBot="1" x14ac:dyDescent="0.3">
      <c r="A184" s="75">
        <v>2008</v>
      </c>
      <c r="B184" s="82" t="s">
        <v>36</v>
      </c>
      <c r="C184" s="77">
        <f t="shared" si="11"/>
        <v>2940.5799999999981</v>
      </c>
      <c r="D184" s="184">
        <v>0.14985457294853788</v>
      </c>
      <c r="E184" s="77">
        <f t="shared" si="16"/>
        <v>5.2451118992995927</v>
      </c>
      <c r="F184" s="154">
        <f t="shared" si="13"/>
        <v>7.0430635943358633</v>
      </c>
      <c r="G184" s="80">
        <f>$C$383/C184</f>
        <v>2.539488808330324</v>
      </c>
    </row>
    <row r="185" spans="1:7" ht="16.5" hidden="1" thickBot="1" x14ac:dyDescent="0.3">
      <c r="A185" s="75">
        <v>2008</v>
      </c>
      <c r="B185" s="82" t="s">
        <v>35</v>
      </c>
      <c r="C185" s="77">
        <f t="shared" si="11"/>
        <v>2955.2799999999984</v>
      </c>
      <c r="D185" s="184">
        <v>0.4999013799998675</v>
      </c>
      <c r="E185" s="77">
        <f t="shared" si="16"/>
        <v>5.7712336660665997</v>
      </c>
      <c r="F185" s="154">
        <f t="shared" si="13"/>
        <v>7.256454738798146</v>
      </c>
      <c r="G185" s="80">
        <f>$C$383/C185</f>
        <v>2.526857015240513</v>
      </c>
    </row>
    <row r="186" spans="1:7" ht="16.5" hidden="1" thickBot="1" x14ac:dyDescent="0.3">
      <c r="A186" s="75">
        <v>2008</v>
      </c>
      <c r="B186" s="82" t="s">
        <v>25</v>
      </c>
      <c r="C186" s="77">
        <f t="shared" si="11"/>
        <v>2966.5099999999984</v>
      </c>
      <c r="D186" s="184">
        <v>0.37999783438456003</v>
      </c>
      <c r="E186" s="77">
        <f t="shared" si="16"/>
        <v>6.1731620633994844</v>
      </c>
      <c r="F186" s="154">
        <f t="shared" si="13"/>
        <v>7.2029748589724774</v>
      </c>
      <c r="G186" s="80">
        <f>$C$383/C186</f>
        <v>2.517291362577569</v>
      </c>
    </row>
    <row r="187" spans="1:7" ht="16.5" hidden="1" thickBot="1" x14ac:dyDescent="0.3">
      <c r="A187" s="75">
        <v>2008</v>
      </c>
      <c r="B187" s="82" t="s">
        <v>26</v>
      </c>
      <c r="C187" s="77">
        <f t="shared" si="11"/>
        <v>2975.1099999999983</v>
      </c>
      <c r="D187" s="184">
        <v>0.28990294993105348</v>
      </c>
      <c r="E187" s="77">
        <f t="shared" si="16"/>
        <v>6.4809611922563626</v>
      </c>
      <c r="F187" s="154">
        <f t="shared" si="13"/>
        <v>6.4809611922563626</v>
      </c>
      <c r="G187" s="80">
        <f>$C$383/C187</f>
        <v>2.5100147557569246</v>
      </c>
    </row>
    <row r="188" spans="1:7" ht="16.5" hidden="1" thickBot="1" x14ac:dyDescent="0.3">
      <c r="A188" s="75">
        <v>2009</v>
      </c>
      <c r="B188" s="82" t="s">
        <v>27</v>
      </c>
      <c r="C188" s="77">
        <f t="shared" si="11"/>
        <v>2994.1499999999983</v>
      </c>
      <c r="D188" s="184">
        <v>0.63997633700938472</v>
      </c>
      <c r="E188" s="77">
        <f t="shared" ref="E188:E199" si="17">+((C188/$C$187)-1)*100</f>
        <v>0.63997633700938472</v>
      </c>
      <c r="F188" s="154">
        <f t="shared" si="13"/>
        <v>6.4280153982320121</v>
      </c>
      <c r="G188" s="80">
        <f>$C$383/C188</f>
        <v>2.494053404138064</v>
      </c>
    </row>
    <row r="189" spans="1:7" ht="16.5" hidden="1" thickBot="1" x14ac:dyDescent="0.3">
      <c r="A189" s="75">
        <v>2009</v>
      </c>
      <c r="B189" s="82" t="s">
        <v>28</v>
      </c>
      <c r="C189" s="77">
        <f t="shared" si="11"/>
        <v>3003.4299999999976</v>
      </c>
      <c r="D189" s="184">
        <v>0.30993771187146635</v>
      </c>
      <c r="E189" s="77">
        <f t="shared" si="17"/>
        <v>0.95189757689628784</v>
      </c>
      <c r="F189" s="154">
        <f t="shared" si="13"/>
        <v>6.2480322342145289</v>
      </c>
      <c r="G189" s="80">
        <f>$C$383/C189</f>
        <v>2.4863472762807808</v>
      </c>
    </row>
    <row r="190" spans="1:7" ht="16.5" hidden="1" thickBot="1" x14ac:dyDescent="0.3">
      <c r="A190" s="75">
        <v>2009</v>
      </c>
      <c r="B190" s="82" t="s">
        <v>29</v>
      </c>
      <c r="C190" s="77">
        <f t="shared" si="11"/>
        <v>3009.4399999999982</v>
      </c>
      <c r="D190" s="184">
        <v>0.20010454713446091</v>
      </c>
      <c r="E190" s="77">
        <f t="shared" si="17"/>
        <v>1.1539069143661873</v>
      </c>
      <c r="F190" s="154">
        <f t="shared" si="13"/>
        <v>5.9203232402867956</v>
      </c>
      <c r="G190" s="80">
        <f>$C$383/C190</f>
        <v>2.4813819182306291</v>
      </c>
    </row>
    <row r="191" spans="1:7" ht="16.5" hidden="1" thickBot="1" x14ac:dyDescent="0.3">
      <c r="A191" s="75">
        <v>2009</v>
      </c>
      <c r="B191" s="82" t="s">
        <v>30</v>
      </c>
      <c r="C191" s="77">
        <f t="shared" si="11"/>
        <v>3025.9899999999975</v>
      </c>
      <c r="D191" s="184">
        <v>0.54993620075494132</v>
      </c>
      <c r="E191" s="77">
        <f t="shared" si="17"/>
        <v>1.7101888669662335</v>
      </c>
      <c r="F191" s="154">
        <f t="shared" si="13"/>
        <v>5.8256773250425775</v>
      </c>
      <c r="G191" s="80">
        <f>$C$383/C191</f>
        <v>2.4678105347340824</v>
      </c>
    </row>
    <row r="192" spans="1:7" ht="16.5" hidden="1" thickBot="1" x14ac:dyDescent="0.3">
      <c r="A192" s="75">
        <v>2009</v>
      </c>
      <c r="B192" s="82" t="s">
        <v>31</v>
      </c>
      <c r="C192" s="77">
        <f t="shared" si="11"/>
        <v>3044.1499999999974</v>
      </c>
      <c r="D192" s="184">
        <v>0.60013417096553834</v>
      </c>
      <c r="E192" s="77">
        <f t="shared" si="17"/>
        <v>2.3205864657104724</v>
      </c>
      <c r="F192" s="154">
        <f t="shared" si="13"/>
        <v>5.4484803558191075</v>
      </c>
      <c r="G192" s="80">
        <f>$C$383/C192</f>
        <v>2.4530887111344666</v>
      </c>
    </row>
    <row r="193" spans="1:7" ht="16.5" hidden="1" thickBot="1" x14ac:dyDescent="0.3">
      <c r="A193" s="75">
        <v>2009</v>
      </c>
      <c r="B193" s="82" t="s">
        <v>32</v>
      </c>
      <c r="C193" s="77">
        <f t="shared" si="11"/>
        <v>3056.9299999999967</v>
      </c>
      <c r="D193" s="184">
        <v>0.41982162508416021</v>
      </c>
      <c r="E193" s="77">
        <f t="shared" si="17"/>
        <v>2.750150414606467</v>
      </c>
      <c r="F193" s="154">
        <f t="shared" si="13"/>
        <v>4.9362712958226584</v>
      </c>
      <c r="G193" s="80">
        <f>$C$383/C193</f>
        <v>2.44283316922533</v>
      </c>
    </row>
    <row r="194" spans="1:7" ht="16.5" hidden="1" thickBot="1" x14ac:dyDescent="0.3">
      <c r="A194" s="75">
        <v>2009</v>
      </c>
      <c r="B194" s="82" t="s">
        <v>33</v>
      </c>
      <c r="C194" s="77">
        <f t="shared" si="11"/>
        <v>3063.9599999999969</v>
      </c>
      <c r="D194" s="184">
        <v>0.22996928290801577</v>
      </c>
      <c r="E194" s="77">
        <f t="shared" si="17"/>
        <v>2.9864441987018431</v>
      </c>
      <c r="F194" s="154">
        <f t="shared" si="13"/>
        <v>4.5709429596283657</v>
      </c>
      <c r="G194" s="80">
        <f>$C$383/C194</f>
        <v>2.4372282927975522</v>
      </c>
    </row>
    <row r="195" spans="1:7" ht="16.5" hidden="1" thickBot="1" x14ac:dyDescent="0.3">
      <c r="A195" s="75">
        <v>2009</v>
      </c>
      <c r="B195" s="82" t="s">
        <v>34</v>
      </c>
      <c r="C195" s="77">
        <f t="shared" si="11"/>
        <v>3066.4099999999967</v>
      </c>
      <c r="D195" s="184">
        <v>7.9961879397894009E-2</v>
      </c>
      <c r="E195" s="77">
        <f t="shared" si="17"/>
        <v>3.0687940950081982</v>
      </c>
      <c r="F195" s="154">
        <f t="shared" si="13"/>
        <v>4.4353547807014282</v>
      </c>
      <c r="G195" s="80">
        <f>$C$383/C195</f>
        <v>2.4352809963442552</v>
      </c>
    </row>
    <row r="196" spans="1:7" ht="16.5" hidden="1" thickBot="1" x14ac:dyDescent="0.3">
      <c r="A196" s="75">
        <v>2009</v>
      </c>
      <c r="B196" s="82" t="s">
        <v>36</v>
      </c>
      <c r="C196" s="77">
        <f t="shared" si="11"/>
        <v>3071.319999999997</v>
      </c>
      <c r="D196" s="184">
        <v>0.16012209717553016</v>
      </c>
      <c r="E196" s="77">
        <f t="shared" si="17"/>
        <v>3.2338300096466543</v>
      </c>
      <c r="F196" s="154">
        <f t="shared" si="13"/>
        <v>4.4460616613048787</v>
      </c>
      <c r="G196" s="80">
        <f>$C$383/C196</f>
        <v>2.4313878071969013</v>
      </c>
    </row>
    <row r="197" spans="1:7" ht="16.5" hidden="1" thickBot="1" x14ac:dyDescent="0.3">
      <c r="A197" s="75">
        <v>2009</v>
      </c>
      <c r="B197" s="82" t="s">
        <v>22</v>
      </c>
      <c r="C197" s="77">
        <f t="shared" si="11"/>
        <v>3078.6899999999969</v>
      </c>
      <c r="D197" s="184">
        <v>0.2399619707487366</v>
      </c>
      <c r="E197" s="77">
        <f t="shared" si="17"/>
        <v>3.4815519426172115</v>
      </c>
      <c r="F197" s="154">
        <f t="shared" si="13"/>
        <v>4.1759156492785277</v>
      </c>
      <c r="G197" s="80">
        <f>$C$383/C197</f>
        <v>2.4255673679389571</v>
      </c>
    </row>
    <row r="198" spans="1:7" ht="16.5" hidden="1" thickBot="1" x14ac:dyDescent="0.3">
      <c r="A198" s="75">
        <v>2009</v>
      </c>
      <c r="B198" s="82" t="s">
        <v>25</v>
      </c>
      <c r="C198" s="77">
        <f t="shared" si="11"/>
        <v>3090.0799999999967</v>
      </c>
      <c r="D198" s="184">
        <v>0.36996254900623082</v>
      </c>
      <c r="E198" s="77">
        <f t="shared" si="17"/>
        <v>3.8643949299353109</v>
      </c>
      <c r="F198" s="154">
        <f t="shared" si="13"/>
        <v>4.1655008747652378</v>
      </c>
      <c r="G198" s="80">
        <f>$C$383/C198</f>
        <v>2.4166267539998922</v>
      </c>
    </row>
    <row r="199" spans="1:7" ht="16.5" hidden="1" thickBot="1" x14ac:dyDescent="0.3">
      <c r="A199" s="75">
        <v>2009</v>
      </c>
      <c r="B199" s="82" t="s">
        <v>26</v>
      </c>
      <c r="C199" s="77">
        <f t="shared" si="11"/>
        <v>3097.4999999999973</v>
      </c>
      <c r="D199" s="184">
        <v>0.24012323305546701</v>
      </c>
      <c r="E199" s="77">
        <f t="shared" si="17"/>
        <v>4.113797473034575</v>
      </c>
      <c r="F199" s="154">
        <f t="shared" si="13"/>
        <v>4.113797473034575</v>
      </c>
      <c r="G199" s="80">
        <f>$C$383/C199</f>
        <v>2.4108377723970902</v>
      </c>
    </row>
    <row r="200" spans="1:7" ht="16.5" hidden="1" thickBot="1" x14ac:dyDescent="0.3">
      <c r="A200" s="75">
        <v>2010</v>
      </c>
      <c r="B200" s="82" t="s">
        <v>27</v>
      </c>
      <c r="C200" s="77">
        <f t="shared" ref="C200:C263" si="18">+C199*(1+D200/100)</f>
        <v>3124.7599999999979</v>
      </c>
      <c r="D200" s="184">
        <v>0.88006456820017842</v>
      </c>
      <c r="E200" s="77">
        <f t="shared" ref="E200:E211" si="19">+((C200/$C$199)-1)*100</f>
        <v>0.88006456820017842</v>
      </c>
      <c r="F200" s="154">
        <f t="shared" si="13"/>
        <v>4.3621729038291202</v>
      </c>
      <c r="G200" s="80">
        <f>$C$383/C200</f>
        <v>2.3898059370959639</v>
      </c>
    </row>
    <row r="201" spans="1:7" ht="16.5" hidden="1" thickBot="1" x14ac:dyDescent="0.3">
      <c r="A201" s="75">
        <v>2010</v>
      </c>
      <c r="B201" s="82" t="s">
        <v>14</v>
      </c>
      <c r="C201" s="77">
        <f t="shared" si="18"/>
        <v>3146.6299999999978</v>
      </c>
      <c r="D201" s="184">
        <v>0.69989375184014158</v>
      </c>
      <c r="E201" s="77">
        <f t="shared" si="19"/>
        <v>1.5861178369653173</v>
      </c>
      <c r="F201" s="154">
        <f t="shared" si="13"/>
        <v>4.7678820548506362</v>
      </c>
      <c r="G201" s="80">
        <f>$C$383/C201</f>
        <v>2.3731960859713359</v>
      </c>
    </row>
    <row r="202" spans="1:7" ht="16.5" hidden="1" thickBot="1" x14ac:dyDescent="0.3">
      <c r="A202" s="75">
        <v>2010</v>
      </c>
      <c r="B202" s="82" t="s">
        <v>15</v>
      </c>
      <c r="C202" s="77">
        <f t="shared" si="18"/>
        <v>3168.9699999999975</v>
      </c>
      <c r="D202" s="184">
        <v>0.70996590002636584</v>
      </c>
      <c r="E202" s="77">
        <f t="shared" si="19"/>
        <v>2.3073446327683822</v>
      </c>
      <c r="F202" s="154">
        <f t="shared" si="13"/>
        <v>5.3009862299962629</v>
      </c>
      <c r="G202" s="80">
        <f>$C$383/C202</f>
        <v>2.3564659810600874</v>
      </c>
    </row>
    <row r="203" spans="1:7" ht="16.5" hidden="1" thickBot="1" x14ac:dyDescent="0.3">
      <c r="A203" s="75">
        <v>2010</v>
      </c>
      <c r="B203" s="82" t="s">
        <v>16</v>
      </c>
      <c r="C203" s="77">
        <f t="shared" si="18"/>
        <v>3192.0999999999976</v>
      </c>
      <c r="D203" s="184">
        <v>0.72989015358302378</v>
      </c>
      <c r="E203" s="77">
        <f t="shared" si="19"/>
        <v>3.0540758676351976</v>
      </c>
      <c r="F203" s="154">
        <f t="shared" si="13"/>
        <v>5.4894431243989628</v>
      </c>
      <c r="G203" s="80">
        <f>$C$383/C203</f>
        <v>2.3393909965226607</v>
      </c>
    </row>
    <row r="204" spans="1:7" ht="16.5" hidden="1" thickBot="1" x14ac:dyDescent="0.3">
      <c r="A204" s="75">
        <v>2010</v>
      </c>
      <c r="B204" s="82" t="s">
        <v>17</v>
      </c>
      <c r="C204" s="77">
        <f t="shared" si="18"/>
        <v>3205.8299999999972</v>
      </c>
      <c r="D204" s="184">
        <v>0.43012436953728805</v>
      </c>
      <c r="E204" s="77">
        <f t="shared" si="19"/>
        <v>3.4973365617433361</v>
      </c>
      <c r="F204" s="154">
        <f t="shared" si="13"/>
        <v>5.31117060591626</v>
      </c>
      <c r="G204" s="80">
        <f>$C$383/C204</f>
        <v>2.3293718007505033</v>
      </c>
    </row>
    <row r="205" spans="1:7" ht="16.5" hidden="1" thickBot="1" x14ac:dyDescent="0.3">
      <c r="A205" s="75">
        <v>2010</v>
      </c>
      <c r="B205" s="82" t="s">
        <v>18</v>
      </c>
      <c r="C205" s="77">
        <f t="shared" si="18"/>
        <v>3202.2999999999975</v>
      </c>
      <c r="D205" s="184">
        <v>-0.11011188990057708</v>
      </c>
      <c r="E205" s="77">
        <f t="shared" si="19"/>
        <v>3.3833736884584464</v>
      </c>
      <c r="F205" s="154">
        <f t="shared" si="13"/>
        <v>4.7554245599343403</v>
      </c>
      <c r="G205" s="80">
        <f>$C$383/C205</f>
        <v>2.3319395434531387</v>
      </c>
    </row>
    <row r="206" spans="1:7" ht="16.5" hidden="1" thickBot="1" x14ac:dyDescent="0.3">
      <c r="A206" s="75">
        <v>2010</v>
      </c>
      <c r="B206" s="82" t="s">
        <v>19</v>
      </c>
      <c r="C206" s="77">
        <f t="shared" si="18"/>
        <v>3200.0599999999972</v>
      </c>
      <c r="D206" s="184">
        <v>-6.994972363614238E-2</v>
      </c>
      <c r="E206" s="77">
        <f t="shared" si="19"/>
        <v>3.3110573042776537</v>
      </c>
      <c r="F206" s="154">
        <f t="shared" si="13"/>
        <v>4.4419639943080291</v>
      </c>
      <c r="G206" s="80">
        <f>$C$383/C206</f>
        <v>2.3335718705274231</v>
      </c>
    </row>
    <row r="207" spans="1:7" ht="16.5" hidden="1" thickBot="1" x14ac:dyDescent="0.3">
      <c r="A207" s="75">
        <v>2010</v>
      </c>
      <c r="B207" s="82" t="s">
        <v>20</v>
      </c>
      <c r="C207" s="77">
        <f t="shared" si="18"/>
        <v>3197.8199999999974</v>
      </c>
      <c r="D207" s="184">
        <v>-6.9998687524597258E-2</v>
      </c>
      <c r="E207" s="77">
        <f t="shared" si="19"/>
        <v>3.2387409200968609</v>
      </c>
      <c r="F207" s="154">
        <f t="shared" si="13"/>
        <v>4.2854673706386626</v>
      </c>
      <c r="G207" s="80">
        <f>$C$383/C207</f>
        <v>2.3352064844175051</v>
      </c>
    </row>
    <row r="208" spans="1:7" ht="16.5" hidden="1" thickBot="1" x14ac:dyDescent="0.3">
      <c r="A208" s="75">
        <v>2010</v>
      </c>
      <c r="B208" s="82" t="s">
        <v>21</v>
      </c>
      <c r="C208" s="77">
        <f t="shared" si="18"/>
        <v>3215.0899999999974</v>
      </c>
      <c r="D208" s="184">
        <v>0.54005541274992908</v>
      </c>
      <c r="E208" s="77">
        <f t="shared" si="19"/>
        <v>3.7962873284907328</v>
      </c>
      <c r="F208" s="154">
        <f t="shared" si="13"/>
        <v>4.6810491905760587</v>
      </c>
      <c r="G208" s="80">
        <f>$C$383/C208</f>
        <v>2.3226628181481654</v>
      </c>
    </row>
    <row r="209" spans="1:7" ht="16.5" hidden="1" thickBot="1" x14ac:dyDescent="0.3">
      <c r="A209" s="75">
        <v>2010</v>
      </c>
      <c r="B209" s="82" t="s">
        <v>22</v>
      </c>
      <c r="C209" s="77">
        <f t="shared" si="18"/>
        <v>3244.6699999999969</v>
      </c>
      <c r="D209" s="184">
        <v>0.92003645310083648</v>
      </c>
      <c r="E209" s="77">
        <f t="shared" si="19"/>
        <v>4.7512510088781212</v>
      </c>
      <c r="F209" s="154">
        <f>100*((C209/C197)-1)</f>
        <v>5.3912540723489499</v>
      </c>
      <c r="G209" s="80">
        <f>$C$383/C209</f>
        <v>2.3014882869444309</v>
      </c>
    </row>
    <row r="210" spans="1:7" ht="16.5" hidden="1" thickBot="1" x14ac:dyDescent="0.3">
      <c r="A210" s="75">
        <v>2010</v>
      </c>
      <c r="B210" s="82" t="s">
        <v>23</v>
      </c>
      <c r="C210" s="77">
        <f t="shared" si="18"/>
        <v>3278.089999999997</v>
      </c>
      <c r="D210" s="184">
        <v>1.029996887202711</v>
      </c>
      <c r="E210" s="77">
        <f t="shared" si="19"/>
        <v>5.8301856335754687</v>
      </c>
      <c r="F210" s="154">
        <f>100*((C210/C198)-1)</f>
        <v>6.0843084968674077</v>
      </c>
      <c r="G210" s="80">
        <f>$C$383/C210</f>
        <v>2.2780247034096033</v>
      </c>
    </row>
    <row r="211" spans="1:7" ht="16.5" hidden="1" thickBot="1" x14ac:dyDescent="0.3">
      <c r="A211" s="75">
        <v>2010</v>
      </c>
      <c r="B211" s="82" t="s">
        <v>12</v>
      </c>
      <c r="C211" s="77">
        <f t="shared" si="18"/>
        <v>3297.7599999999966</v>
      </c>
      <c r="D211" s="184">
        <v>0.60004453813042868</v>
      </c>
      <c r="E211" s="77">
        <f t="shared" si="19"/>
        <v>6.4652138821630123</v>
      </c>
      <c r="F211" s="154">
        <f>100*((C211/C199)-1)</f>
        <v>6.4652138821630123</v>
      </c>
      <c r="G211" s="80">
        <f>$C$383/C211</f>
        <v>2.2644370724370444</v>
      </c>
    </row>
    <row r="212" spans="1:7" x14ac:dyDescent="0.25">
      <c r="A212" s="87">
        <v>2011</v>
      </c>
      <c r="B212" s="88" t="s">
        <v>13</v>
      </c>
      <c r="C212" s="89">
        <f t="shared" si="18"/>
        <v>3328.7599999999961</v>
      </c>
      <c r="D212" s="90">
        <v>0.94003202173595923</v>
      </c>
      <c r="E212" s="89">
        <f>+((C212/$C$211)-1)*100</f>
        <v>0.94003202173595923</v>
      </c>
      <c r="F212" s="157">
        <f>100*((C212/C200)-1)</f>
        <v>6.5285013889066157</v>
      </c>
      <c r="G212" s="92">
        <f>$C$383/C212</f>
        <v>2.2433488746560246</v>
      </c>
    </row>
    <row r="213" spans="1:7" x14ac:dyDescent="0.25">
      <c r="A213" s="93">
        <v>2011</v>
      </c>
      <c r="B213" s="94" t="s">
        <v>14</v>
      </c>
      <c r="C213" s="95">
        <f t="shared" si="18"/>
        <v>3346.7399999999952</v>
      </c>
      <c r="D213" s="96">
        <v>0.54014107355289109</v>
      </c>
      <c r="E213" s="95">
        <f t="shared" ref="E213:E223" si="20">+((C213/$C$211)-1)*100</f>
        <v>1.4852505943427907</v>
      </c>
      <c r="F213" s="159">
        <f t="shared" ref="F213:F224" si="21">100*((C213/C201)-1)</f>
        <v>6.3595020704689587</v>
      </c>
      <c r="G213" s="98">
        <f>$C$383/C213</f>
        <v>2.2312967245737614</v>
      </c>
    </row>
    <row r="214" spans="1:7" x14ac:dyDescent="0.25">
      <c r="A214" s="93">
        <v>2011</v>
      </c>
      <c r="B214" s="94" t="s">
        <v>15</v>
      </c>
      <c r="C214" s="95">
        <f t="shared" si="18"/>
        <v>3368.8299999999954</v>
      </c>
      <c r="D214" s="96">
        <v>0.66004529781220622</v>
      </c>
      <c r="E214" s="95">
        <f t="shared" si="20"/>
        <v>2.1550992188636764</v>
      </c>
      <c r="F214" s="159">
        <f t="shared" si="21"/>
        <v>6.3067810676654457</v>
      </c>
      <c r="G214" s="98">
        <f>$C$383/C214</f>
        <v>2.2166657266766179</v>
      </c>
    </row>
    <row r="215" spans="1:7" x14ac:dyDescent="0.25">
      <c r="A215" s="93">
        <v>2011</v>
      </c>
      <c r="B215" s="94" t="s">
        <v>16</v>
      </c>
      <c r="C215" s="95">
        <f t="shared" si="18"/>
        <v>3393.0899999999956</v>
      </c>
      <c r="D215" s="96">
        <v>0.72013132155674953</v>
      </c>
      <c r="E215" s="95">
        <f t="shared" si="20"/>
        <v>2.8907500849060908</v>
      </c>
      <c r="F215" s="159">
        <f t="shared" si="21"/>
        <v>6.2964819397888006</v>
      </c>
      <c r="G215" s="98">
        <f t="shared" ref="G215:G278" si="22">$C$383/C215</f>
        <v>2.2008169544574385</v>
      </c>
    </row>
    <row r="216" spans="1:7" x14ac:dyDescent="0.25">
      <c r="A216" s="93">
        <v>2011</v>
      </c>
      <c r="B216" s="94" t="s">
        <v>17</v>
      </c>
      <c r="C216" s="95">
        <f t="shared" si="18"/>
        <v>3412.4299999999953</v>
      </c>
      <c r="D216" s="96">
        <v>0.56998193387147733</v>
      </c>
      <c r="E216" s="95">
        <f t="shared" si="20"/>
        <v>3.477208772014917</v>
      </c>
      <c r="F216" s="159">
        <f t="shared" si="21"/>
        <v>6.4445089103289499</v>
      </c>
      <c r="G216" s="98">
        <f t="shared" si="22"/>
        <v>2.1883437902022869</v>
      </c>
    </row>
    <row r="217" spans="1:7" x14ac:dyDescent="0.25">
      <c r="A217" s="93">
        <v>2011</v>
      </c>
      <c r="B217" s="94" t="s">
        <v>18</v>
      </c>
      <c r="C217" s="95">
        <f t="shared" si="18"/>
        <v>3419.9399999999955</v>
      </c>
      <c r="D217" s="96">
        <v>0.220077774489158</v>
      </c>
      <c r="E217" s="95">
        <f t="shared" si="20"/>
        <v>3.704939110183858</v>
      </c>
      <c r="F217" s="159">
        <f t="shared" si="21"/>
        <v>6.7963651125752866</v>
      </c>
      <c r="G217" s="98">
        <f t="shared" si="22"/>
        <v>2.1835383076896053</v>
      </c>
    </row>
    <row r="218" spans="1:7" x14ac:dyDescent="0.25">
      <c r="A218" s="93">
        <v>2011</v>
      </c>
      <c r="B218" s="94" t="s">
        <v>19</v>
      </c>
      <c r="C218" s="95">
        <f t="shared" si="18"/>
        <v>3419.9399999999955</v>
      </c>
      <c r="D218" s="96">
        <v>0</v>
      </c>
      <c r="E218" s="95">
        <f t="shared" si="20"/>
        <v>3.704939110183858</v>
      </c>
      <c r="F218" s="159">
        <f t="shared" si="21"/>
        <v>6.871121166478078</v>
      </c>
      <c r="G218" s="98">
        <f t="shared" si="22"/>
        <v>2.1835383076896053</v>
      </c>
    </row>
    <row r="219" spans="1:7" x14ac:dyDescent="0.25">
      <c r="A219" s="93">
        <v>2011</v>
      </c>
      <c r="B219" s="94" t="s">
        <v>20</v>
      </c>
      <c r="C219" s="95">
        <f t="shared" si="18"/>
        <v>3434.2999999999952</v>
      </c>
      <c r="D219" s="96">
        <v>0.4198904074340426</v>
      </c>
      <c r="E219" s="95">
        <f t="shared" si="20"/>
        <v>4.1403862015428228</v>
      </c>
      <c r="F219" s="159">
        <f t="shared" si="21"/>
        <v>7.3950378695485597</v>
      </c>
      <c r="G219" s="98">
        <f t="shared" si="22"/>
        <v>2.174408176338698</v>
      </c>
    </row>
    <row r="220" spans="1:7" x14ac:dyDescent="0.25">
      <c r="A220" s="93">
        <v>2011</v>
      </c>
      <c r="B220" s="94" t="s">
        <v>21</v>
      </c>
      <c r="C220" s="95">
        <f t="shared" si="18"/>
        <v>3449.7599999999957</v>
      </c>
      <c r="D220" s="96">
        <v>0.45016451678654423</v>
      </c>
      <c r="E220" s="95">
        <f t="shared" si="20"/>
        <v>4.6091892678666424</v>
      </c>
      <c r="F220" s="159">
        <f t="shared" si="21"/>
        <v>7.2990180679233907</v>
      </c>
      <c r="G220" s="98">
        <f t="shared" si="22"/>
        <v>2.1646636287741723</v>
      </c>
    </row>
    <row r="221" spans="1:7" x14ac:dyDescent="0.25">
      <c r="A221" s="93">
        <v>2011</v>
      </c>
      <c r="B221" s="94" t="s">
        <v>22</v>
      </c>
      <c r="C221" s="95">
        <f t="shared" si="18"/>
        <v>3460.7999999999956</v>
      </c>
      <c r="D221" s="96">
        <v>0.32002226241825138</v>
      </c>
      <c r="E221" s="95">
        <f t="shared" si="20"/>
        <v>4.9439619620590625</v>
      </c>
      <c r="F221" s="159">
        <f t="shared" si="21"/>
        <v>6.6610780140969439</v>
      </c>
      <c r="G221" s="98">
        <f t="shared" si="22"/>
        <v>2.1577583217753089</v>
      </c>
    </row>
    <row r="222" spans="1:7" x14ac:dyDescent="0.25">
      <c r="A222" s="93">
        <v>2011</v>
      </c>
      <c r="B222" s="94" t="s">
        <v>23</v>
      </c>
      <c r="C222" s="95">
        <f t="shared" si="18"/>
        <v>3480.519999999995</v>
      </c>
      <c r="D222" s="96">
        <v>0.56981044845121342</v>
      </c>
      <c r="E222" s="95">
        <f t="shared" si="20"/>
        <v>5.5419436223375529</v>
      </c>
      <c r="F222" s="159">
        <f t="shared" si="21"/>
        <v>6.1752422904800763</v>
      </c>
      <c r="G222" s="98">
        <f t="shared" si="22"/>
        <v>2.1455328514130043</v>
      </c>
    </row>
    <row r="223" spans="1:7" x14ac:dyDescent="0.25">
      <c r="A223" s="93">
        <v>2011</v>
      </c>
      <c r="B223" s="94" t="s">
        <v>12</v>
      </c>
      <c r="C223" s="95">
        <f t="shared" si="18"/>
        <v>3498.269999999995</v>
      </c>
      <c r="D223" s="96">
        <v>0.50998126716697012</v>
      </c>
      <c r="E223" s="95">
        <f t="shared" si="20"/>
        <v>6.0801877638154034</v>
      </c>
      <c r="F223" s="159">
        <f t="shared" si="21"/>
        <v>6.0801877638154034</v>
      </c>
      <c r="G223" s="98">
        <f t="shared" si="22"/>
        <v>2.1346465538680519</v>
      </c>
    </row>
    <row r="224" spans="1:7" x14ac:dyDescent="0.25">
      <c r="A224" s="93">
        <f>2012</f>
        <v>2012</v>
      </c>
      <c r="B224" s="94" t="s">
        <v>13</v>
      </c>
      <c r="C224" s="95">
        <f t="shared" si="18"/>
        <v>3516.1099999999951</v>
      </c>
      <c r="D224" s="96">
        <v>0.50996635479823027</v>
      </c>
      <c r="E224" s="95">
        <f t="shared" ref="E224:E235" si="23">+((C224/$C$223)-1)*100</f>
        <v>0.50996635479823027</v>
      </c>
      <c r="F224" s="159">
        <f t="shared" si="21"/>
        <v>5.628221920474874</v>
      </c>
      <c r="G224" s="98">
        <f t="shared" si="22"/>
        <v>2.1238158078103329</v>
      </c>
    </row>
    <row r="225" spans="1:7" x14ac:dyDescent="0.25">
      <c r="A225" s="93">
        <f>2012</f>
        <v>2012</v>
      </c>
      <c r="B225" s="94" t="s">
        <v>14</v>
      </c>
      <c r="C225" s="95">
        <f t="shared" si="18"/>
        <v>3529.8199999999952</v>
      </c>
      <c r="D225" s="96">
        <v>0.38991954176632593</v>
      </c>
      <c r="E225" s="95">
        <f t="shared" si="23"/>
        <v>0.90187435503834568</v>
      </c>
      <c r="F225" s="159">
        <f>100*((C225/C213)-1)</f>
        <v>5.470398059006687</v>
      </c>
      <c r="G225" s="98">
        <f t="shared" si="22"/>
        <v>2.1155667994401952</v>
      </c>
    </row>
    <row r="226" spans="1:7" x14ac:dyDescent="0.25">
      <c r="A226" s="93">
        <f>2012</f>
        <v>2012</v>
      </c>
      <c r="B226" s="94" t="s">
        <v>15</v>
      </c>
      <c r="C226" s="95">
        <f t="shared" si="18"/>
        <v>3536.1699999999951</v>
      </c>
      <c r="D226" s="96">
        <v>0.17989585871234226</v>
      </c>
      <c r="E226" s="95">
        <f t="shared" si="23"/>
        <v>1.0833926483661882</v>
      </c>
      <c r="F226" s="159">
        <f>100*((C226/C214)-1)</f>
        <v>4.9673031883472829</v>
      </c>
      <c r="G226" s="98">
        <f t="shared" si="22"/>
        <v>2.1117678165925251</v>
      </c>
    </row>
    <row r="227" spans="1:7" x14ac:dyDescent="0.25">
      <c r="A227" s="93">
        <f>2012</f>
        <v>2012</v>
      </c>
      <c r="B227" s="94" t="s">
        <v>16</v>
      </c>
      <c r="C227" s="95">
        <f t="shared" si="18"/>
        <v>3558.7999999999956</v>
      </c>
      <c r="D227" s="96">
        <v>0.63995792057509604</v>
      </c>
      <c r="E227" s="95">
        <f t="shared" si="23"/>
        <v>1.730283826005441</v>
      </c>
      <c r="F227" s="159">
        <f t="shared" ref="F227:F290" si="24">100*((C227/C215)-1)</f>
        <v>4.8837490311191445</v>
      </c>
      <c r="G227" s="98">
        <f t="shared" si="22"/>
        <v>2.0983393278633216</v>
      </c>
    </row>
    <row r="228" spans="1:7" x14ac:dyDescent="0.25">
      <c r="A228" s="93">
        <f>2012</f>
        <v>2012</v>
      </c>
      <c r="B228" s="94" t="s">
        <v>17</v>
      </c>
      <c r="C228" s="95">
        <f t="shared" si="18"/>
        <v>3578.3699999999958</v>
      </c>
      <c r="D228" s="96">
        <v>0.54990446217826339</v>
      </c>
      <c r="E228" s="95">
        <f t="shared" si="23"/>
        <v>2.2897031961512715</v>
      </c>
      <c r="F228" s="159">
        <f t="shared" si="24"/>
        <v>4.8628103726670036</v>
      </c>
      <c r="G228" s="98">
        <f t="shared" si="22"/>
        <v>2.0868635719615325</v>
      </c>
    </row>
    <row r="229" spans="1:7" x14ac:dyDescent="0.25">
      <c r="A229" s="93">
        <f>2012</f>
        <v>2012</v>
      </c>
      <c r="B229" s="94" t="s">
        <v>18</v>
      </c>
      <c r="C229" s="95">
        <f t="shared" si="18"/>
        <v>3587.669999999996</v>
      </c>
      <c r="D229" s="96">
        <v>0.25989486833390973</v>
      </c>
      <c r="E229" s="95">
        <f t="shared" si="23"/>
        <v>2.5555488855920627</v>
      </c>
      <c r="F229" s="159">
        <f t="shared" si="24"/>
        <v>4.9044720082808579</v>
      </c>
      <c r="G229" s="98">
        <f t="shared" si="22"/>
        <v>2.0814539798810894</v>
      </c>
    </row>
    <row r="230" spans="1:7" x14ac:dyDescent="0.25">
      <c r="A230" s="93">
        <f>2012</f>
        <v>2012</v>
      </c>
      <c r="B230" s="94" t="s">
        <v>19</v>
      </c>
      <c r="C230" s="95">
        <f t="shared" si="18"/>
        <v>3603.0999999999954</v>
      </c>
      <c r="D230" s="96">
        <v>0.43008414932252936</v>
      </c>
      <c r="E230" s="95">
        <f t="shared" si="23"/>
        <v>2.9966240455997051</v>
      </c>
      <c r="F230" s="159">
        <f t="shared" si="24"/>
        <v>5.355649514318972</v>
      </c>
      <c r="G230" s="98">
        <f t="shared" si="22"/>
        <v>2.0725403125086701</v>
      </c>
    </row>
    <row r="231" spans="1:7" x14ac:dyDescent="0.25">
      <c r="A231" s="93">
        <f>2012</f>
        <v>2012</v>
      </c>
      <c r="B231" s="94" t="s">
        <v>20</v>
      </c>
      <c r="C231" s="95">
        <f t="shared" si="18"/>
        <v>3619.3099999999949</v>
      </c>
      <c r="D231" s="96">
        <v>0.44989037217950667</v>
      </c>
      <c r="E231" s="95">
        <f t="shared" si="23"/>
        <v>3.4599959408507575</v>
      </c>
      <c r="F231" s="159">
        <f t="shared" si="24"/>
        <v>5.3871240136272425</v>
      </c>
      <c r="G231" s="98">
        <f t="shared" si="22"/>
        <v>2.0632579138012468</v>
      </c>
    </row>
    <row r="232" spans="1:7" x14ac:dyDescent="0.25">
      <c r="A232" s="93">
        <f>2012</f>
        <v>2012</v>
      </c>
      <c r="B232" s="94" t="s">
        <v>21</v>
      </c>
      <c r="C232" s="95">
        <f t="shared" si="18"/>
        <v>3642.1199999999944</v>
      </c>
      <c r="D232" s="96">
        <v>0.63023062406921682</v>
      </c>
      <c r="E232" s="95">
        <f t="shared" si="23"/>
        <v>4.1120325189307749</v>
      </c>
      <c r="F232" s="159">
        <f t="shared" si="24"/>
        <v>5.5760400723528392</v>
      </c>
      <c r="G232" s="98">
        <f t="shared" si="22"/>
        <v>2.0503360680043468</v>
      </c>
    </row>
    <row r="233" spans="1:7" x14ac:dyDescent="0.25">
      <c r="A233" s="93">
        <f>2012</f>
        <v>2012</v>
      </c>
      <c r="B233" s="94" t="s">
        <v>22</v>
      </c>
      <c r="C233" s="95">
        <f t="shared" si="18"/>
        <v>3667.9699999999939</v>
      </c>
      <c r="D233" s="96">
        <v>0.70975146343337236</v>
      </c>
      <c r="E233" s="95">
        <f t="shared" si="23"/>
        <v>4.8509691933441124</v>
      </c>
      <c r="F233" s="159">
        <f t="shared" si="24"/>
        <v>5.9861881645861814</v>
      </c>
      <c r="G233" s="98">
        <f t="shared" si="22"/>
        <v>2.0358863349482119</v>
      </c>
    </row>
    <row r="234" spans="1:7" x14ac:dyDescent="0.25">
      <c r="A234" s="93">
        <f>2012</f>
        <v>2012</v>
      </c>
      <c r="B234" s="94" t="s">
        <v>23</v>
      </c>
      <c r="C234" s="95">
        <f t="shared" si="18"/>
        <v>3687.7799999999943</v>
      </c>
      <c r="D234" s="96">
        <v>0.54008075311413606</v>
      </c>
      <c r="E234" s="95">
        <f t="shared" si="23"/>
        <v>5.4172490974109921</v>
      </c>
      <c r="F234" s="159">
        <f t="shared" si="24"/>
        <v>5.9548573201705368</v>
      </c>
      <c r="G234" s="98">
        <f t="shared" si="22"/>
        <v>2.0249499699005882</v>
      </c>
    </row>
    <row r="235" spans="1:7" x14ac:dyDescent="0.25">
      <c r="A235" s="93">
        <f>2012</f>
        <v>2012</v>
      </c>
      <c r="B235" s="94" t="s">
        <v>12</v>
      </c>
      <c r="C235" s="95">
        <f t="shared" si="18"/>
        <v>3715.0699999999943</v>
      </c>
      <c r="D235" s="96">
        <v>0.7400116058984052</v>
      </c>
      <c r="E235" s="95">
        <f t="shared" si="23"/>
        <v>6.1973489753506694</v>
      </c>
      <c r="F235" s="159">
        <f t="shared" si="24"/>
        <v>6.1973489753506694</v>
      </c>
      <c r="G235" s="98">
        <f t="shared" si="22"/>
        <v>2.0100751802792387</v>
      </c>
    </row>
    <row r="236" spans="1:7" x14ac:dyDescent="0.25">
      <c r="A236" s="93">
        <f>2013</f>
        <v>2013</v>
      </c>
      <c r="B236" s="94" t="s">
        <v>13</v>
      </c>
      <c r="C236" s="95">
        <f t="shared" si="18"/>
        <v>3749.2499999999945</v>
      </c>
      <c r="D236" s="96">
        <v>0.92003649998519954</v>
      </c>
      <c r="E236" s="95">
        <f t="shared" ref="E236:E247" si="25">+((C236/$C$235)-1)*100</f>
        <v>0.92003649998519954</v>
      </c>
      <c r="F236" s="159">
        <f t="shared" si="24"/>
        <v>6.6306230464917126</v>
      </c>
      <c r="G236" s="98">
        <f t="shared" si="22"/>
        <v>1.9917503500700116</v>
      </c>
    </row>
    <row r="237" spans="1:7" x14ac:dyDescent="0.25">
      <c r="A237" s="93">
        <f>2013</f>
        <v>2013</v>
      </c>
      <c r="B237" s="94" t="s">
        <v>14</v>
      </c>
      <c r="C237" s="95">
        <f t="shared" si="18"/>
        <v>3768.7499999999945</v>
      </c>
      <c r="D237" s="96">
        <v>0.52010402080415741</v>
      </c>
      <c r="E237" s="95">
        <f t="shared" si="25"/>
        <v>1.4449256676186462</v>
      </c>
      <c r="F237" s="159">
        <f t="shared" si="24"/>
        <v>6.7689003971873829</v>
      </c>
      <c r="G237" s="98">
        <f t="shared" si="22"/>
        <v>1.9814447761194005</v>
      </c>
    </row>
    <row r="238" spans="1:7" x14ac:dyDescent="0.25">
      <c r="A238" s="93">
        <f>2013</f>
        <v>2013</v>
      </c>
      <c r="B238" s="94" t="s">
        <v>15</v>
      </c>
      <c r="C238" s="95">
        <f t="shared" si="18"/>
        <v>3791.3599999999947</v>
      </c>
      <c r="D238" s="96">
        <v>0.59993366500830092</v>
      </c>
      <c r="E238" s="95">
        <f t="shared" si="25"/>
        <v>2.0535279281413521</v>
      </c>
      <c r="F238" s="159">
        <f t="shared" si="24"/>
        <v>7.2165648144744132</v>
      </c>
      <c r="G238" s="98">
        <f t="shared" si="22"/>
        <v>1.969628312795406</v>
      </c>
    </row>
    <row r="239" spans="1:7" x14ac:dyDescent="0.25">
      <c r="A239" s="93">
        <f>2013</f>
        <v>2013</v>
      </c>
      <c r="B239" s="94" t="s">
        <v>16</v>
      </c>
      <c r="C239" s="95">
        <f t="shared" si="18"/>
        <v>3813.7299999999946</v>
      </c>
      <c r="D239" s="96">
        <v>0.59002574274138464</v>
      </c>
      <c r="E239" s="95">
        <f t="shared" si="25"/>
        <v>2.6556700142931433</v>
      </c>
      <c r="F239" s="159">
        <f t="shared" si="24"/>
        <v>7.1633696751713938</v>
      </c>
      <c r="G239" s="98">
        <f t="shared" si="22"/>
        <v>1.9580751652581567</v>
      </c>
    </row>
    <row r="240" spans="1:7" x14ac:dyDescent="0.25">
      <c r="A240" s="93">
        <f>2013</f>
        <v>2013</v>
      </c>
      <c r="B240" s="94" t="s">
        <v>17</v>
      </c>
      <c r="C240" s="95">
        <f t="shared" si="18"/>
        <v>3827.0799999999949</v>
      </c>
      <c r="D240" s="96">
        <v>0.35005099993969946</v>
      </c>
      <c r="E240" s="95">
        <f t="shared" si="25"/>
        <v>3.015017213672988</v>
      </c>
      <c r="F240" s="159">
        <f t="shared" si="24"/>
        <v>6.9503712584221056</v>
      </c>
      <c r="G240" s="98">
        <f t="shared" si="22"/>
        <v>1.9512448132780056</v>
      </c>
    </row>
    <row r="241" spans="1:7" x14ac:dyDescent="0.25">
      <c r="A241" s="93">
        <f>2013</f>
        <v>2013</v>
      </c>
      <c r="B241" s="94" t="s">
        <v>18</v>
      </c>
      <c r="C241" s="95">
        <f t="shared" si="18"/>
        <v>3837.7999999999952</v>
      </c>
      <c r="D241" s="96">
        <v>0.28010911713369779</v>
      </c>
      <c r="E241" s="95">
        <f t="shared" si="25"/>
        <v>3.3035716689053363</v>
      </c>
      <c r="F241" s="159">
        <f t="shared" si="24"/>
        <v>6.9719344309816522</v>
      </c>
      <c r="G241" s="98">
        <f t="shared" si="22"/>
        <v>1.9457944655792352</v>
      </c>
    </row>
    <row r="242" spans="1:7" x14ac:dyDescent="0.25">
      <c r="A242" s="93">
        <f>2013</f>
        <v>2013</v>
      </c>
      <c r="B242" s="94" t="s">
        <v>19</v>
      </c>
      <c r="C242" s="95">
        <f t="shared" si="18"/>
        <v>3832.8099999999949</v>
      </c>
      <c r="D242" s="96">
        <v>-0.13002240867163728</v>
      </c>
      <c r="E242" s="95">
        <f t="shared" si="25"/>
        <v>3.169253876777578</v>
      </c>
      <c r="F242" s="159">
        <f t="shared" si="24"/>
        <v>6.3753434542477283</v>
      </c>
      <c r="G242" s="98">
        <f t="shared" si="22"/>
        <v>1.9483277282202847</v>
      </c>
    </row>
    <row r="243" spans="1:7" x14ac:dyDescent="0.25">
      <c r="A243" s="93">
        <f>2013</f>
        <v>2013</v>
      </c>
      <c r="B243" s="94" t="s">
        <v>20</v>
      </c>
      <c r="C243" s="95">
        <f t="shared" si="18"/>
        <v>3838.9399999999951</v>
      </c>
      <c r="D243" s="96">
        <v>0.1599348780659593</v>
      </c>
      <c r="E243" s="95">
        <f t="shared" si="25"/>
        <v>3.3342574971669814</v>
      </c>
      <c r="F243" s="159">
        <f t="shared" si="24"/>
        <v>6.0682837336398565</v>
      </c>
      <c r="G243" s="98">
        <f t="shared" si="22"/>
        <v>1.9452166483456343</v>
      </c>
    </row>
    <row r="244" spans="1:7" x14ac:dyDescent="0.25">
      <c r="A244" s="93">
        <f>2013</f>
        <v>2013</v>
      </c>
      <c r="B244" s="94" t="s">
        <v>21</v>
      </c>
      <c r="C244" s="95">
        <f t="shared" si="18"/>
        <v>3849.3099999999954</v>
      </c>
      <c r="D244" s="96">
        <v>0.27012664954388921</v>
      </c>
      <c r="E244" s="95">
        <f t="shared" si="25"/>
        <v>3.6133908647751234</v>
      </c>
      <c r="F244" s="159">
        <f t="shared" si="24"/>
        <v>5.6887197566253045</v>
      </c>
      <c r="G244" s="98">
        <f t="shared" si="22"/>
        <v>1.9399762554847462</v>
      </c>
    </row>
    <row r="245" spans="1:7" x14ac:dyDescent="0.25">
      <c r="A245" s="93">
        <f>2013</f>
        <v>2013</v>
      </c>
      <c r="B245" s="94" t="s">
        <v>22</v>
      </c>
      <c r="C245" s="95">
        <f t="shared" si="18"/>
        <v>3872.7899999999959</v>
      </c>
      <c r="D245" s="96">
        <v>0.60997945086262995</v>
      </c>
      <c r="E245" s="95">
        <f t="shared" si="25"/>
        <v>4.2454112573922398</v>
      </c>
      <c r="F245" s="159">
        <f t="shared" si="24"/>
        <v>5.5840151364379365</v>
      </c>
      <c r="G245" s="98">
        <f t="shared" si="22"/>
        <v>1.9282145430038777</v>
      </c>
    </row>
    <row r="246" spans="1:7" x14ac:dyDescent="0.25">
      <c r="A246" s="93">
        <f>2013</f>
        <v>2013</v>
      </c>
      <c r="B246" s="94" t="s">
        <v>23</v>
      </c>
      <c r="C246" s="95">
        <f t="shared" si="18"/>
        <v>3893.6999999999962</v>
      </c>
      <c r="D246" s="96">
        <v>0.53992083226821475</v>
      </c>
      <c r="E246" s="95">
        <f t="shared" si="25"/>
        <v>4.8082539494545884</v>
      </c>
      <c r="F246" s="159">
        <f t="shared" si="24"/>
        <v>5.5838471926200173</v>
      </c>
      <c r="G246" s="98">
        <f t="shared" si="22"/>
        <v>1.9178596193851574</v>
      </c>
    </row>
    <row r="247" spans="1:7" x14ac:dyDescent="0.25">
      <c r="A247" s="93">
        <f>2013</f>
        <v>2013</v>
      </c>
      <c r="B247" s="94" t="s">
        <v>12</v>
      </c>
      <c r="C247" s="95">
        <f t="shared" si="18"/>
        <v>3921.7299999999964</v>
      </c>
      <c r="D247" s="96">
        <v>0.71988083314071805</v>
      </c>
      <c r="E247" s="95">
        <f t="shared" si="25"/>
        <v>5.5627484811861638</v>
      </c>
      <c r="F247" s="159">
        <f t="shared" si="24"/>
        <v>5.5627484811861638</v>
      </c>
      <c r="G247" s="98">
        <f t="shared" si="22"/>
        <v>1.9041519941454375</v>
      </c>
    </row>
    <row r="248" spans="1:7" x14ac:dyDescent="0.25">
      <c r="A248" s="93">
        <f>2014</f>
        <v>2014</v>
      </c>
      <c r="B248" s="94" t="s">
        <v>13</v>
      </c>
      <c r="C248" s="95">
        <f t="shared" si="18"/>
        <v>3946.439999999996</v>
      </c>
      <c r="D248" s="96">
        <v>0.63007907224617021</v>
      </c>
      <c r="E248" s="95">
        <f t="shared" ref="E248:E259" si="26">+((C248/$C$247)-1)*100</f>
        <v>0.63007907224617021</v>
      </c>
      <c r="F248" s="159">
        <f t="shared" si="24"/>
        <v>5.2594518903781307</v>
      </c>
      <c r="G248" s="98">
        <f t="shared" si="22"/>
        <v>1.8922294523671936</v>
      </c>
    </row>
    <row r="249" spans="1:7" x14ac:dyDescent="0.25">
      <c r="A249" s="93">
        <f>2014</f>
        <v>2014</v>
      </c>
      <c r="B249" s="94" t="s">
        <v>14</v>
      </c>
      <c r="C249" s="95">
        <f t="shared" si="18"/>
        <v>3971.6999999999953</v>
      </c>
      <c r="D249" s="96">
        <v>0.64007054459207513</v>
      </c>
      <c r="E249" s="95">
        <f t="shared" si="26"/>
        <v>1.2741825673873164</v>
      </c>
      <c r="F249" s="159">
        <f t="shared" si="24"/>
        <v>5.3850746268657046</v>
      </c>
      <c r="G249" s="98">
        <f t="shared" si="22"/>
        <v>1.8801948787672755</v>
      </c>
    </row>
    <row r="250" spans="1:7" x14ac:dyDescent="0.25">
      <c r="A250" s="93">
        <f>2014</f>
        <v>2014</v>
      </c>
      <c r="B250" s="94" t="s">
        <v>15</v>
      </c>
      <c r="C250" s="95">
        <f t="shared" si="18"/>
        <v>4004.269999999995</v>
      </c>
      <c r="D250" s="96">
        <v>0.82005186695872645</v>
      </c>
      <c r="E250" s="95">
        <f t="shared" si="26"/>
        <v>2.1046833922783836</v>
      </c>
      <c r="F250" s="159">
        <f t="shared" si="24"/>
        <v>5.6156629810938608</v>
      </c>
      <c r="G250" s="98">
        <f t="shared" si="22"/>
        <v>1.8649017174166549</v>
      </c>
    </row>
    <row r="251" spans="1:7" x14ac:dyDescent="0.25">
      <c r="A251" s="93">
        <f>2014</f>
        <v>2014</v>
      </c>
      <c r="B251" s="94" t="s">
        <v>16</v>
      </c>
      <c r="C251" s="95">
        <f t="shared" si="18"/>
        <v>4035.499999999995</v>
      </c>
      <c r="D251" s="96">
        <v>0.77991743813479175</v>
      </c>
      <c r="E251" s="95">
        <f t="shared" si="26"/>
        <v>2.9010156232070816</v>
      </c>
      <c r="F251" s="159">
        <f t="shared" si="24"/>
        <v>5.8150419667884368</v>
      </c>
      <c r="G251" s="98">
        <f t="shared" si="22"/>
        <v>1.8504695824557029</v>
      </c>
    </row>
    <row r="252" spans="1:7" x14ac:dyDescent="0.25">
      <c r="A252" s="93">
        <f>2014</f>
        <v>2014</v>
      </c>
      <c r="B252" s="94" t="s">
        <v>17</v>
      </c>
      <c r="C252" s="95">
        <f t="shared" si="18"/>
        <v>4059.7099999999946</v>
      </c>
      <c r="D252" s="96">
        <v>0.59992565976954015</v>
      </c>
      <c r="E252" s="95">
        <f t="shared" si="26"/>
        <v>3.5183452200941545</v>
      </c>
      <c r="F252" s="159">
        <f t="shared" si="24"/>
        <v>6.0785246192919917</v>
      </c>
      <c r="G252" s="98">
        <f t="shared" si="22"/>
        <v>1.8394343438324388</v>
      </c>
    </row>
    <row r="253" spans="1:7" x14ac:dyDescent="0.25">
      <c r="A253" s="93">
        <f>2014</f>
        <v>2014</v>
      </c>
      <c r="B253" s="94" t="s">
        <v>18</v>
      </c>
      <c r="C253" s="95">
        <f t="shared" si="18"/>
        <v>4070.2699999999941</v>
      </c>
      <c r="D253" s="96">
        <v>0.26011710196047755</v>
      </c>
      <c r="E253" s="95">
        <f t="shared" si="26"/>
        <v>3.7876141396780971</v>
      </c>
      <c r="F253" s="159">
        <f t="shared" si="24"/>
        <v>6.0573766220230141</v>
      </c>
      <c r="G253" s="98">
        <f t="shared" si="22"/>
        <v>1.8346620740147437</v>
      </c>
    </row>
    <row r="254" spans="1:7" x14ac:dyDescent="0.25">
      <c r="A254" s="93">
        <f>2014</f>
        <v>2014</v>
      </c>
      <c r="B254" s="94" t="s">
        <v>19</v>
      </c>
      <c r="C254" s="95">
        <f t="shared" si="18"/>
        <v>4075.5599999999936</v>
      </c>
      <c r="D254" s="96">
        <v>0.12996680809871375</v>
      </c>
      <c r="E254" s="95">
        <f t="shared" si="26"/>
        <v>3.9225035889772553</v>
      </c>
      <c r="F254" s="159">
        <f t="shared" si="24"/>
        <v>6.3334733524489595</v>
      </c>
      <c r="G254" s="98">
        <f t="shared" si="22"/>
        <v>1.8322807172511242</v>
      </c>
    </row>
    <row r="255" spans="1:7" x14ac:dyDescent="0.25">
      <c r="A255" s="93">
        <f>2014</f>
        <v>2014</v>
      </c>
      <c r="B255" s="94" t="s">
        <v>20</v>
      </c>
      <c r="C255" s="95">
        <f t="shared" si="18"/>
        <v>4082.8999999999942</v>
      </c>
      <c r="D255" s="96">
        <v>0.18009794972961846</v>
      </c>
      <c r="E255" s="95">
        <f t="shared" si="26"/>
        <v>4.1096658872486813</v>
      </c>
      <c r="F255" s="159">
        <f t="shared" si="24"/>
        <v>6.3548792114489716</v>
      </c>
      <c r="G255" s="98">
        <f t="shared" si="22"/>
        <v>1.8289867496142425</v>
      </c>
    </row>
    <row r="256" spans="1:7" x14ac:dyDescent="0.25">
      <c r="A256" s="93">
        <f>2014</f>
        <v>2014</v>
      </c>
      <c r="B256" s="94" t="s">
        <v>21</v>
      </c>
      <c r="C256" s="95">
        <f t="shared" si="18"/>
        <v>4102.8999999999933</v>
      </c>
      <c r="D256" s="96">
        <v>0.489847902226348</v>
      </c>
      <c r="E256" s="95">
        <f t="shared" si="26"/>
        <v>4.6196449016122187</v>
      </c>
      <c r="F256" s="159">
        <f t="shared" si="24"/>
        <v>6.5879339414076421</v>
      </c>
      <c r="G256" s="98">
        <f t="shared" si="22"/>
        <v>1.820071169173022</v>
      </c>
    </row>
    <row r="257" spans="1:7" x14ac:dyDescent="0.25">
      <c r="A257" s="93">
        <f>2014</f>
        <v>2014</v>
      </c>
      <c r="B257" s="94" t="s">
        <v>22</v>
      </c>
      <c r="C257" s="95">
        <f t="shared" si="18"/>
        <v>4118.4899999999934</v>
      </c>
      <c r="D257" s="96">
        <v>0.37997513953544892</v>
      </c>
      <c r="E257" s="95">
        <f t="shared" si="26"/>
        <v>5.0171735433086173</v>
      </c>
      <c r="F257" s="159">
        <f t="shared" si="24"/>
        <v>6.3442634379865082</v>
      </c>
      <c r="G257" s="98">
        <f t="shared" si="22"/>
        <v>1.8131815301239027</v>
      </c>
    </row>
    <row r="258" spans="1:7" x14ac:dyDescent="0.25">
      <c r="A258" s="93">
        <f>2014</f>
        <v>2014</v>
      </c>
      <c r="B258" s="94" t="s">
        <v>23</v>
      </c>
      <c r="C258" s="95">
        <f t="shared" si="18"/>
        <v>4140.3199999999933</v>
      </c>
      <c r="D258" s="96">
        <v>0.53004863432957183</v>
      </c>
      <c r="E258" s="95">
        <f t="shared" si="26"/>
        <v>5.5738156374864456</v>
      </c>
      <c r="F258" s="159">
        <f t="shared" si="24"/>
        <v>6.3338213010760258</v>
      </c>
      <c r="G258" s="98">
        <f t="shared" si="22"/>
        <v>1.8036214592108804</v>
      </c>
    </row>
    <row r="259" spans="1:7" x14ac:dyDescent="0.25">
      <c r="A259" s="93">
        <f>2014</f>
        <v>2014</v>
      </c>
      <c r="B259" s="94" t="s">
        <v>12</v>
      </c>
      <c r="C259" s="95">
        <f t="shared" si="18"/>
        <v>4165.9899999999934</v>
      </c>
      <c r="D259" s="96">
        <v>0.62000038644356437</v>
      </c>
      <c r="E259" s="95">
        <f t="shared" si="26"/>
        <v>6.2283737024220853</v>
      </c>
      <c r="F259" s="159">
        <f t="shared" si="24"/>
        <v>6.2283737024220853</v>
      </c>
      <c r="G259" s="98">
        <f t="shared" si="22"/>
        <v>1.7925079032834912</v>
      </c>
    </row>
    <row r="260" spans="1:7" x14ac:dyDescent="0.25">
      <c r="A260" s="93">
        <f>2015</f>
        <v>2015</v>
      </c>
      <c r="B260" s="94" t="s">
        <v>13</v>
      </c>
      <c r="C260" s="95">
        <f t="shared" si="18"/>
        <v>4227.639999999994</v>
      </c>
      <c r="D260" s="96">
        <v>1.4798403260689597</v>
      </c>
      <c r="E260" s="95">
        <f t="shared" ref="E260:E271" si="27">+((C260/$C$259)-1)*100</f>
        <v>1.4798403260689597</v>
      </c>
      <c r="F260" s="159">
        <f t="shared" si="24"/>
        <v>7.1254092295840898</v>
      </c>
      <c r="G260" s="98">
        <f t="shared" si="22"/>
        <v>1.7663684703522511</v>
      </c>
    </row>
    <row r="261" spans="1:7" x14ac:dyDescent="0.25">
      <c r="A261" s="93">
        <f>2015</f>
        <v>2015</v>
      </c>
      <c r="B261" s="94" t="s">
        <v>14</v>
      </c>
      <c r="C261" s="95">
        <f t="shared" si="18"/>
        <v>4276.6899999999932</v>
      </c>
      <c r="D261" s="96">
        <v>1.1602217785809499</v>
      </c>
      <c r="E261" s="95">
        <f t="shared" si="27"/>
        <v>2.6572315344011832</v>
      </c>
      <c r="F261" s="159">
        <f t="shared" si="24"/>
        <v>7.6790794873731194</v>
      </c>
      <c r="G261" s="98">
        <f t="shared" si="22"/>
        <v>1.7461097250443665</v>
      </c>
    </row>
    <row r="262" spans="1:7" x14ac:dyDescent="0.25">
      <c r="A262" s="93">
        <f>2015</f>
        <v>2015</v>
      </c>
      <c r="B262" s="94" t="s">
        <v>15</v>
      </c>
      <c r="C262" s="95">
        <f t="shared" si="18"/>
        <v>4341.2599999999939</v>
      </c>
      <c r="D262" s="96">
        <v>1.509812495177365</v>
      </c>
      <c r="E262" s="95">
        <f t="shared" si="27"/>
        <v>4.2071632433107409</v>
      </c>
      <c r="F262" s="159">
        <f t="shared" si="24"/>
        <v>8.4157661696139243</v>
      </c>
      <c r="G262" s="98">
        <f t="shared" si="22"/>
        <v>1.7201388536968507</v>
      </c>
    </row>
    <row r="263" spans="1:7" x14ac:dyDescent="0.25">
      <c r="A263" s="93">
        <f>2015</f>
        <v>2015</v>
      </c>
      <c r="B263" s="94" t="s">
        <v>16</v>
      </c>
      <c r="C263" s="95">
        <f t="shared" si="18"/>
        <v>4372.0799999999936</v>
      </c>
      <c r="D263" s="96">
        <v>0.70993213951708878</v>
      </c>
      <c r="E263" s="95">
        <f t="shared" si="27"/>
        <v>4.9469633868540308</v>
      </c>
      <c r="F263" s="159">
        <f t="shared" si="24"/>
        <v>8.3404782554825641</v>
      </c>
      <c r="G263" s="98">
        <f t="shared" si="22"/>
        <v>1.7080131196135457</v>
      </c>
    </row>
    <row r="264" spans="1:7" x14ac:dyDescent="0.25">
      <c r="A264" s="93">
        <f>2015</f>
        <v>2015</v>
      </c>
      <c r="B264" s="94" t="s">
        <v>17</v>
      </c>
      <c r="C264" s="95">
        <f t="shared" ref="C264:C327" si="28">+C263*(1+D264/100)</f>
        <v>4415.3699999999935</v>
      </c>
      <c r="D264" s="96">
        <v>0.99014656639402343</v>
      </c>
      <c r="E264" s="95">
        <f t="shared" si="27"/>
        <v>5.9860921413637636</v>
      </c>
      <c r="F264" s="159">
        <f t="shared" si="24"/>
        <v>8.7607242881880598</v>
      </c>
      <c r="G264" s="98">
        <f t="shared" si="22"/>
        <v>1.6912670965287147</v>
      </c>
    </row>
    <row r="265" spans="1:7" x14ac:dyDescent="0.25">
      <c r="A265" s="93">
        <f>2015</f>
        <v>2015</v>
      </c>
      <c r="B265" s="94" t="s">
        <v>18</v>
      </c>
      <c r="C265" s="95">
        <f t="shared" si="28"/>
        <v>4449.3599999999924</v>
      </c>
      <c r="D265" s="96">
        <v>0.76981091052390482</v>
      </c>
      <c r="E265" s="95">
        <f t="shared" si="27"/>
        <v>6.8019846423059027</v>
      </c>
      <c r="F265" s="159">
        <f t="shared" si="24"/>
        <v>9.3136327565492838</v>
      </c>
      <c r="G265" s="98">
        <f t="shared" si="22"/>
        <v>1.678346998219967</v>
      </c>
    </row>
    <row r="266" spans="1:7" x14ac:dyDescent="0.25">
      <c r="A266" s="93">
        <f>2015</f>
        <v>2015</v>
      </c>
      <c r="B266" s="94" t="s">
        <v>19</v>
      </c>
      <c r="C266" s="95">
        <f t="shared" si="28"/>
        <v>4475.1699999999928</v>
      </c>
      <c r="D266" s="96">
        <v>0.58008342772895016</v>
      </c>
      <c r="E266" s="95">
        <f t="shared" si="27"/>
        <v>7.4215252557015221</v>
      </c>
      <c r="F266" s="159">
        <f t="shared" si="24"/>
        <v>9.8050329279902648</v>
      </c>
      <c r="G266" s="98">
        <f t="shared" si="22"/>
        <v>1.6686673355425585</v>
      </c>
    </row>
    <row r="267" spans="1:7" x14ac:dyDescent="0.25">
      <c r="A267" s="93">
        <f>2015</f>
        <v>2015</v>
      </c>
      <c r="B267" s="94" t="s">
        <v>20</v>
      </c>
      <c r="C267" s="95">
        <f t="shared" si="28"/>
        <v>4486.3599999999924</v>
      </c>
      <c r="D267" s="96">
        <v>0.25004636695364901</v>
      </c>
      <c r="E267" s="95">
        <f t="shared" si="27"/>
        <v>7.6901288769295917</v>
      </c>
      <c r="F267" s="159">
        <f t="shared" si="24"/>
        <v>9.8817017316123135</v>
      </c>
      <c r="G267" s="98">
        <f t="shared" si="22"/>
        <v>1.6645053005108801</v>
      </c>
    </row>
    <row r="268" spans="1:7" x14ac:dyDescent="0.25">
      <c r="A268" s="93">
        <f>2015</f>
        <v>2015</v>
      </c>
      <c r="B268" s="94" t="s">
        <v>21</v>
      </c>
      <c r="C268" s="95">
        <f t="shared" si="28"/>
        <v>4509.2399999999925</v>
      </c>
      <c r="D268" s="96">
        <v>0.50999028165372717</v>
      </c>
      <c r="E268" s="95">
        <f t="shared" si="27"/>
        <v>8.2393380685023221</v>
      </c>
      <c r="F268" s="159">
        <f t="shared" si="24"/>
        <v>9.9037266323819715</v>
      </c>
      <c r="G268" s="98">
        <f t="shared" si="22"/>
        <v>1.6560595577081707</v>
      </c>
    </row>
    <row r="269" spans="1:7" x14ac:dyDescent="0.25">
      <c r="A269" s="93">
        <f>2015</f>
        <v>2015</v>
      </c>
      <c r="B269" s="94" t="s">
        <v>22</v>
      </c>
      <c r="C269" s="95">
        <f t="shared" si="28"/>
        <v>4543.9599999999928</v>
      </c>
      <c r="D269" s="96">
        <v>0.76997454116436437</v>
      </c>
      <c r="E269" s="95">
        <f t="shared" si="27"/>
        <v>9.0727534151546116</v>
      </c>
      <c r="F269" s="159">
        <f t="shared" si="24"/>
        <v>10.33072800953747</v>
      </c>
      <c r="G269" s="98">
        <f t="shared" si="22"/>
        <v>1.6434057518111937</v>
      </c>
    </row>
    <row r="270" spans="1:7" x14ac:dyDescent="0.25">
      <c r="A270" s="93">
        <f>2015</f>
        <v>2015</v>
      </c>
      <c r="B270" s="94" t="s">
        <v>23</v>
      </c>
      <c r="C270" s="95">
        <f t="shared" si="28"/>
        <v>4594.3999999999924</v>
      </c>
      <c r="D270" s="96">
        <v>1.1100449827903258</v>
      </c>
      <c r="E270" s="95">
        <f t="shared" si="27"/>
        <v>10.283510042030809</v>
      </c>
      <c r="F270" s="159">
        <f t="shared" si="24"/>
        <v>10.967268230474936</v>
      </c>
      <c r="G270" s="98">
        <f t="shared" si="22"/>
        <v>1.625363485982934</v>
      </c>
    </row>
    <row r="271" spans="1:7" x14ac:dyDescent="0.25">
      <c r="A271" s="93">
        <f>2015</f>
        <v>2015</v>
      </c>
      <c r="B271" s="94" t="s">
        <v>12</v>
      </c>
      <c r="C271" s="95">
        <f t="shared" si="28"/>
        <v>4635.7499999999918</v>
      </c>
      <c r="D271" s="96">
        <v>0.90000870625108753</v>
      </c>
      <c r="E271" s="95">
        <f t="shared" si="27"/>
        <v>11.276071233968366</v>
      </c>
      <c r="F271" s="159">
        <f t="shared" si="24"/>
        <v>11.276071233968366</v>
      </c>
      <c r="G271" s="98">
        <f t="shared" si="22"/>
        <v>1.6108655557353164</v>
      </c>
    </row>
    <row r="272" spans="1:7" x14ac:dyDescent="0.25">
      <c r="A272" s="93">
        <f>2016</f>
        <v>2016</v>
      </c>
      <c r="B272" s="94" t="s">
        <v>13</v>
      </c>
      <c r="C272" s="95">
        <f t="shared" si="28"/>
        <v>4705.7499999999909</v>
      </c>
      <c r="D272" s="96">
        <v>1.5100037750094275</v>
      </c>
      <c r="E272" s="95">
        <f t="shared" ref="E272:E283" si="29">+((C272/$C$271)-1)*100</f>
        <v>1.5100037750094275</v>
      </c>
      <c r="F272" s="159">
        <f t="shared" si="24"/>
        <v>11.309146474155728</v>
      </c>
      <c r="G272" s="98">
        <f t="shared" si="22"/>
        <v>1.5869032566540922</v>
      </c>
    </row>
    <row r="273" spans="1:7" x14ac:dyDescent="0.25">
      <c r="A273" s="93">
        <f>2016</f>
        <v>2016</v>
      </c>
      <c r="B273" s="94" t="s">
        <v>14</v>
      </c>
      <c r="C273" s="95">
        <f t="shared" si="28"/>
        <v>4750.4499999999907</v>
      </c>
      <c r="D273" s="96">
        <v>0.94990171598576811</v>
      </c>
      <c r="E273" s="95">
        <f t="shared" si="29"/>
        <v>2.4742490427654529</v>
      </c>
      <c r="F273" s="159">
        <f t="shared" si="24"/>
        <v>11.077725998377218</v>
      </c>
      <c r="G273" s="98">
        <f t="shared" si="22"/>
        <v>1.5719710764243375</v>
      </c>
    </row>
    <row r="274" spans="1:7" x14ac:dyDescent="0.25">
      <c r="A274" s="93">
        <f>2016</f>
        <v>2016</v>
      </c>
      <c r="B274" s="94" t="s">
        <v>15</v>
      </c>
      <c r="C274" s="95">
        <f t="shared" si="28"/>
        <v>4771.3599999999897</v>
      </c>
      <c r="D274" s="96">
        <v>0.44016882611119801</v>
      </c>
      <c r="E274" s="95">
        <f t="shared" si="29"/>
        <v>2.9253087418432466</v>
      </c>
      <c r="F274" s="159">
        <f t="shared" si="24"/>
        <v>9.9072619469922749</v>
      </c>
      <c r="G274" s="98">
        <f t="shared" si="22"/>
        <v>1.5650820730357793</v>
      </c>
    </row>
    <row r="275" spans="1:7" x14ac:dyDescent="0.25">
      <c r="A275" s="93">
        <f>2016</f>
        <v>2016</v>
      </c>
      <c r="B275" s="94" t="s">
        <v>16</v>
      </c>
      <c r="C275" s="95">
        <f t="shared" si="28"/>
        <v>4801.8899999999903</v>
      </c>
      <c r="D275" s="96">
        <v>0.63985949498677197</v>
      </c>
      <c r="E275" s="95">
        <f t="shared" si="29"/>
        <v>3.5838861025723645</v>
      </c>
      <c r="F275" s="159">
        <f t="shared" si="24"/>
        <v>9.8307899215018359</v>
      </c>
      <c r="G275" s="98">
        <f t="shared" si="22"/>
        <v>1.5551314170045534</v>
      </c>
    </row>
    <row r="276" spans="1:7" x14ac:dyDescent="0.25">
      <c r="A276" s="93">
        <f>2016</f>
        <v>2016</v>
      </c>
      <c r="B276" s="94" t="s">
        <v>17</v>
      </c>
      <c r="C276" s="95">
        <f t="shared" si="28"/>
        <v>4848.9499999999898</v>
      </c>
      <c r="D276" s="96">
        <v>0.98003077954720297</v>
      </c>
      <c r="E276" s="95">
        <f t="shared" si="29"/>
        <v>4.5990400690287148</v>
      </c>
      <c r="F276" s="159">
        <f t="shared" si="24"/>
        <v>9.8197886020876304</v>
      </c>
      <c r="G276" s="98">
        <f t="shared" si="22"/>
        <v>1.5400385650501645</v>
      </c>
    </row>
    <row r="277" spans="1:7" x14ac:dyDescent="0.25">
      <c r="A277" s="93">
        <f>2016</f>
        <v>2016</v>
      </c>
      <c r="B277" s="94" t="s">
        <v>18</v>
      </c>
      <c r="C277" s="95">
        <f t="shared" si="28"/>
        <v>4871.7399999999898</v>
      </c>
      <c r="D277" s="96">
        <v>0.46999865950361208</v>
      </c>
      <c r="E277" s="95">
        <f t="shared" si="29"/>
        <v>5.0906541552067752</v>
      </c>
      <c r="F277" s="159">
        <f t="shared" si="24"/>
        <v>9.4930506859413057</v>
      </c>
      <c r="G277" s="98">
        <f t="shared" si="22"/>
        <v>1.5328342645543471</v>
      </c>
    </row>
    <row r="278" spans="1:7" x14ac:dyDescent="0.25">
      <c r="A278" s="93">
        <f>2016</f>
        <v>2016</v>
      </c>
      <c r="B278" s="94" t="s">
        <v>19</v>
      </c>
      <c r="C278" s="95">
        <f t="shared" si="28"/>
        <v>4902.9199999999901</v>
      </c>
      <c r="D278" s="96">
        <v>0.6400177349366043</v>
      </c>
      <c r="E278" s="95">
        <f t="shared" si="29"/>
        <v>5.7632529795609955</v>
      </c>
      <c r="F278" s="159">
        <f t="shared" si="24"/>
        <v>9.5582961094214944</v>
      </c>
      <c r="G278" s="98">
        <f t="shared" si="22"/>
        <v>1.5230862424840697</v>
      </c>
    </row>
    <row r="279" spans="1:7" x14ac:dyDescent="0.25">
      <c r="A279" s="93">
        <f>2016</f>
        <v>2016</v>
      </c>
      <c r="B279" s="94" t="s">
        <v>20</v>
      </c>
      <c r="C279" s="95">
        <f t="shared" si="28"/>
        <v>4918.1199999999899</v>
      </c>
      <c r="D279" s="96">
        <v>0.31001933541643378</v>
      </c>
      <c r="E279" s="95">
        <f t="shared" si="29"/>
        <v>6.0911395135630375</v>
      </c>
      <c r="F279" s="159">
        <f t="shared" si="24"/>
        <v>9.6238375877102591</v>
      </c>
      <c r="G279" s="98">
        <f t="shared" ref="G279:G342" si="30">$C$383/C279</f>
        <v>1.5183789740795253</v>
      </c>
    </row>
    <row r="280" spans="1:7" x14ac:dyDescent="0.25">
      <c r="A280" s="93">
        <f>2016</f>
        <v>2016</v>
      </c>
      <c r="B280" s="94" t="s">
        <v>21</v>
      </c>
      <c r="C280" s="95">
        <f t="shared" si="28"/>
        <v>4922.0499999999893</v>
      </c>
      <c r="D280" s="96">
        <v>7.9908582954457685E-2</v>
      </c>
      <c r="E280" s="95">
        <f t="shared" si="29"/>
        <v>6.1759154397885485</v>
      </c>
      <c r="F280" s="159">
        <f t="shared" si="24"/>
        <v>9.1547577862344234</v>
      </c>
      <c r="G280" s="98">
        <f t="shared" si="30"/>
        <v>1.5171666277262514</v>
      </c>
    </row>
    <row r="281" spans="1:7" x14ac:dyDescent="0.25">
      <c r="A281" s="93">
        <f>2016</f>
        <v>2016</v>
      </c>
      <c r="B281" s="94" t="s">
        <v>22</v>
      </c>
      <c r="C281" s="95">
        <f t="shared" si="28"/>
        <v>4930.4199999999892</v>
      </c>
      <c r="D281" s="96">
        <v>0.17005109659593565</v>
      </c>
      <c r="E281" s="95">
        <f t="shared" si="29"/>
        <v>6.3564687483146809</v>
      </c>
      <c r="F281" s="159">
        <f t="shared" si="24"/>
        <v>8.5049164165176947</v>
      </c>
      <c r="G281" s="98">
        <f t="shared" si="30"/>
        <v>1.5145910490384178</v>
      </c>
    </row>
    <row r="282" spans="1:7" x14ac:dyDescent="0.25">
      <c r="A282" s="93">
        <f>2016</f>
        <v>2016</v>
      </c>
      <c r="B282" s="94" t="s">
        <v>23</v>
      </c>
      <c r="C282" s="95">
        <f t="shared" si="28"/>
        <v>4933.869999999989</v>
      </c>
      <c r="D282" s="96">
        <v>6.9973754771401886E-2</v>
      </c>
      <c r="E282" s="95">
        <f t="shared" si="29"/>
        <v>6.4308903629401337</v>
      </c>
      <c r="F282" s="159">
        <f t="shared" si="24"/>
        <v>7.388777642347133</v>
      </c>
      <c r="G282" s="98">
        <f t="shared" si="30"/>
        <v>1.5135319738866237</v>
      </c>
    </row>
    <row r="283" spans="1:7" x14ac:dyDescent="0.25">
      <c r="A283" s="93">
        <f>2016</f>
        <v>2016</v>
      </c>
      <c r="B283" s="94" t="s">
        <v>12</v>
      </c>
      <c r="C283" s="95">
        <f t="shared" si="28"/>
        <v>4940.7799999999879</v>
      </c>
      <c r="D283" s="96">
        <v>0.1400523321449354</v>
      </c>
      <c r="E283" s="95">
        <f t="shared" si="29"/>
        <v>6.579949307016042</v>
      </c>
      <c r="F283" s="159">
        <f t="shared" si="24"/>
        <v>6.579949307016042</v>
      </c>
      <c r="G283" s="98">
        <f t="shared" si="30"/>
        <v>1.5114152016483222</v>
      </c>
    </row>
    <row r="284" spans="1:7" x14ac:dyDescent="0.25">
      <c r="A284" s="93">
        <f>2017</f>
        <v>2017</v>
      </c>
      <c r="B284" s="94" t="s">
        <v>13</v>
      </c>
      <c r="C284" s="95">
        <f t="shared" si="28"/>
        <v>4961.5299999999879</v>
      </c>
      <c r="D284" s="96">
        <v>0.41997417411825388</v>
      </c>
      <c r="E284" s="95">
        <f t="shared" ref="E284:E295" si="31">+((C284/$C$283)-1)*100</f>
        <v>0.41997417411825388</v>
      </c>
      <c r="F284" s="159">
        <f t="shared" si="24"/>
        <v>5.435477872815131</v>
      </c>
      <c r="G284" s="98">
        <f t="shared" si="30"/>
        <v>1.5050941947342851</v>
      </c>
    </row>
    <row r="285" spans="1:7" x14ac:dyDescent="0.25">
      <c r="A285" s="93">
        <f>2017</f>
        <v>2017</v>
      </c>
      <c r="B285" s="94" t="s">
        <v>14</v>
      </c>
      <c r="C285" s="95">
        <f t="shared" si="28"/>
        <v>4973.4399999999878</v>
      </c>
      <c r="D285" s="96">
        <v>0.24004692101025071</v>
      </c>
      <c r="E285" s="95">
        <f t="shared" si="31"/>
        <v>0.66102923020252558</v>
      </c>
      <c r="F285" s="159">
        <f t="shared" si="24"/>
        <v>4.6940816133207885</v>
      </c>
      <c r="G285" s="98">
        <f t="shared" si="30"/>
        <v>1.5014899144254275</v>
      </c>
    </row>
    <row r="286" spans="1:7" x14ac:dyDescent="0.25">
      <c r="A286" s="93">
        <f>2017</f>
        <v>2017</v>
      </c>
      <c r="B286" s="94" t="s">
        <v>15</v>
      </c>
      <c r="C286" s="95">
        <f t="shared" si="28"/>
        <v>4989.3599999999878</v>
      </c>
      <c r="D286" s="96">
        <v>0.32010037318235263</v>
      </c>
      <c r="E286" s="95">
        <f t="shared" si="31"/>
        <v>0.98324556041757827</v>
      </c>
      <c r="F286" s="159">
        <f t="shared" si="24"/>
        <v>4.5689279366888824</v>
      </c>
      <c r="G286" s="98">
        <f t="shared" si="30"/>
        <v>1.4966989754196927</v>
      </c>
    </row>
    <row r="287" spans="1:7" x14ac:dyDescent="0.25">
      <c r="A287" s="93">
        <f>2017</f>
        <v>2017</v>
      </c>
      <c r="B287" s="94" t="s">
        <v>16</v>
      </c>
      <c r="C287" s="95">
        <f t="shared" si="28"/>
        <v>4993.3499999999876</v>
      </c>
      <c r="D287" s="96">
        <v>7.9970176535670845E-2</v>
      </c>
      <c r="E287" s="95">
        <f t="shared" si="31"/>
        <v>1.0640020401637029</v>
      </c>
      <c r="F287" s="159">
        <f t="shared" si="24"/>
        <v>3.9871800478560981</v>
      </c>
      <c r="G287" s="98">
        <f t="shared" si="30"/>
        <v>1.49550301901529</v>
      </c>
    </row>
    <row r="288" spans="1:7" x14ac:dyDescent="0.25">
      <c r="A288" s="93">
        <f>2017</f>
        <v>2017</v>
      </c>
      <c r="B288" s="94" t="s">
        <v>17</v>
      </c>
      <c r="C288" s="95">
        <f t="shared" si="28"/>
        <v>5011.3299999999872</v>
      </c>
      <c r="D288" s="96">
        <v>0.36007890494356154</v>
      </c>
      <c r="E288" s="95">
        <f t="shared" si="31"/>
        <v>1.4279121920020676</v>
      </c>
      <c r="F288" s="159">
        <f t="shared" si="24"/>
        <v>3.3487662277399854</v>
      </c>
      <c r="G288" s="98">
        <f t="shared" si="30"/>
        <v>1.4901373487676921</v>
      </c>
    </row>
    <row r="289" spans="1:7" x14ac:dyDescent="0.25">
      <c r="A289" s="93">
        <f>2017</f>
        <v>2017</v>
      </c>
      <c r="B289" s="94" t="s">
        <v>18</v>
      </c>
      <c r="C289" s="95">
        <f t="shared" si="28"/>
        <v>4996.2999999999874</v>
      </c>
      <c r="D289" s="96">
        <v>-0.29992038041797286</v>
      </c>
      <c r="E289" s="95">
        <f t="shared" si="31"/>
        <v>1.1237092119058101</v>
      </c>
      <c r="F289" s="159">
        <f t="shared" si="24"/>
        <v>2.5567866922290072</v>
      </c>
      <c r="G289" s="98">
        <f t="shared" si="30"/>
        <v>1.494620018813922</v>
      </c>
    </row>
    <row r="290" spans="1:7" x14ac:dyDescent="0.25">
      <c r="A290" s="93">
        <f>2017</f>
        <v>2017</v>
      </c>
      <c r="B290" s="94" t="s">
        <v>19</v>
      </c>
      <c r="C290" s="95">
        <f t="shared" si="28"/>
        <v>5004.7899999999863</v>
      </c>
      <c r="D290" s="96">
        <v>0.16992574505132474</v>
      </c>
      <c r="E290" s="95">
        <f t="shared" si="31"/>
        <v>1.2955444282076733</v>
      </c>
      <c r="F290" s="159">
        <f t="shared" si="24"/>
        <v>2.0777414275573891</v>
      </c>
      <c r="G290" s="98">
        <f t="shared" si="30"/>
        <v>1.4920845829695153</v>
      </c>
    </row>
    <row r="291" spans="1:7" x14ac:dyDescent="0.25">
      <c r="A291" s="93">
        <f>2017</f>
        <v>2017</v>
      </c>
      <c r="B291" s="94" t="s">
        <v>20</v>
      </c>
      <c r="C291" s="95">
        <f t="shared" si="28"/>
        <v>5003.2899999999863</v>
      </c>
      <c r="D291" s="96">
        <v>-2.9971287506569411E-2</v>
      </c>
      <c r="E291" s="95">
        <f t="shared" si="31"/>
        <v>1.2651848493557383</v>
      </c>
      <c r="F291" s="159">
        <f t="shared" ref="F291:F354" si="32">100*((C291/C279)-1)</f>
        <v>1.7317592901351819</v>
      </c>
      <c r="G291" s="98">
        <f t="shared" si="30"/>
        <v>1.4925319140005877</v>
      </c>
    </row>
    <row r="292" spans="1:7" x14ac:dyDescent="0.25">
      <c r="A292" s="93">
        <f>2017</f>
        <v>2017</v>
      </c>
      <c r="B292" s="94" t="s">
        <v>21</v>
      </c>
      <c r="C292" s="95">
        <f t="shared" si="28"/>
        <v>5002.2899999999863</v>
      </c>
      <c r="D292" s="96">
        <v>-1.9986848653585909E-2</v>
      </c>
      <c r="E292" s="95">
        <f t="shared" si="31"/>
        <v>1.2449451301211223</v>
      </c>
      <c r="F292" s="159">
        <f t="shared" si="32"/>
        <v>1.6302150526710912</v>
      </c>
      <c r="G292" s="98">
        <f t="shared" si="30"/>
        <v>1.4928302837300516</v>
      </c>
    </row>
    <row r="293" spans="1:7" x14ac:dyDescent="0.25">
      <c r="A293" s="93">
        <f>2017</f>
        <v>2017</v>
      </c>
      <c r="B293" s="94" t="s">
        <v>22</v>
      </c>
      <c r="C293" s="95">
        <f t="shared" si="28"/>
        <v>5020.7999999999865</v>
      </c>
      <c r="D293" s="96">
        <v>0.37003052601909392</v>
      </c>
      <c r="E293" s="95">
        <f t="shared" si="31"/>
        <v>1.6195823331538461</v>
      </c>
      <c r="F293" s="159">
        <f t="shared" si="32"/>
        <v>1.8331095525329966</v>
      </c>
      <c r="G293" s="98">
        <f t="shared" si="30"/>
        <v>1.4873267208413001</v>
      </c>
    </row>
    <row r="294" spans="1:7" x14ac:dyDescent="0.25">
      <c r="A294" s="93">
        <f>2017</f>
        <v>2017</v>
      </c>
      <c r="B294" s="94" t="s">
        <v>23</v>
      </c>
      <c r="C294" s="95">
        <f t="shared" si="28"/>
        <v>5029.8399999999865</v>
      </c>
      <c r="D294" s="96">
        <v>0.18005098789037888</v>
      </c>
      <c r="E294" s="95">
        <f t="shared" si="31"/>
        <v>1.8025493950347693</v>
      </c>
      <c r="F294" s="159">
        <f t="shared" si="32"/>
        <v>1.9451262396455116</v>
      </c>
      <c r="G294" s="98">
        <f t="shared" si="30"/>
        <v>1.4846535873904536</v>
      </c>
    </row>
    <row r="295" spans="1:7" x14ac:dyDescent="0.25">
      <c r="A295" s="93">
        <f>2017</f>
        <v>2017</v>
      </c>
      <c r="B295" s="94" t="s">
        <v>12</v>
      </c>
      <c r="C295" s="95">
        <f t="shared" si="28"/>
        <v>5042.9199999999864</v>
      </c>
      <c r="D295" s="96">
        <v>0.26004803333703475</v>
      </c>
      <c r="E295" s="95">
        <f t="shared" si="31"/>
        <v>2.0672849226235357</v>
      </c>
      <c r="F295" s="159">
        <f t="shared" si="32"/>
        <v>2.0672849226235357</v>
      </c>
      <c r="G295" s="98">
        <f t="shared" si="30"/>
        <v>1.480802788860422</v>
      </c>
    </row>
    <row r="296" spans="1:7" x14ac:dyDescent="0.25">
      <c r="A296" s="93">
        <f>2018</f>
        <v>2018</v>
      </c>
      <c r="B296" s="94" t="s">
        <v>13</v>
      </c>
      <c r="C296" s="95">
        <f t="shared" si="28"/>
        <v>5054.5199999999868</v>
      </c>
      <c r="D296" s="96">
        <v>0.2300254614390207</v>
      </c>
      <c r="E296" s="95">
        <f t="shared" ref="E296:E307" si="33">+((C296/$C$295)-1)*100</f>
        <v>0.2300254614390207</v>
      </c>
      <c r="F296" s="159">
        <f t="shared" si="32"/>
        <v>1.8742202506081718</v>
      </c>
      <c r="G296" s="98">
        <f t="shared" si="30"/>
        <v>1.4774043826119987</v>
      </c>
    </row>
    <row r="297" spans="1:7" x14ac:dyDescent="0.25">
      <c r="A297" s="93">
        <f>2018</f>
        <v>2018</v>
      </c>
      <c r="B297" s="94" t="s">
        <v>14</v>
      </c>
      <c r="C297" s="95">
        <f t="shared" si="28"/>
        <v>5063.6199999999862</v>
      </c>
      <c r="D297" s="96">
        <v>0.18003687788354927</v>
      </c>
      <c r="E297" s="95">
        <f t="shared" si="33"/>
        <v>0.41047646998166876</v>
      </c>
      <c r="F297" s="159">
        <f t="shared" si="32"/>
        <v>1.8132318877879028</v>
      </c>
      <c r="G297" s="98">
        <f t="shared" si="30"/>
        <v>1.4747492900336123</v>
      </c>
    </row>
    <row r="298" spans="1:7" x14ac:dyDescent="0.25">
      <c r="A298" s="93">
        <f>2018</f>
        <v>2018</v>
      </c>
      <c r="B298" s="94" t="s">
        <v>15</v>
      </c>
      <c r="C298" s="95">
        <f t="shared" si="28"/>
        <v>5067.1599999999862</v>
      </c>
      <c r="D298" s="96">
        <v>6.9910459315658535E-2</v>
      </c>
      <c r="E298" s="95">
        <f t="shared" si="33"/>
        <v>0.48067389528287929</v>
      </c>
      <c r="F298" s="159">
        <f t="shared" si="32"/>
        <v>1.5593182291916863</v>
      </c>
      <c r="G298" s="98">
        <f t="shared" si="30"/>
        <v>1.4737190063072807</v>
      </c>
    </row>
    <row r="299" spans="1:7" x14ac:dyDescent="0.25">
      <c r="A299" s="93">
        <f>2018</f>
        <v>2018</v>
      </c>
      <c r="B299" s="94" t="s">
        <v>16</v>
      </c>
      <c r="C299" s="95">
        <f t="shared" si="28"/>
        <v>5077.7999999999865</v>
      </c>
      <c r="D299" s="96">
        <v>0.20997955462231932</v>
      </c>
      <c r="E299" s="95">
        <f t="shared" si="33"/>
        <v>0.69166276680971972</v>
      </c>
      <c r="F299" s="159">
        <f t="shared" si="32"/>
        <v>1.6912493616509705</v>
      </c>
      <c r="G299" s="98">
        <f t="shared" si="30"/>
        <v>1.4706309819213044</v>
      </c>
    </row>
    <row r="300" spans="1:7" x14ac:dyDescent="0.25">
      <c r="A300" s="93">
        <f>2018</f>
        <v>2018</v>
      </c>
      <c r="B300" s="94" t="s">
        <v>17</v>
      </c>
      <c r="C300" s="95">
        <f t="shared" si="28"/>
        <v>5099.6299999999865</v>
      </c>
      <c r="D300" s="96">
        <v>0.42991059120092157</v>
      </c>
      <c r="E300" s="95">
        <f t="shared" si="33"/>
        <v>1.1245468895005217</v>
      </c>
      <c r="F300" s="159">
        <f t="shared" si="32"/>
        <v>1.7620072914775076</v>
      </c>
      <c r="G300" s="98">
        <f t="shared" si="30"/>
        <v>1.4643356478803362</v>
      </c>
    </row>
    <row r="301" spans="1:7" x14ac:dyDescent="0.25">
      <c r="A301" s="93">
        <f>2018</f>
        <v>2018</v>
      </c>
      <c r="B301" s="94" t="s">
        <v>18</v>
      </c>
      <c r="C301" s="95">
        <f t="shared" si="28"/>
        <v>5172.5499999999865</v>
      </c>
      <c r="D301" s="96">
        <v>1.4299076599674887</v>
      </c>
      <c r="E301" s="95">
        <f t="shared" si="33"/>
        <v>2.5705345315809147</v>
      </c>
      <c r="F301" s="159">
        <f t="shared" si="32"/>
        <v>3.5276104317194523</v>
      </c>
      <c r="G301" s="98">
        <f t="shared" si="30"/>
        <v>1.4436921827725202</v>
      </c>
    </row>
    <row r="302" spans="1:7" x14ac:dyDescent="0.25">
      <c r="A302" s="93">
        <f>2018</f>
        <v>2018</v>
      </c>
      <c r="B302" s="94" t="s">
        <v>19</v>
      </c>
      <c r="C302" s="95">
        <f t="shared" si="28"/>
        <v>5185.479999999985</v>
      </c>
      <c r="D302" s="96">
        <v>0.24997341736665568</v>
      </c>
      <c r="E302" s="95">
        <f t="shared" si="33"/>
        <v>2.8269336019607572</v>
      </c>
      <c r="F302" s="159">
        <f t="shared" si="32"/>
        <v>3.6103412930412526</v>
      </c>
      <c r="G302" s="98">
        <f t="shared" si="30"/>
        <v>1.4400923347501102</v>
      </c>
    </row>
    <row r="303" spans="1:7" x14ac:dyDescent="0.25">
      <c r="A303" s="93">
        <f>2018</f>
        <v>2018</v>
      </c>
      <c r="B303" s="94" t="s">
        <v>20</v>
      </c>
      <c r="C303" s="95">
        <f t="shared" si="28"/>
        <v>5185.479999999985</v>
      </c>
      <c r="D303" s="96">
        <v>0</v>
      </c>
      <c r="E303" s="95">
        <f t="shared" si="33"/>
        <v>2.8269336019607572</v>
      </c>
      <c r="F303" s="159">
        <f t="shared" si="32"/>
        <v>3.6414039561968092</v>
      </c>
      <c r="G303" s="98">
        <f t="shared" si="30"/>
        <v>1.4400923347501102</v>
      </c>
    </row>
    <row r="304" spans="1:7" x14ac:dyDescent="0.25">
      <c r="A304" s="93">
        <f>2018</f>
        <v>2018</v>
      </c>
      <c r="B304" s="94" t="s">
        <v>21</v>
      </c>
      <c r="C304" s="95">
        <f t="shared" si="28"/>
        <v>5201.0399999999854</v>
      </c>
      <c r="D304" s="96">
        <v>0.3000686532394381</v>
      </c>
      <c r="E304" s="95">
        <f t="shared" si="33"/>
        <v>3.1354849967875742</v>
      </c>
      <c r="F304" s="159">
        <f t="shared" si="32"/>
        <v>3.9731802834301888</v>
      </c>
      <c r="G304" s="98">
        <f t="shared" si="30"/>
        <v>1.4357839970467445</v>
      </c>
    </row>
    <row r="305" spans="1:7" x14ac:dyDescent="0.25">
      <c r="A305" s="93">
        <f>2018</f>
        <v>2018</v>
      </c>
      <c r="B305" s="94" t="s">
        <v>22</v>
      </c>
      <c r="C305" s="95">
        <f t="shared" si="28"/>
        <v>5221.8399999999856</v>
      </c>
      <c r="D305" s="96">
        <v>0.39992001599680194</v>
      </c>
      <c r="E305" s="95">
        <f t="shared" si="33"/>
        <v>3.5479444448851094</v>
      </c>
      <c r="F305" s="159">
        <f t="shared" si="32"/>
        <v>4.004142766093044</v>
      </c>
      <c r="G305" s="98">
        <f t="shared" si="30"/>
        <v>1.4300648813445069</v>
      </c>
    </row>
    <row r="306" spans="1:7" x14ac:dyDescent="0.25">
      <c r="A306" s="93">
        <f>2018</f>
        <v>2018</v>
      </c>
      <c r="B306" s="94" t="s">
        <v>23</v>
      </c>
      <c r="C306" s="95">
        <f t="shared" si="28"/>
        <v>5208.7899999999854</v>
      </c>
      <c r="D306" s="96">
        <v>-0.24991190844606548</v>
      </c>
      <c r="E306" s="95">
        <f t="shared" si="33"/>
        <v>3.2891658007662139</v>
      </c>
      <c r="F306" s="159">
        <f t="shared" si="32"/>
        <v>3.5577672450813447</v>
      </c>
      <c r="G306" s="98">
        <f t="shared" si="30"/>
        <v>1.4336477377663528</v>
      </c>
    </row>
    <row r="307" spans="1:7" x14ac:dyDescent="0.25">
      <c r="A307" s="93">
        <f>2018</f>
        <v>2018</v>
      </c>
      <c r="B307" s="94" t="s">
        <v>12</v>
      </c>
      <c r="C307" s="95">
        <f t="shared" si="28"/>
        <v>5216.0799999999854</v>
      </c>
      <c r="D307" s="96">
        <v>0.13995572868170658</v>
      </c>
      <c r="E307" s="95">
        <f t="shared" si="33"/>
        <v>3.433724905411939</v>
      </c>
      <c r="F307" s="159">
        <f t="shared" si="32"/>
        <v>3.433724905411939</v>
      </c>
      <c r="G307" s="98">
        <f t="shared" si="30"/>
        <v>1.4316440698762289</v>
      </c>
    </row>
    <row r="308" spans="1:7" x14ac:dyDescent="0.25">
      <c r="A308" s="93">
        <f>2019</f>
        <v>2019</v>
      </c>
      <c r="B308" s="94" t="s">
        <v>13</v>
      </c>
      <c r="C308" s="95">
        <f t="shared" si="28"/>
        <v>5234.8599999999851</v>
      </c>
      <c r="D308" s="96">
        <v>0.36004049017652751</v>
      </c>
      <c r="E308" s="95">
        <f t="shared" ref="E308:E319" si="34">+((C308/$C$307)-1)*100</f>
        <v>0.36004049017652751</v>
      </c>
      <c r="F308" s="159">
        <f t="shared" si="32"/>
        <v>3.5678956656616023</v>
      </c>
      <c r="G308" s="98">
        <f t="shared" si="30"/>
        <v>1.4265080632528857</v>
      </c>
    </row>
    <row r="309" spans="1:7" x14ac:dyDescent="0.25">
      <c r="A309" s="99">
        <f>2019</f>
        <v>2019</v>
      </c>
      <c r="B309" s="100" t="s">
        <v>14</v>
      </c>
      <c r="C309" s="101">
        <f t="shared" si="28"/>
        <v>5263.1299999999856</v>
      </c>
      <c r="D309" s="102">
        <v>0.54003354435459006</v>
      </c>
      <c r="E309" s="101">
        <f t="shared" si="34"/>
        <v>0.90201837395131879</v>
      </c>
      <c r="F309" s="160">
        <f t="shared" si="32"/>
        <v>3.9400665926748069</v>
      </c>
      <c r="G309" s="98">
        <f t="shared" si="30"/>
        <v>1.4188458198828453</v>
      </c>
    </row>
    <row r="310" spans="1:7" x14ac:dyDescent="0.25">
      <c r="A310" s="99">
        <f>2019</f>
        <v>2019</v>
      </c>
      <c r="B310" s="100" t="s">
        <v>15</v>
      </c>
      <c r="C310" s="101">
        <f t="shared" si="28"/>
        <v>5303.6599999999853</v>
      </c>
      <c r="D310" s="102">
        <v>0.77007408139262434</v>
      </c>
      <c r="E310" s="101">
        <f t="shared" si="34"/>
        <v>1.6790386650511469</v>
      </c>
      <c r="F310" s="160">
        <f t="shared" si="32"/>
        <v>4.6673087094151411</v>
      </c>
      <c r="G310" s="98">
        <f t="shared" si="30"/>
        <v>1.4080031525399441</v>
      </c>
    </row>
    <row r="311" spans="1:7" x14ac:dyDescent="0.25">
      <c r="A311" s="99">
        <f>2019</f>
        <v>2019</v>
      </c>
      <c r="B311" s="100" t="s">
        <v>16</v>
      </c>
      <c r="C311" s="101">
        <f t="shared" si="28"/>
        <v>5335.479999999985</v>
      </c>
      <c r="D311" s="102">
        <v>0.59996304438820758</v>
      </c>
      <c r="E311" s="101">
        <f t="shared" si="34"/>
        <v>2.2890753209306558</v>
      </c>
      <c r="F311" s="160">
        <f t="shared" si="32"/>
        <v>5.0746386230257068</v>
      </c>
      <c r="G311" s="98">
        <f t="shared" si="30"/>
        <v>1.3996060335714875</v>
      </c>
    </row>
    <row r="312" spans="1:7" x14ac:dyDescent="0.25">
      <c r="A312" s="99">
        <f>2019</f>
        <v>2019</v>
      </c>
      <c r="B312" s="100" t="s">
        <v>17</v>
      </c>
      <c r="C312" s="101">
        <f t="shared" si="28"/>
        <v>5343.479999999985</v>
      </c>
      <c r="D312" s="102">
        <v>0.14993964929115311</v>
      </c>
      <c r="E312" s="101">
        <f t="shared" si="34"/>
        <v>2.4424472017300358</v>
      </c>
      <c r="F312" s="160">
        <f t="shared" si="32"/>
        <v>4.7817194580783262</v>
      </c>
      <c r="G312" s="98">
        <f t="shared" si="30"/>
        <v>1.3975106110624538</v>
      </c>
    </row>
    <row r="313" spans="1:7" x14ac:dyDescent="0.25">
      <c r="A313" s="99">
        <f>2019</f>
        <v>2019</v>
      </c>
      <c r="B313" s="100" t="s">
        <v>18</v>
      </c>
      <c r="C313" s="101">
        <f t="shared" si="28"/>
        <v>5344.0099999999866</v>
      </c>
      <c r="D313" s="102">
        <v>9.9186298068154599E-3</v>
      </c>
      <c r="E313" s="101">
        <f t="shared" si="34"/>
        <v>2.4526080888330304</v>
      </c>
      <c r="F313" s="160">
        <f t="shared" si="32"/>
        <v>3.3148060434408544</v>
      </c>
      <c r="G313" s="98">
        <f t="shared" si="30"/>
        <v>1.397372010905668</v>
      </c>
    </row>
    <row r="314" spans="1:7" x14ac:dyDescent="0.25">
      <c r="A314" s="99">
        <f>2019</f>
        <v>2019</v>
      </c>
      <c r="B314" s="100" t="s">
        <v>19</v>
      </c>
      <c r="C314" s="101">
        <f t="shared" si="28"/>
        <v>5349.3499999999867</v>
      </c>
      <c r="D314" s="102">
        <v>9.9924962715269849E-2</v>
      </c>
      <c r="E314" s="101">
        <f t="shared" si="34"/>
        <v>2.5549838192665986</v>
      </c>
      <c r="F314" s="160">
        <f t="shared" si="32"/>
        <v>3.1601703217446042</v>
      </c>
      <c r="G314" s="98">
        <f t="shared" si="30"/>
        <v>1.3959770813276375</v>
      </c>
    </row>
    <row r="315" spans="1:7" x14ac:dyDescent="0.25">
      <c r="A315" s="99">
        <f>2019</f>
        <v>2019</v>
      </c>
      <c r="B315" s="100" t="s">
        <v>20</v>
      </c>
      <c r="C315" s="101">
        <f t="shared" si="28"/>
        <v>5355.7699999999868</v>
      </c>
      <c r="D315" s="102">
        <v>0.12001458121080333</v>
      </c>
      <c r="E315" s="101">
        <f t="shared" si="34"/>
        <v>2.6780647536081004</v>
      </c>
      <c r="F315" s="160">
        <f t="shared" si="32"/>
        <v>3.28397756813259</v>
      </c>
      <c r="G315" s="98">
        <f t="shared" si="30"/>
        <v>1.3943037135649958</v>
      </c>
    </row>
    <row r="316" spans="1:7" x14ac:dyDescent="0.25">
      <c r="A316" s="99">
        <f>2019</f>
        <v>2019</v>
      </c>
      <c r="B316" s="100" t="s">
        <v>21</v>
      </c>
      <c r="C316" s="101">
        <f t="shared" si="28"/>
        <v>5353.0899999999865</v>
      </c>
      <c r="D316" s="102">
        <v>-5.0039490120001862E-2</v>
      </c>
      <c r="E316" s="101">
        <f t="shared" si="34"/>
        <v>2.6266851735403218</v>
      </c>
      <c r="F316" s="160">
        <f t="shared" si="32"/>
        <v>2.9234537707843344</v>
      </c>
      <c r="G316" s="98">
        <f t="shared" si="30"/>
        <v>1.3950017653355349</v>
      </c>
    </row>
    <row r="317" spans="1:7" x14ac:dyDescent="0.25">
      <c r="A317" s="99">
        <f>2019</f>
        <v>2019</v>
      </c>
      <c r="B317" s="100" t="s">
        <v>22</v>
      </c>
      <c r="C317" s="101">
        <f t="shared" si="28"/>
        <v>5355.2299999999859</v>
      </c>
      <c r="D317" s="102">
        <v>3.9976910532035781E-2</v>
      </c>
      <c r="E317" s="101">
        <f t="shared" si="34"/>
        <v>2.6677121516541336</v>
      </c>
      <c r="F317" s="160">
        <f t="shared" si="32"/>
        <v>2.5544635607372301</v>
      </c>
      <c r="G317" s="98">
        <f t="shared" si="30"/>
        <v>1.3944443095814745</v>
      </c>
    </row>
    <row r="318" spans="1:7" x14ac:dyDescent="0.25">
      <c r="A318" s="99">
        <f>2019</f>
        <v>2019</v>
      </c>
      <c r="B318" s="100" t="s">
        <v>23</v>
      </c>
      <c r="C318" s="101">
        <f t="shared" si="28"/>
        <v>5384.149999999986</v>
      </c>
      <c r="D318" s="102">
        <v>0.54003282772168149</v>
      </c>
      <c r="E318" s="101">
        <f t="shared" si="34"/>
        <v>3.222151500743875</v>
      </c>
      <c r="F318" s="160">
        <f t="shared" si="32"/>
        <v>3.3666168150376707</v>
      </c>
      <c r="G318" s="98">
        <f t="shared" si="30"/>
        <v>1.3869543010503049</v>
      </c>
    </row>
    <row r="319" spans="1:7" x14ac:dyDescent="0.25">
      <c r="A319" s="99">
        <f>2019</f>
        <v>2019</v>
      </c>
      <c r="B319" s="100" t="s">
        <v>12</v>
      </c>
      <c r="C319" s="101">
        <f t="shared" si="28"/>
        <v>5449.8399999999856</v>
      </c>
      <c r="D319" s="102">
        <v>1.2200625911239493</v>
      </c>
      <c r="E319" s="101">
        <f t="shared" si="34"/>
        <v>4.4815263569577324</v>
      </c>
      <c r="F319" s="160">
        <f t="shared" si="32"/>
        <v>4.4815263569577324</v>
      </c>
      <c r="G319" s="98">
        <f t="shared" si="30"/>
        <v>1.37023655740352</v>
      </c>
    </row>
    <row r="320" spans="1:7" x14ac:dyDescent="0.25">
      <c r="A320" s="99">
        <f>2020</f>
        <v>2020</v>
      </c>
      <c r="B320" s="100" t="s">
        <v>13</v>
      </c>
      <c r="C320" s="101">
        <f t="shared" si="28"/>
        <v>5460.189999999985</v>
      </c>
      <c r="D320" s="102">
        <v>0.18991383233268877</v>
      </c>
      <c r="E320" s="101">
        <f t="shared" ref="E320:E331" si="35">+((C320/$C$319)-1)*100</f>
        <v>0.18991383233268877</v>
      </c>
      <c r="F320" s="160">
        <f t="shared" si="32"/>
        <v>4.3044131075138603</v>
      </c>
      <c r="G320" s="98">
        <f t="shared" si="30"/>
        <v>1.3676392213457773</v>
      </c>
    </row>
    <row r="321" spans="1:7" x14ac:dyDescent="0.25">
      <c r="A321" s="99">
        <f>2020</f>
        <v>2020</v>
      </c>
      <c r="B321" s="100" t="s">
        <v>14</v>
      </c>
      <c r="C321" s="101">
        <f t="shared" si="28"/>
        <v>5469.4699999999857</v>
      </c>
      <c r="D321" s="102">
        <v>0.1699574556929484</v>
      </c>
      <c r="E321" s="101">
        <f t="shared" si="35"/>
        <v>0.3601940607430798</v>
      </c>
      <c r="F321" s="160">
        <f t="shared" si="32"/>
        <v>3.920480778548141</v>
      </c>
      <c r="G321" s="98">
        <f t="shared" si="30"/>
        <v>1.3653187603186414</v>
      </c>
    </row>
    <row r="322" spans="1:7" x14ac:dyDescent="0.25">
      <c r="A322" s="99">
        <f>2020</f>
        <v>2020</v>
      </c>
      <c r="B322" s="100" t="s">
        <v>15</v>
      </c>
      <c r="C322" s="101">
        <f t="shared" si="28"/>
        <v>5479.3199999999852</v>
      </c>
      <c r="D322" s="102">
        <v>0.18009057550365526</v>
      </c>
      <c r="E322" s="101">
        <f t="shared" si="35"/>
        <v>0.54093331180364856</v>
      </c>
      <c r="F322" s="160">
        <f t="shared" si="32"/>
        <v>3.3120524317169719</v>
      </c>
      <c r="G322" s="98">
        <f t="shared" si="30"/>
        <v>1.3628643700313177</v>
      </c>
    </row>
    <row r="323" spans="1:7" x14ac:dyDescent="0.25">
      <c r="A323" s="99">
        <f>2020</f>
        <v>2020</v>
      </c>
      <c r="B323" s="100" t="s">
        <v>16</v>
      </c>
      <c r="C323" s="101">
        <f t="shared" si="28"/>
        <v>5466.7199999999857</v>
      </c>
      <c r="D323" s="102">
        <v>-0.22995554192855039</v>
      </c>
      <c r="E323" s="101">
        <f t="shared" si="35"/>
        <v>0.30973386374646417</v>
      </c>
      <c r="F323" s="160">
        <f t="shared" si="32"/>
        <v>2.4597599466215092</v>
      </c>
      <c r="G323" s="98">
        <f t="shared" si="30"/>
        <v>1.3660055755553604</v>
      </c>
    </row>
    <row r="324" spans="1:7" x14ac:dyDescent="0.25">
      <c r="A324" s="99">
        <f>2020</f>
        <v>2020</v>
      </c>
      <c r="B324" s="100" t="s">
        <v>17</v>
      </c>
      <c r="C324" s="101">
        <f t="shared" si="28"/>
        <v>5453.0499999999856</v>
      </c>
      <c r="D324" s="102">
        <v>-0.25005853601428596</v>
      </c>
      <c r="E324" s="101">
        <f t="shared" si="35"/>
        <v>5.8900811766959826E-2</v>
      </c>
      <c r="F324" s="160">
        <f t="shared" si="32"/>
        <v>2.0505363545854083</v>
      </c>
      <c r="G324" s="98">
        <f t="shared" si="30"/>
        <v>1.3694299520451856</v>
      </c>
    </row>
    <row r="325" spans="1:7" x14ac:dyDescent="0.25">
      <c r="A325" s="99">
        <f>2020</f>
        <v>2020</v>
      </c>
      <c r="B325" s="100" t="s">
        <v>18</v>
      </c>
      <c r="C325" s="101">
        <f t="shared" si="28"/>
        <v>5469.4099999999853</v>
      </c>
      <c r="D325" s="102">
        <v>0.3000155876069277</v>
      </c>
      <c r="E325" s="101">
        <f t="shared" si="35"/>
        <v>0.35909311099040497</v>
      </c>
      <c r="F325" s="160">
        <f t="shared" si="32"/>
        <v>2.3465524952235972</v>
      </c>
      <c r="G325" s="98">
        <f t="shared" si="30"/>
        <v>1.3653337380083044</v>
      </c>
    </row>
    <row r="326" spans="1:7" x14ac:dyDescent="0.25">
      <c r="A326" s="99">
        <f>2020</f>
        <v>2020</v>
      </c>
      <c r="B326" s="100" t="s">
        <v>19</v>
      </c>
      <c r="C326" s="101">
        <f t="shared" si="28"/>
        <v>5493.479999999985</v>
      </c>
      <c r="D326" s="102">
        <v>0.44008403100150861</v>
      </c>
      <c r="E326" s="101">
        <f t="shared" si="35"/>
        <v>0.80075745342982341</v>
      </c>
      <c r="F326" s="160">
        <f t="shared" si="32"/>
        <v>2.6943460420424614</v>
      </c>
      <c r="G326" s="98">
        <f t="shared" si="30"/>
        <v>1.3593514493545076</v>
      </c>
    </row>
    <row r="327" spans="1:7" x14ac:dyDescent="0.25">
      <c r="A327" s="99">
        <f>2020</f>
        <v>2020</v>
      </c>
      <c r="B327" s="100" t="s">
        <v>20</v>
      </c>
      <c r="C327" s="101">
        <f t="shared" si="28"/>
        <v>5513.2599999999848</v>
      </c>
      <c r="D327" s="102">
        <v>0.36006320219605925</v>
      </c>
      <c r="E327" s="101">
        <f t="shared" si="35"/>
        <v>1.1637038885545126</v>
      </c>
      <c r="F327" s="160">
        <f t="shared" si="32"/>
        <v>2.9405669026115522</v>
      </c>
      <c r="G327" s="98">
        <f t="shared" si="30"/>
        <v>1.3544744851503467</v>
      </c>
    </row>
    <row r="328" spans="1:7" x14ac:dyDescent="0.25">
      <c r="A328" s="99">
        <f>2020</f>
        <v>2020</v>
      </c>
      <c r="B328" s="100" t="s">
        <v>21</v>
      </c>
      <c r="C328" s="101">
        <f t="shared" ref="C328:C380" si="36">+C327*(1+D328/100)</f>
        <v>5561.2299999999841</v>
      </c>
      <c r="D328" s="102">
        <v>0.87008412445630512</v>
      </c>
      <c r="E328" s="101">
        <f t="shared" si="35"/>
        <v>2.0439132158008189</v>
      </c>
      <c r="F328" s="160">
        <f t="shared" si="32"/>
        <v>3.8882215692244593</v>
      </c>
      <c r="G328" s="98">
        <f t="shared" si="30"/>
        <v>1.3427910731978359</v>
      </c>
    </row>
    <row r="329" spans="1:7" x14ac:dyDescent="0.25">
      <c r="A329" s="99">
        <f>2020</f>
        <v>2020</v>
      </c>
      <c r="B329" s="100" t="s">
        <v>22</v>
      </c>
      <c r="C329" s="101">
        <f t="shared" si="36"/>
        <v>5610.7199999999848</v>
      </c>
      <c r="D329" s="102">
        <v>0.88991104485880435</v>
      </c>
      <c r="E329" s="101">
        <f t="shared" si="35"/>
        <v>2.9520132701143398</v>
      </c>
      <c r="F329" s="160">
        <f t="shared" si="32"/>
        <v>4.7708501782369739</v>
      </c>
      <c r="G329" s="98">
        <f t="shared" si="30"/>
        <v>1.3309468303533236</v>
      </c>
    </row>
    <row r="330" spans="1:7" x14ac:dyDescent="0.25">
      <c r="A330" s="99">
        <f>2020</f>
        <v>2020</v>
      </c>
      <c r="B330" s="100" t="s">
        <v>23</v>
      </c>
      <c r="C330" s="101">
        <f t="shared" si="36"/>
        <v>5664.019999999985</v>
      </c>
      <c r="D330" s="102">
        <v>0.94996720563493842</v>
      </c>
      <c r="E330" s="101">
        <f t="shared" si="35"/>
        <v>3.9300236337213468</v>
      </c>
      <c r="F330" s="160">
        <f t="shared" si="32"/>
        <v>5.1980349730226694</v>
      </c>
      <c r="G330" s="98">
        <f t="shared" si="30"/>
        <v>1.3184222513338582</v>
      </c>
    </row>
    <row r="331" spans="1:7" x14ac:dyDescent="0.25">
      <c r="A331" s="99">
        <f>2020</f>
        <v>2020</v>
      </c>
      <c r="B331" s="100" t="s">
        <v>12</v>
      </c>
      <c r="C331" s="101">
        <f t="shared" si="36"/>
        <v>5746.7099999999837</v>
      </c>
      <c r="D331" s="102">
        <v>1.459917161309443</v>
      </c>
      <c r="E331" s="101">
        <f t="shared" si="35"/>
        <v>5.4473158845030012</v>
      </c>
      <c r="F331" s="160">
        <f t="shared" si="32"/>
        <v>5.4473158845030012</v>
      </c>
      <c r="G331" s="98">
        <f t="shared" si="30"/>
        <v>1.2994513382439694</v>
      </c>
    </row>
    <row r="332" spans="1:7" x14ac:dyDescent="0.25">
      <c r="A332" s="99">
        <f>2021</f>
        <v>2021</v>
      </c>
      <c r="B332" s="100" t="s">
        <v>13</v>
      </c>
      <c r="C332" s="101">
        <f t="shared" si="36"/>
        <v>5762.2299999999832</v>
      </c>
      <c r="D332" s="102">
        <v>0.27006756909604412</v>
      </c>
      <c r="E332" s="101">
        <f t="shared" ref="E332:E343" si="37">+((C332/$C$331)-1)*100</f>
        <v>0.27006756909604412</v>
      </c>
      <c r="F332" s="160">
        <f t="shared" si="32"/>
        <v>5.5316756376609488</v>
      </c>
      <c r="G332" s="98">
        <f t="shared" si="30"/>
        <v>1.2959513938180187</v>
      </c>
    </row>
    <row r="333" spans="1:7" x14ac:dyDescent="0.25">
      <c r="A333" s="99">
        <f>2021</f>
        <v>2021</v>
      </c>
      <c r="B333" s="100" t="s">
        <v>14</v>
      </c>
      <c r="C333" s="101">
        <f t="shared" si="36"/>
        <v>5809.4799999999832</v>
      </c>
      <c r="D333" s="102">
        <v>0.8199950366438058</v>
      </c>
      <c r="E333" s="101">
        <f t="shared" si="37"/>
        <v>1.092277146402032</v>
      </c>
      <c r="F333" s="160">
        <f t="shared" si="32"/>
        <v>6.2165072667003995</v>
      </c>
      <c r="G333" s="98">
        <f t="shared" si="30"/>
        <v>1.2854110867065558</v>
      </c>
    </row>
    <row r="334" spans="1:7" x14ac:dyDescent="0.25">
      <c r="A334" s="99">
        <f>2021</f>
        <v>2021</v>
      </c>
      <c r="B334" s="100" t="s">
        <v>15</v>
      </c>
      <c r="C334" s="101">
        <f t="shared" si="36"/>
        <v>5859.4399999999823</v>
      </c>
      <c r="D334" s="102">
        <v>0.85997369816230851</v>
      </c>
      <c r="E334" s="101">
        <f t="shared" si="37"/>
        <v>1.9616441407344087</v>
      </c>
      <c r="F334" s="160">
        <f t="shared" si="32"/>
        <v>6.9373571903082576</v>
      </c>
      <c r="G334" s="98">
        <f t="shared" si="30"/>
        <v>1.2744511420886642</v>
      </c>
    </row>
    <row r="335" spans="1:7" x14ac:dyDescent="0.25">
      <c r="A335" s="99">
        <f>2021</f>
        <v>2021</v>
      </c>
      <c r="B335" s="100" t="s">
        <v>16</v>
      </c>
      <c r="C335" s="101">
        <f t="shared" si="36"/>
        <v>5881.7099999999828</v>
      </c>
      <c r="D335" s="102">
        <v>0.38007045041847931</v>
      </c>
      <c r="E335" s="101">
        <f t="shared" si="37"/>
        <v>2.3491702208741971</v>
      </c>
      <c r="F335" s="160">
        <f t="shared" si="32"/>
        <v>7.5912064272543267</v>
      </c>
      <c r="G335" s="98">
        <f t="shared" si="30"/>
        <v>1.2696256700857407</v>
      </c>
    </row>
    <row r="336" spans="1:7" x14ac:dyDescent="0.25">
      <c r="A336" s="99">
        <f>2021</f>
        <v>2021</v>
      </c>
      <c r="B336" s="100" t="s">
        <v>17</v>
      </c>
      <c r="C336" s="101">
        <f t="shared" si="36"/>
        <v>5938.1699999999828</v>
      </c>
      <c r="D336" s="102">
        <v>0.95992491979373096</v>
      </c>
      <c r="E336" s="101">
        <f t="shared" si="37"/>
        <v>3.3316454110264848</v>
      </c>
      <c r="F336" s="160">
        <f t="shared" si="32"/>
        <v>8.8963057371562506</v>
      </c>
      <c r="G336" s="98">
        <f t="shared" si="30"/>
        <v>1.2575540949484438</v>
      </c>
    </row>
    <row r="337" spans="1:7" x14ac:dyDescent="0.25">
      <c r="A337" s="99">
        <f>2021</f>
        <v>2021</v>
      </c>
      <c r="B337" s="100" t="s">
        <v>18</v>
      </c>
      <c r="C337" s="101">
        <f t="shared" si="36"/>
        <v>5973.7999999999838</v>
      </c>
      <c r="D337" s="102">
        <v>0.60001650340089085</v>
      </c>
      <c r="E337" s="101">
        <f t="shared" si="37"/>
        <v>3.9516523367283396</v>
      </c>
      <c r="F337" s="160">
        <f t="shared" si="32"/>
        <v>9.2220184626861101</v>
      </c>
      <c r="G337" s="98">
        <f t="shared" si="30"/>
        <v>1.2500535672436306</v>
      </c>
    </row>
    <row r="338" spans="1:7" x14ac:dyDescent="0.25">
      <c r="A338" s="99">
        <f>2021</f>
        <v>2021</v>
      </c>
      <c r="B338" s="100" t="s">
        <v>19</v>
      </c>
      <c r="C338" s="101">
        <f t="shared" si="36"/>
        <v>6034.7299999999823</v>
      </c>
      <c r="D338" s="102">
        <v>1.0199537982523488</v>
      </c>
      <c r="E338" s="101">
        <f t="shared" si="37"/>
        <v>5.0119111630828606</v>
      </c>
      <c r="F338" s="160">
        <f t="shared" si="32"/>
        <v>9.8525888871898726</v>
      </c>
      <c r="G338" s="98">
        <f t="shared" si="30"/>
        <v>1.2374323292011411</v>
      </c>
    </row>
    <row r="339" spans="1:7" x14ac:dyDescent="0.25">
      <c r="A339" s="99">
        <f>2021</f>
        <v>2021</v>
      </c>
      <c r="B339" s="100" t="s">
        <v>20</v>
      </c>
      <c r="C339" s="101">
        <f t="shared" si="36"/>
        <v>6087.8399999999829</v>
      </c>
      <c r="D339" s="102">
        <v>0.88007251360044947</v>
      </c>
      <c r="E339" s="101">
        <f t="shared" si="37"/>
        <v>5.9360921292356927</v>
      </c>
      <c r="F339" s="160">
        <f t="shared" si="32"/>
        <v>10.421783119243422</v>
      </c>
      <c r="G339" s="98">
        <f t="shared" si="30"/>
        <v>1.2266370338248049</v>
      </c>
    </row>
    <row r="340" spans="1:7" x14ac:dyDescent="0.25">
      <c r="A340" s="99">
        <f>2021</f>
        <v>2021</v>
      </c>
      <c r="B340" s="100" t="s">
        <v>21</v>
      </c>
      <c r="C340" s="101">
        <f t="shared" si="36"/>
        <v>6160.889999999983</v>
      </c>
      <c r="D340" s="102">
        <v>1.1999329811558823</v>
      </c>
      <c r="E340" s="101">
        <f t="shared" si="37"/>
        <v>7.2072542376420801</v>
      </c>
      <c r="F340" s="160">
        <f t="shared" si="32"/>
        <v>10.782866380279188</v>
      </c>
      <c r="G340" s="98">
        <f t="shared" si="30"/>
        <v>1.2120927333550835</v>
      </c>
    </row>
    <row r="341" spans="1:7" x14ac:dyDescent="0.25">
      <c r="A341" s="99">
        <f>2021</f>
        <v>2021</v>
      </c>
      <c r="B341" s="100" t="s">
        <v>22</v>
      </c>
      <c r="C341" s="101">
        <f t="shared" si="36"/>
        <v>6232.3599999999815</v>
      </c>
      <c r="D341" s="102">
        <v>1.1600596667039831</v>
      </c>
      <c r="E341" s="101">
        <f t="shared" si="37"/>
        <v>8.4509223538337341</v>
      </c>
      <c r="F341" s="160">
        <f t="shared" si="32"/>
        <v>11.07950494767158</v>
      </c>
      <c r="G341" s="98">
        <f t="shared" si="30"/>
        <v>1.1981929798663751</v>
      </c>
    </row>
    <row r="342" spans="1:7" x14ac:dyDescent="0.25">
      <c r="A342" s="99">
        <f>2021</f>
        <v>2021</v>
      </c>
      <c r="B342" s="100" t="s">
        <v>23</v>
      </c>
      <c r="C342" s="101">
        <f t="shared" si="36"/>
        <v>6284.7099999999809</v>
      </c>
      <c r="D342" s="102">
        <v>0.83997073339794337</v>
      </c>
      <c r="E342" s="101">
        <f t="shared" si="37"/>
        <v>9.3618783617060775</v>
      </c>
      <c r="F342" s="160">
        <f t="shared" si="32"/>
        <v>10.958471191838971</v>
      </c>
      <c r="G342" s="98">
        <f t="shared" si="30"/>
        <v>1.1882123439267687</v>
      </c>
    </row>
    <row r="343" spans="1:7" x14ac:dyDescent="0.25">
      <c r="A343" s="99">
        <f>2021</f>
        <v>2021</v>
      </c>
      <c r="B343" s="100" t="s">
        <v>12</v>
      </c>
      <c r="C343" s="101">
        <f t="shared" si="36"/>
        <v>6330.5899999999801</v>
      </c>
      <c r="D343" s="102">
        <v>0.73002572911080588</v>
      </c>
      <c r="E343" s="101">
        <f t="shared" si="37"/>
        <v>10.160248211585387</v>
      </c>
      <c r="F343" s="160">
        <f t="shared" si="32"/>
        <v>10.160248211585387</v>
      </c>
      <c r="G343" s="98">
        <f t="shared" ref="G343:G383" si="38">$C$383/C343</f>
        <v>1.1796009534656333</v>
      </c>
    </row>
    <row r="344" spans="1:7" x14ac:dyDescent="0.25">
      <c r="A344" s="99">
        <f>2022</f>
        <v>2022</v>
      </c>
      <c r="B344" s="100" t="s">
        <v>13</v>
      </c>
      <c r="C344" s="101">
        <f t="shared" si="36"/>
        <v>6372.9999999999791</v>
      </c>
      <c r="D344" s="102">
        <v>0.66992176084692545</v>
      </c>
      <c r="E344" s="101">
        <f t="shared" ref="E344:E355" si="39">+((C344/$C$343)-1)*100</f>
        <v>0.66992176084692545</v>
      </c>
      <c r="F344" s="160">
        <f t="shared" si="32"/>
        <v>10.599542191130817</v>
      </c>
      <c r="G344" s="98">
        <f t="shared" si="38"/>
        <v>1.1717511376118004</v>
      </c>
    </row>
    <row r="345" spans="1:7" x14ac:dyDescent="0.25">
      <c r="A345" s="99">
        <f>2022</f>
        <v>2022</v>
      </c>
      <c r="B345" s="100" t="s">
        <v>14</v>
      </c>
      <c r="C345" s="101">
        <f t="shared" si="36"/>
        <v>6436.7299999999786</v>
      </c>
      <c r="D345" s="102">
        <v>1.0000000000000009</v>
      </c>
      <c r="E345" s="101">
        <f t="shared" si="39"/>
        <v>1.6766209784553787</v>
      </c>
      <c r="F345" s="160">
        <f t="shared" si="32"/>
        <v>10.797007649565838</v>
      </c>
      <c r="G345" s="98">
        <f t="shared" si="38"/>
        <v>1.1601496411998025</v>
      </c>
    </row>
    <row r="346" spans="1:7" x14ac:dyDescent="0.25">
      <c r="A346" s="99">
        <f>2022</f>
        <v>2022</v>
      </c>
      <c r="B346" s="100" t="s">
        <v>15</v>
      </c>
      <c r="C346" s="101">
        <f t="shared" si="36"/>
        <v>6546.7999999999793</v>
      </c>
      <c r="D346" s="102">
        <v>1.710029782203093</v>
      </c>
      <c r="E346" s="101">
        <f t="shared" si="39"/>
        <v>3.4153214787247199</v>
      </c>
      <c r="F346" s="160">
        <f t="shared" si="32"/>
        <v>11.730813866171497</v>
      </c>
      <c r="G346" s="98">
        <f t="shared" si="38"/>
        <v>1.1406442842304643</v>
      </c>
    </row>
    <row r="347" spans="1:7" x14ac:dyDescent="0.25">
      <c r="A347" s="99">
        <f>2022</f>
        <v>2022</v>
      </c>
      <c r="B347" s="100" t="s">
        <v>16</v>
      </c>
      <c r="C347" s="101">
        <f t="shared" si="36"/>
        <v>6614.8899999999785</v>
      </c>
      <c r="D347" s="102">
        <v>1.0400501008126062</v>
      </c>
      <c r="E347" s="101">
        <f t="shared" si="39"/>
        <v>4.4908926340198718</v>
      </c>
      <c r="F347" s="160">
        <f t="shared" si="32"/>
        <v>12.465422470676014</v>
      </c>
      <c r="G347" s="98">
        <f t="shared" si="38"/>
        <v>1.1289031261290821</v>
      </c>
    </row>
    <row r="348" spans="1:7" x14ac:dyDescent="0.25">
      <c r="A348" s="99">
        <f>2022</f>
        <v>2022</v>
      </c>
      <c r="B348" s="100" t="s">
        <v>17</v>
      </c>
      <c r="C348" s="101">
        <f t="shared" si="36"/>
        <v>6644.659999999978</v>
      </c>
      <c r="D348" s="102">
        <v>0.45004527664103122</v>
      </c>
      <c r="E348" s="101">
        <f t="shared" si="39"/>
        <v>4.9611489608393455</v>
      </c>
      <c r="F348" s="160">
        <f t="shared" si="32"/>
        <v>11.897436415595998</v>
      </c>
      <c r="G348" s="98">
        <f t="shared" si="38"/>
        <v>1.1238453133794664</v>
      </c>
    </row>
    <row r="349" spans="1:7" x14ac:dyDescent="0.25">
      <c r="A349" s="99">
        <f>2022</f>
        <v>2022</v>
      </c>
      <c r="B349" s="100" t="s">
        <v>18</v>
      </c>
      <c r="C349" s="101">
        <f t="shared" si="36"/>
        <v>6685.8599999999778</v>
      </c>
      <c r="D349" s="102">
        <v>0.62004677440230527</v>
      </c>
      <c r="E349" s="101">
        <f t="shared" si="39"/>
        <v>5.6119571793466161</v>
      </c>
      <c r="F349" s="160">
        <f t="shared" si="32"/>
        <v>11.91971609360869</v>
      </c>
      <c r="G349" s="98">
        <f t="shared" si="38"/>
        <v>1.1169198876434752</v>
      </c>
    </row>
    <row r="350" spans="1:7" x14ac:dyDescent="0.25">
      <c r="A350" s="99">
        <f>2022</f>
        <v>2022</v>
      </c>
      <c r="B350" s="100" t="s">
        <v>19</v>
      </c>
      <c r="C350" s="101">
        <f t="shared" si="36"/>
        <v>6645.739999999978</v>
      </c>
      <c r="D350" s="102">
        <v>-0.60007239158462733</v>
      </c>
      <c r="E350" s="101">
        <f t="shared" si="39"/>
        <v>4.9782089821011732</v>
      </c>
      <c r="F350" s="160">
        <f t="shared" si="32"/>
        <v>10.124893740067865</v>
      </c>
      <c r="G350" s="98">
        <f t="shared" si="38"/>
        <v>1.1236626771435543</v>
      </c>
    </row>
    <row r="351" spans="1:7" x14ac:dyDescent="0.25">
      <c r="A351" s="99">
        <f>2022</f>
        <v>2022</v>
      </c>
      <c r="B351" s="100" t="s">
        <v>20</v>
      </c>
      <c r="C351" s="101">
        <f t="shared" si="36"/>
        <v>6625.1399999999785</v>
      </c>
      <c r="D351" s="102">
        <v>-0.30997300526350857</v>
      </c>
      <c r="E351" s="101">
        <f t="shared" si="39"/>
        <v>4.652804872847538</v>
      </c>
      <c r="F351" s="160">
        <f t="shared" si="32"/>
        <v>8.8257904281320965</v>
      </c>
      <c r="G351" s="98">
        <f t="shared" si="38"/>
        <v>1.1271565582010348</v>
      </c>
    </row>
    <row r="352" spans="1:7" x14ac:dyDescent="0.25">
      <c r="A352" s="99">
        <f>2022</f>
        <v>2022</v>
      </c>
      <c r="B352" s="100" t="s">
        <v>21</v>
      </c>
      <c r="C352" s="101">
        <f t="shared" si="36"/>
        <v>6603.9399999999778</v>
      </c>
      <c r="D352" s="102">
        <v>-0.31999323787875733</v>
      </c>
      <c r="E352" s="101">
        <f t="shared" si="39"/>
        <v>4.3179229740039737</v>
      </c>
      <c r="F352" s="160">
        <f t="shared" si="32"/>
        <v>7.19133112261372</v>
      </c>
      <c r="G352" s="98">
        <f t="shared" si="38"/>
        <v>1.1307749616138252</v>
      </c>
    </row>
    <row r="353" spans="1:7" x14ac:dyDescent="0.25">
      <c r="A353" s="99">
        <f>2022</f>
        <v>2022</v>
      </c>
      <c r="B353" s="100" t="s">
        <v>22</v>
      </c>
      <c r="C353" s="101">
        <f t="shared" si="36"/>
        <v>6634.9799999999777</v>
      </c>
      <c r="D353" s="102">
        <v>0.47002244114877634</v>
      </c>
      <c r="E353" s="101">
        <f t="shared" si="39"/>
        <v>4.8082406221220841</v>
      </c>
      <c r="F353" s="160">
        <f t="shared" si="32"/>
        <v>6.4601531362115994</v>
      </c>
      <c r="G353" s="98">
        <f t="shared" si="38"/>
        <v>1.1254849298716809</v>
      </c>
    </row>
    <row r="354" spans="1:7" x14ac:dyDescent="0.25">
      <c r="A354" s="99">
        <f>2022</f>
        <v>2022</v>
      </c>
      <c r="B354" s="100" t="s">
        <v>23</v>
      </c>
      <c r="C354" s="101">
        <f t="shared" si="36"/>
        <v>6660.1899999999787</v>
      </c>
      <c r="D354" s="102">
        <v>0.37995593053785637</v>
      </c>
      <c r="E354" s="101">
        <f t="shared" si="39"/>
        <v>5.206465748058231</v>
      </c>
      <c r="F354" s="160">
        <f t="shared" si="32"/>
        <v>5.9745000167072071</v>
      </c>
      <c r="G354" s="98">
        <f t="shared" si="38"/>
        <v>1.1212247698639233</v>
      </c>
    </row>
    <row r="355" spans="1:7" x14ac:dyDescent="0.25">
      <c r="A355" s="99">
        <f>2022</f>
        <v>2022</v>
      </c>
      <c r="B355" s="100" t="s">
        <v>12</v>
      </c>
      <c r="C355" s="101">
        <f t="shared" si="36"/>
        <v>6706.1499999999787</v>
      </c>
      <c r="D355" s="102">
        <v>0.69007040339690295</v>
      </c>
      <c r="E355" s="101">
        <f t="shared" si="39"/>
        <v>5.9324644306454788</v>
      </c>
      <c r="F355" s="160">
        <f t="shared" ref="F355:F380" si="40">100*((C355/C343)-1)</f>
        <v>5.9324644306454788</v>
      </c>
      <c r="G355" s="98">
        <f t="shared" si="38"/>
        <v>1.1135405560567544</v>
      </c>
    </row>
    <row r="356" spans="1:7" x14ac:dyDescent="0.25">
      <c r="A356" s="99">
        <f>2023</f>
        <v>2023</v>
      </c>
      <c r="B356" s="100" t="s">
        <v>13</v>
      </c>
      <c r="C356" s="101">
        <f t="shared" si="36"/>
        <v>6736.9999999999782</v>
      </c>
      <c r="D356" s="102">
        <v>0.46002549898227496</v>
      </c>
      <c r="E356" s="101">
        <f t="shared" ref="E356:E367" si="41">+((C356/$C$355)-1)*100</f>
        <v>0.46002549898227496</v>
      </c>
      <c r="F356" s="160">
        <f t="shared" si="40"/>
        <v>5.71159579475915</v>
      </c>
      <c r="G356" s="98">
        <f t="shared" si="38"/>
        <v>1.1084414427786855</v>
      </c>
    </row>
    <row r="357" spans="1:7" x14ac:dyDescent="0.25">
      <c r="A357" s="99">
        <f>2023</f>
        <v>2023</v>
      </c>
      <c r="B357" s="100" t="s">
        <v>14</v>
      </c>
      <c r="C357" s="101">
        <f t="shared" si="36"/>
        <v>6788.8699999999781</v>
      </c>
      <c r="D357" s="102">
        <v>0.76992726732967309</v>
      </c>
      <c r="E357" s="101">
        <f t="shared" si="41"/>
        <v>1.2334946280652792</v>
      </c>
      <c r="F357" s="160">
        <f t="shared" si="40"/>
        <v>5.4707902925864582</v>
      </c>
      <c r="G357" s="98">
        <f t="shared" si="38"/>
        <v>1.0999724549151779</v>
      </c>
    </row>
    <row r="358" spans="1:7" x14ac:dyDescent="0.25">
      <c r="A358" s="99">
        <f>2023</f>
        <v>2023</v>
      </c>
      <c r="B358" s="100" t="s">
        <v>15</v>
      </c>
      <c r="C358" s="101">
        <f t="shared" si="36"/>
        <v>6832.3199999999779</v>
      </c>
      <c r="D358" s="102">
        <v>0.64001814734999662</v>
      </c>
      <c r="E358" s="101">
        <f t="shared" si="41"/>
        <v>1.8814073648814933</v>
      </c>
      <c r="F358" s="160">
        <f t="shared" si="40"/>
        <v>4.3612146392130402</v>
      </c>
      <c r="G358" s="98">
        <f t="shared" si="38"/>
        <v>1.0929772024729527</v>
      </c>
    </row>
    <row r="359" spans="1:7" x14ac:dyDescent="0.25">
      <c r="A359" s="99">
        <f>2023</f>
        <v>2023</v>
      </c>
      <c r="B359" s="100" t="s">
        <v>16</v>
      </c>
      <c r="C359" s="101">
        <f t="shared" si="36"/>
        <v>6868.5299999999788</v>
      </c>
      <c r="D359" s="102">
        <v>0.52998103133343744</v>
      </c>
      <c r="E359" s="101">
        <f t="shared" si="41"/>
        <v>2.4213594983709008</v>
      </c>
      <c r="F359" s="160">
        <f t="shared" si="40"/>
        <v>3.8343797100178767</v>
      </c>
      <c r="G359" s="98">
        <f t="shared" si="38"/>
        <v>1.0872151683111237</v>
      </c>
    </row>
    <row r="360" spans="1:7" x14ac:dyDescent="0.25">
      <c r="A360" s="99">
        <f>2023</f>
        <v>2023</v>
      </c>
      <c r="B360" s="100" t="s">
        <v>17</v>
      </c>
      <c r="C360" s="101">
        <f t="shared" si="36"/>
        <v>6893.2599999999793</v>
      </c>
      <c r="D360" s="102">
        <v>0.36004792874166913</v>
      </c>
      <c r="E360" s="101">
        <f t="shared" si="41"/>
        <v>2.7901254818338606</v>
      </c>
      <c r="F360" s="160">
        <f t="shared" si="40"/>
        <v>3.741350197000326</v>
      </c>
      <c r="G360" s="98">
        <f t="shared" si="38"/>
        <v>1.0833147161140015</v>
      </c>
    </row>
    <row r="361" spans="1:7" x14ac:dyDescent="0.25">
      <c r="A361" s="99">
        <f>2023</f>
        <v>2023</v>
      </c>
      <c r="B361" s="100" t="s">
        <v>18</v>
      </c>
      <c r="C361" s="101">
        <f t="shared" si="36"/>
        <v>6886.369999999979</v>
      </c>
      <c r="D361" s="102">
        <v>-9.9952707427264365E-2</v>
      </c>
      <c r="E361" s="101">
        <f t="shared" si="41"/>
        <v>2.687383968446877</v>
      </c>
      <c r="F361" s="160">
        <f t="shared" si="40"/>
        <v>2.9990158334156192</v>
      </c>
      <c r="G361" s="98">
        <f t="shared" si="38"/>
        <v>1.0843986018758798</v>
      </c>
    </row>
    <row r="362" spans="1:7" x14ac:dyDescent="0.25">
      <c r="A362" s="99">
        <f>2023</f>
        <v>2023</v>
      </c>
      <c r="B362" s="100" t="s">
        <v>19</v>
      </c>
      <c r="C362" s="101">
        <f t="shared" si="36"/>
        <v>6880.1699999999792</v>
      </c>
      <c r="D362" s="102">
        <v>-9.0032920101590364E-2</v>
      </c>
      <c r="E362" s="101">
        <f t="shared" si="41"/>
        <v>2.5949315180841648</v>
      </c>
      <c r="F362" s="160">
        <f t="shared" si="40"/>
        <v>3.5275228943654424</v>
      </c>
      <c r="G362" s="98">
        <f t="shared" si="38"/>
        <v>1.0853757974003553</v>
      </c>
    </row>
    <row r="363" spans="1:7" x14ac:dyDescent="0.25">
      <c r="A363" s="99">
        <f>2023</f>
        <v>2023</v>
      </c>
      <c r="B363" s="100" t="s">
        <v>20</v>
      </c>
      <c r="C363" s="101">
        <f t="shared" si="36"/>
        <v>6893.9299999999794</v>
      </c>
      <c r="D363" s="102">
        <v>0.19999505826164832</v>
      </c>
      <c r="E363" s="101">
        <f t="shared" si="41"/>
        <v>2.8001163111472493</v>
      </c>
      <c r="F363" s="160">
        <f t="shared" si="40"/>
        <v>4.0571218117655183</v>
      </c>
      <c r="G363" s="98">
        <f t="shared" si="38"/>
        <v>1.0832094320656001</v>
      </c>
    </row>
    <row r="364" spans="1:7" x14ac:dyDescent="0.25">
      <c r="A364" s="99">
        <f>2023</f>
        <v>2023</v>
      </c>
      <c r="B364" s="100" t="s">
        <v>21</v>
      </c>
      <c r="C364" s="101">
        <f t="shared" si="36"/>
        <v>6901.5099999999793</v>
      </c>
      <c r="D364" s="102">
        <v>0.10995179817607781</v>
      </c>
      <c r="E364" s="101">
        <f t="shared" si="41"/>
        <v>2.9131468875584599</v>
      </c>
      <c r="F364" s="160">
        <f t="shared" si="40"/>
        <v>4.5059464501495006</v>
      </c>
      <c r="G364" s="98">
        <f t="shared" si="38"/>
        <v>1.082019731913741</v>
      </c>
    </row>
    <row r="365" spans="1:7" x14ac:dyDescent="0.25">
      <c r="A365" s="99">
        <f>2023</f>
        <v>2023</v>
      </c>
      <c r="B365" s="100" t="s">
        <v>22</v>
      </c>
      <c r="C365" s="101">
        <f t="shared" si="36"/>
        <v>6909.789999999979</v>
      </c>
      <c r="D365" s="102">
        <v>0.11997374487611179</v>
      </c>
      <c r="E365" s="101">
        <f t="shared" si="41"/>
        <v>3.0366156438493164</v>
      </c>
      <c r="F365" s="160">
        <f t="shared" si="40"/>
        <v>4.1418361472077114</v>
      </c>
      <c r="G365" s="98">
        <f t="shared" si="38"/>
        <v>1.0807231478814845</v>
      </c>
    </row>
    <row r="366" spans="1:7" x14ac:dyDescent="0.25">
      <c r="A366" s="99">
        <f>2023</f>
        <v>2023</v>
      </c>
      <c r="B366" s="100" t="s">
        <v>23</v>
      </c>
      <c r="C366" s="101">
        <f t="shared" si="36"/>
        <v>6916.6999999999798</v>
      </c>
      <c r="D366" s="102">
        <v>0.10000303916617437</v>
      </c>
      <c r="E366" s="101">
        <f t="shared" si="41"/>
        <v>3.1396553909471381</v>
      </c>
      <c r="F366" s="160">
        <f t="shared" si="40"/>
        <v>3.8513916269656168</v>
      </c>
      <c r="G366" s="98">
        <f t="shared" si="38"/>
        <v>1.0796434715977274</v>
      </c>
    </row>
    <row r="367" spans="1:7" x14ac:dyDescent="0.25">
      <c r="A367" s="99">
        <f>2023</f>
        <v>2023</v>
      </c>
      <c r="B367" s="100" t="s">
        <v>12</v>
      </c>
      <c r="C367" s="101">
        <f t="shared" si="36"/>
        <v>6954.7399999999798</v>
      </c>
      <c r="D367" s="102">
        <v>0.54997325314094514</v>
      </c>
      <c r="E367" s="101">
        <f t="shared" si="41"/>
        <v>3.706895908979102</v>
      </c>
      <c r="F367" s="160">
        <f t="shared" si="40"/>
        <v>3.706895908979102</v>
      </c>
      <c r="G367" s="98">
        <f t="shared" si="38"/>
        <v>1.0737381986961412</v>
      </c>
    </row>
    <row r="368" spans="1:7" x14ac:dyDescent="0.25">
      <c r="A368" s="99">
        <f>2024</f>
        <v>2024</v>
      </c>
      <c r="B368" s="100" t="s">
        <v>13</v>
      </c>
      <c r="C368" s="101">
        <f t="shared" si="36"/>
        <v>6994.3799999999801</v>
      </c>
      <c r="D368" s="102">
        <v>0.56997098381823541</v>
      </c>
      <c r="E368" s="101">
        <f t="shared" ref="E368:E379" si="42">+((C368/$C$367)-1)*100</f>
        <v>0.56997098381823541</v>
      </c>
      <c r="F368" s="160">
        <f t="shared" si="40"/>
        <v>3.8203948344960992</v>
      </c>
      <c r="G368" s="98">
        <f t="shared" si="38"/>
        <v>1.0676528870321602</v>
      </c>
    </row>
    <row r="369" spans="1:7" x14ac:dyDescent="0.25">
      <c r="A369" s="99">
        <f>2024</f>
        <v>2024</v>
      </c>
      <c r="B369" s="100" t="s">
        <v>14</v>
      </c>
      <c r="C369" s="101">
        <f t="shared" si="36"/>
        <v>7051.0299999999788</v>
      </c>
      <c r="D369" s="102">
        <v>0.80993597717022858</v>
      </c>
      <c r="E369" s="101">
        <f t="shared" si="42"/>
        <v>1.3845233610458418</v>
      </c>
      <c r="F369" s="160">
        <f t="shared" si="40"/>
        <v>3.8616146722503464</v>
      </c>
      <c r="G369" s="98">
        <f t="shared" si="38"/>
        <v>1.0590750571193148</v>
      </c>
    </row>
    <row r="370" spans="1:7" x14ac:dyDescent="0.25">
      <c r="A370" s="99">
        <f>2024</f>
        <v>2024</v>
      </c>
      <c r="B370" s="100" t="s">
        <v>15</v>
      </c>
      <c r="C370" s="101">
        <f t="shared" si="36"/>
        <v>7064.4299999999794</v>
      </c>
      <c r="D370" s="102">
        <v>0.1900431568153893</v>
      </c>
      <c r="E370" s="101">
        <f t="shared" si="42"/>
        <v>1.5771977097634116</v>
      </c>
      <c r="F370" s="160">
        <f t="shared" si="40"/>
        <v>3.3972354924828307</v>
      </c>
      <c r="G370" s="98">
        <f t="shared" si="38"/>
        <v>1.0570661751903552</v>
      </c>
    </row>
    <row r="371" spans="1:7" x14ac:dyDescent="0.25">
      <c r="A371" s="99">
        <f>2024</f>
        <v>2024</v>
      </c>
      <c r="B371" s="100" t="s">
        <v>16</v>
      </c>
      <c r="C371" s="101">
        <f t="shared" si="36"/>
        <v>7090.5699999999788</v>
      </c>
      <c r="D371" s="102">
        <v>0.37002277607676159</v>
      </c>
      <c r="E371" s="101">
        <f t="shared" si="42"/>
        <v>1.9530564765900538</v>
      </c>
      <c r="F371" s="160">
        <f t="shared" si="40"/>
        <v>3.2327150059765497</v>
      </c>
      <c r="G371" s="98">
        <f t="shared" si="38"/>
        <v>1.0531692092455194</v>
      </c>
    </row>
    <row r="372" spans="1:7" x14ac:dyDescent="0.25">
      <c r="A372" s="99">
        <f>2024</f>
        <v>2024</v>
      </c>
      <c r="B372" s="100" t="s">
        <v>17</v>
      </c>
      <c r="C372" s="101">
        <f t="shared" si="36"/>
        <v>7123.1899999999787</v>
      </c>
      <c r="D372" s="102">
        <v>0.46004764073974691</v>
      </c>
      <c r="E372" s="101">
        <f t="shared" si="42"/>
        <v>2.4220891075726669</v>
      </c>
      <c r="F372" s="160">
        <f t="shared" si="40"/>
        <v>3.3355770709359689</v>
      </c>
      <c r="G372" s="98">
        <f t="shared" si="38"/>
        <v>1.0483463167485356</v>
      </c>
    </row>
    <row r="373" spans="1:7" x14ac:dyDescent="0.25">
      <c r="A373" s="99">
        <f>2024</f>
        <v>2024</v>
      </c>
      <c r="B373" s="100" t="s">
        <v>18</v>
      </c>
      <c r="C373" s="101">
        <f t="shared" si="36"/>
        <v>7140.9999999999791</v>
      </c>
      <c r="D373" s="102">
        <v>0.25002842827441807</v>
      </c>
      <c r="E373" s="101">
        <f t="shared" si="42"/>
        <v>2.6781734471741592</v>
      </c>
      <c r="F373" s="160">
        <f t="shared" si="40"/>
        <v>3.6975939428175009</v>
      </c>
      <c r="G373" s="98">
        <f t="shared" si="38"/>
        <v>1.0457316902394624</v>
      </c>
    </row>
    <row r="374" spans="1:7" x14ac:dyDescent="0.25">
      <c r="A374" s="99">
        <f>2024</f>
        <v>2024</v>
      </c>
      <c r="B374" s="100" t="s">
        <v>19</v>
      </c>
      <c r="C374" s="101">
        <f t="shared" si="36"/>
        <v>7159.5699999999788</v>
      </c>
      <c r="D374" s="102">
        <v>0.26004761237921059</v>
      </c>
      <c r="E374" s="101">
        <f t="shared" si="42"/>
        <v>2.9451855856581277</v>
      </c>
      <c r="F374" s="160">
        <f t="shared" si="40"/>
        <v>4.0609461684813164</v>
      </c>
      <c r="G374" s="98">
        <f t="shared" si="38"/>
        <v>1.0430193433404522</v>
      </c>
    </row>
    <row r="375" spans="1:7" x14ac:dyDescent="0.25">
      <c r="A375" s="99">
        <f>2024</f>
        <v>2024</v>
      </c>
      <c r="B375" s="100" t="s">
        <v>20</v>
      </c>
      <c r="C375" s="101">
        <f t="shared" si="36"/>
        <v>7149.5499999999793</v>
      </c>
      <c r="D375" s="102">
        <v>-0.1399525390491263</v>
      </c>
      <c r="E375" s="101">
        <f t="shared" si="42"/>
        <v>2.8011111846021564</v>
      </c>
      <c r="F375" s="160">
        <f t="shared" si="40"/>
        <v>3.7078995580169805</v>
      </c>
      <c r="G375" s="98">
        <f t="shared" si="38"/>
        <v>1.0444811211894456</v>
      </c>
    </row>
    <row r="376" spans="1:7" x14ac:dyDescent="0.25">
      <c r="A376" s="99">
        <f>2024</f>
        <v>2024</v>
      </c>
      <c r="B376" s="100" t="s">
        <v>21</v>
      </c>
      <c r="C376" s="101">
        <f t="shared" si="36"/>
        <v>7183.8699999999799</v>
      </c>
      <c r="D376" s="102">
        <v>0.48003021169165105</v>
      </c>
      <c r="E376" s="101">
        <f t="shared" si="42"/>
        <v>3.2945875762429688</v>
      </c>
      <c r="F376" s="160">
        <f t="shared" si="40"/>
        <v>4.0912785752683423</v>
      </c>
      <c r="G376" s="98">
        <f t="shared" si="38"/>
        <v>1.0394912491456556</v>
      </c>
    </row>
    <row r="377" spans="1:7" x14ac:dyDescent="0.25">
      <c r="A377" s="99">
        <f>2024</f>
        <v>2024</v>
      </c>
      <c r="B377" s="100" t="s">
        <v>22</v>
      </c>
      <c r="C377" s="101">
        <f t="shared" si="36"/>
        <v>7227.6899999999796</v>
      </c>
      <c r="D377" s="102">
        <v>0.6099776304415272</v>
      </c>
      <c r="E377" s="101">
        <f t="shared" si="42"/>
        <v>3.9246614539149016</v>
      </c>
      <c r="F377" s="160">
        <f t="shared" si="40"/>
        <v>4.6007186904377884</v>
      </c>
      <c r="G377" s="98">
        <f t="shared" si="38"/>
        <v>1.0331890271995618</v>
      </c>
    </row>
    <row r="378" spans="1:7" x14ac:dyDescent="0.25">
      <c r="A378" s="99">
        <f>2024</f>
        <v>2024</v>
      </c>
      <c r="B378" s="100" t="s">
        <v>23</v>
      </c>
      <c r="C378" s="101">
        <f t="shared" si="36"/>
        <v>7251.5399999999809</v>
      </c>
      <c r="D378" s="102">
        <v>0.32998094826979241</v>
      </c>
      <c r="E378" s="101">
        <f t="shared" si="42"/>
        <v>4.2675930372666926</v>
      </c>
      <c r="F378" s="160">
        <f t="shared" si="40"/>
        <v>4.8410369106655304</v>
      </c>
      <c r="G378" s="98">
        <f t="shared" si="38"/>
        <v>1.0297909133783996</v>
      </c>
    </row>
    <row r="379" spans="1:7" x14ac:dyDescent="0.25">
      <c r="A379" s="99">
        <f>2024</f>
        <v>2024</v>
      </c>
      <c r="B379" s="100" t="s">
        <v>12</v>
      </c>
      <c r="C379" s="101">
        <f t="shared" si="36"/>
        <v>7286.3499999999822</v>
      </c>
      <c r="D379" s="102">
        <v>0.48003596477439459</v>
      </c>
      <c r="E379" s="101">
        <f t="shared" si="42"/>
        <v>4.7681149834501779</v>
      </c>
      <c r="F379" s="160">
        <f t="shared" si="40"/>
        <v>4.7681149834501779</v>
      </c>
      <c r="G379" s="98">
        <f t="shared" si="38"/>
        <v>1.0248711632024261</v>
      </c>
    </row>
    <row r="380" spans="1:7" x14ac:dyDescent="0.25">
      <c r="A380" s="99">
        <f>2024</f>
        <v>2024</v>
      </c>
      <c r="B380" s="100" t="s">
        <v>13</v>
      </c>
      <c r="C380" s="101">
        <f t="shared" si="36"/>
        <v>7286.3499999999822</v>
      </c>
      <c r="D380" s="102">
        <v>0</v>
      </c>
      <c r="E380" s="101">
        <f>+((C380/$C$379)-1)*100</f>
        <v>0</v>
      </c>
      <c r="F380" s="160">
        <f t="shared" si="40"/>
        <v>4.1743514078446342</v>
      </c>
      <c r="G380" s="98">
        <f t="shared" si="38"/>
        <v>1.0248711632024261</v>
      </c>
    </row>
    <row r="381" spans="1:7" x14ac:dyDescent="0.25">
      <c r="A381" s="99">
        <f>2024</f>
        <v>2024</v>
      </c>
      <c r="B381" s="100" t="s">
        <v>14</v>
      </c>
      <c r="C381" s="101">
        <f t="shared" ref="C381" si="43">+C380*(1+D381/100)</f>
        <v>7394.1899999999805</v>
      </c>
      <c r="D381" s="102">
        <v>1.4800277230712089</v>
      </c>
      <c r="E381" s="101">
        <f>+((C381/$C$379)-1)*100</f>
        <v>1.4800277230712089</v>
      </c>
      <c r="F381" s="160">
        <f t="shared" ref="F381" si="44">100*((C381/C369)-1)</f>
        <v>4.8668066934901999</v>
      </c>
      <c r="G381" s="98">
        <f t="shared" si="38"/>
        <v>1.0099240079035026</v>
      </c>
    </row>
    <row r="382" spans="1:7" x14ac:dyDescent="0.25">
      <c r="A382" s="99">
        <f>2024</f>
        <v>2024</v>
      </c>
      <c r="B382" s="100" t="s">
        <v>15</v>
      </c>
      <c r="C382" s="101">
        <f t="shared" ref="C382" si="45">+C381*(1+D382/100)</f>
        <v>7431.8999999999796</v>
      </c>
      <c r="D382" s="102">
        <v>0.50999500959536537</v>
      </c>
      <c r="E382" s="101">
        <f>+((C382/$C$379)-1)*100</f>
        <v>1.9975708001948478</v>
      </c>
      <c r="F382" s="160">
        <f t="shared" ref="F382" si="46">100*((C382/C370)-1)</f>
        <v>5.201693554894038</v>
      </c>
      <c r="G382" s="104">
        <f t="shared" si="38"/>
        <v>1.004799580188108</v>
      </c>
    </row>
    <row r="383" spans="1:7" ht="16.5" thickBot="1" x14ac:dyDescent="0.3">
      <c r="A383" s="105">
        <f>2024</f>
        <v>2024</v>
      </c>
      <c r="B383" s="106" t="s">
        <v>16</v>
      </c>
      <c r="C383" s="107">
        <f t="shared" ref="C383" si="47">+C382*(1+D383/100)</f>
        <v>7467.5699999999797</v>
      </c>
      <c r="D383" s="108">
        <v>0.47995801881079991</v>
      </c>
      <c r="E383" s="107">
        <f>+((C383/$C$379)-1)*100</f>
        <v>2.4871163202426105</v>
      </c>
      <c r="F383" s="161">
        <f t="shared" ref="F383" si="48">100*((C383/C371)-1)</f>
        <v>5.3169209245519378</v>
      </c>
      <c r="G383" s="110">
        <f t="shared" si="38"/>
        <v>1</v>
      </c>
    </row>
    <row r="384" spans="1:7" s="163" customFormat="1" x14ac:dyDescent="0.25">
      <c r="A384" s="174" t="s">
        <v>59</v>
      </c>
      <c r="G384" s="185"/>
    </row>
    <row r="385" spans="1:7" x14ac:dyDescent="0.25">
      <c r="B385" s="186"/>
      <c r="F385" s="166"/>
      <c r="G385" s="168"/>
    </row>
    <row r="386" spans="1:7" x14ac:dyDescent="0.25">
      <c r="A386" s="113" t="s">
        <v>44</v>
      </c>
      <c r="B386" s="186"/>
      <c r="D386" s="166"/>
      <c r="E386" s="166"/>
      <c r="F386" s="166"/>
      <c r="G386" s="168"/>
    </row>
    <row r="387" spans="1:7" x14ac:dyDescent="0.25">
      <c r="A387" s="113" t="s">
        <v>60</v>
      </c>
      <c r="B387" s="187"/>
      <c r="D387" s="166"/>
      <c r="E387" s="166"/>
      <c r="F387" s="166"/>
      <c r="G387" s="168"/>
    </row>
    <row r="388" spans="1:7" x14ac:dyDescent="0.25">
      <c r="A388" s="113" t="s">
        <v>46</v>
      </c>
      <c r="D388" s="166"/>
      <c r="E388" s="166"/>
      <c r="F388" s="166"/>
      <c r="G388" s="168"/>
    </row>
    <row r="389" spans="1:7" x14ac:dyDescent="0.25">
      <c r="A389" s="113"/>
      <c r="D389" s="166"/>
      <c r="E389" s="166"/>
      <c r="F389" s="166"/>
      <c r="G389" s="168"/>
    </row>
    <row r="390" spans="1:7" x14ac:dyDescent="0.25">
      <c r="A390" s="113" t="s">
        <v>65</v>
      </c>
      <c r="D390" s="166"/>
      <c r="E390" s="166"/>
      <c r="F390" s="166"/>
    </row>
    <row r="391" spans="1:7" x14ac:dyDescent="0.25">
      <c r="D391" s="166"/>
      <c r="E391" s="166"/>
      <c r="F391" s="166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144F-12A7-4756-85F7-79BB5F99AC19}">
  <dimension ref="A1:J329"/>
  <sheetViews>
    <sheetView showGridLines="0" topLeftCell="A304" workbookViewId="0">
      <selection activeCell="G229" sqref="G229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0" width="21.42578125" style="55" customWidth="1"/>
    <col min="11" max="16384" width="12.42578125" style="55"/>
  </cols>
  <sheetData>
    <row r="1" spans="1:10" ht="21" customHeight="1" x14ac:dyDescent="0.25">
      <c r="A1" s="714" t="s">
        <v>73</v>
      </c>
      <c r="B1" s="714"/>
      <c r="C1" s="714"/>
      <c r="D1" s="714"/>
      <c r="E1" s="714"/>
      <c r="F1" s="714"/>
      <c r="G1" s="714"/>
      <c r="H1" s="188"/>
    </row>
    <row r="2" spans="1:10" ht="15.75" customHeight="1" x14ac:dyDescent="0.25">
      <c r="A2" s="714"/>
      <c r="B2" s="714"/>
      <c r="C2" s="714"/>
      <c r="D2" s="714"/>
      <c r="E2" s="714"/>
      <c r="F2" s="714"/>
      <c r="G2" s="714"/>
      <c r="H2" s="188"/>
    </row>
    <row r="3" spans="1:10" ht="18" customHeight="1" thickBot="1" x14ac:dyDescent="0.3">
      <c r="A3" s="715"/>
      <c r="B3" s="715"/>
      <c r="C3" s="715"/>
      <c r="D3" s="715"/>
      <c r="E3" s="715"/>
      <c r="F3" s="715"/>
      <c r="G3" s="715"/>
      <c r="H3" s="188"/>
    </row>
    <row r="4" spans="1:10" ht="17.25" customHeight="1" thickBot="1" x14ac:dyDescent="0.3">
      <c r="A4" s="684" t="s">
        <v>67</v>
      </c>
      <c r="B4" s="685"/>
      <c r="C4" s="686"/>
      <c r="D4" s="687" t="s">
        <v>50</v>
      </c>
      <c r="E4" s="688"/>
      <c r="F4" s="688"/>
      <c r="G4" s="688"/>
      <c r="H4" s="189"/>
    </row>
    <row r="5" spans="1:10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695" t="s">
        <v>5</v>
      </c>
    </row>
    <row r="6" spans="1:10" ht="15.75" customHeight="1" thickBot="1" x14ac:dyDescent="0.3">
      <c r="A6" s="66" t="s">
        <v>6</v>
      </c>
      <c r="B6" s="67" t="s">
        <v>7</v>
      </c>
      <c r="C6" s="67" t="s">
        <v>8</v>
      </c>
      <c r="D6" s="67" t="s">
        <v>9</v>
      </c>
      <c r="E6" s="67" t="s">
        <v>10</v>
      </c>
      <c r="F6" s="67" t="s">
        <v>11</v>
      </c>
      <c r="G6" s="696"/>
    </row>
    <row r="7" spans="1:10" ht="16.5" hidden="1" thickBot="1" x14ac:dyDescent="0.3">
      <c r="A7" s="69">
        <v>1993</v>
      </c>
      <c r="B7" s="70" t="s">
        <v>12</v>
      </c>
      <c r="C7" s="71">
        <v>9.32</v>
      </c>
      <c r="D7" s="71">
        <v>38.505800000000001</v>
      </c>
      <c r="E7" s="151">
        <v>2477.15</v>
      </c>
      <c r="F7" s="152">
        <v>2477.15</v>
      </c>
      <c r="G7" s="74">
        <f t="shared" ref="G7:G70" si="0">+$C$321/C7</f>
        <v>79.751767425986827</v>
      </c>
    </row>
    <row r="8" spans="1:10" ht="16.5" hidden="1" thickBot="1" x14ac:dyDescent="0.3">
      <c r="A8" s="75">
        <v>1994</v>
      </c>
      <c r="B8" s="76" t="s">
        <v>13</v>
      </c>
      <c r="C8" s="77">
        <f>C9/(1+D8/100)</f>
        <v>11.599725697464509</v>
      </c>
      <c r="D8" s="77">
        <v>41.497</v>
      </c>
      <c r="E8" s="81"/>
      <c r="F8" s="153"/>
      <c r="G8" s="80">
        <f t="shared" si="0"/>
        <v>64.077935271578554</v>
      </c>
    </row>
    <row r="9" spans="1:10" ht="16.5" hidden="1" thickBot="1" x14ac:dyDescent="0.3">
      <c r="A9" s="75">
        <v>1994</v>
      </c>
      <c r="B9" s="76" t="s">
        <v>14</v>
      </c>
      <c r="C9" s="77">
        <f>C10/(1+D9/100)</f>
        <v>16.413263870141357</v>
      </c>
      <c r="D9" s="77">
        <v>39.2776</v>
      </c>
      <c r="E9" s="81"/>
      <c r="F9" s="153"/>
      <c r="G9" s="80">
        <f t="shared" si="0"/>
        <v>45.285720030515527</v>
      </c>
    </row>
    <row r="10" spans="1:10" ht="16.5" hidden="1" thickBot="1" x14ac:dyDescent="0.3">
      <c r="A10" s="75">
        <v>1994</v>
      </c>
      <c r="B10" s="76" t="s">
        <v>15</v>
      </c>
      <c r="C10" s="77">
        <v>22.86</v>
      </c>
      <c r="D10" s="77">
        <v>41.300800000000002</v>
      </c>
      <c r="E10" s="81"/>
      <c r="F10" s="153"/>
      <c r="G10" s="80">
        <f t="shared" si="0"/>
        <v>32.514718828092619</v>
      </c>
    </row>
    <row r="11" spans="1:10" ht="16.5" hidden="1" thickBot="1" x14ac:dyDescent="0.3">
      <c r="A11" s="75">
        <v>1994</v>
      </c>
      <c r="B11" s="76" t="s">
        <v>16</v>
      </c>
      <c r="C11" s="77">
        <v>33.893000000000001</v>
      </c>
      <c r="D11" s="77">
        <v>48.082299999999996</v>
      </c>
      <c r="E11" s="81"/>
      <c r="F11" s="153"/>
      <c r="G11" s="80">
        <f t="shared" si="0"/>
        <v>21.930383041046742</v>
      </c>
    </row>
    <row r="12" spans="1:10" ht="16.5" hidden="1" thickBot="1" x14ac:dyDescent="0.3">
      <c r="A12" s="75">
        <v>1994</v>
      </c>
      <c r="B12" s="76" t="s">
        <v>17</v>
      </c>
      <c r="C12" s="77">
        <v>49.274000000000001</v>
      </c>
      <c r="D12" s="77">
        <v>43.738</v>
      </c>
      <c r="E12" s="81"/>
      <c r="F12" s="153"/>
      <c r="G12" s="80">
        <f t="shared" si="0"/>
        <v>15.084760165811527</v>
      </c>
    </row>
    <row r="13" spans="1:10" ht="16.5" hidden="1" thickBot="1" x14ac:dyDescent="0.3">
      <c r="A13" s="75">
        <v>1994</v>
      </c>
      <c r="B13" s="76" t="s">
        <v>18</v>
      </c>
      <c r="C13" s="77">
        <v>74.262</v>
      </c>
      <c r="D13" s="77">
        <v>49.149799999999999</v>
      </c>
      <c r="E13" s="81"/>
      <c r="F13" s="153"/>
      <c r="G13" s="80">
        <f t="shared" si="0"/>
        <v>10.008974608954745</v>
      </c>
    </row>
    <row r="14" spans="1:10" ht="16.5" hidden="1" thickBot="1" x14ac:dyDescent="0.3">
      <c r="A14" s="75">
        <v>1994</v>
      </c>
      <c r="B14" s="76" t="s">
        <v>19</v>
      </c>
      <c r="C14" s="77">
        <v>97.22</v>
      </c>
      <c r="D14" s="77">
        <v>4.5176999999999996</v>
      </c>
      <c r="E14" s="81"/>
      <c r="F14" s="153"/>
      <c r="G14" s="80">
        <f t="shared" si="0"/>
        <v>7.6454070398086529</v>
      </c>
    </row>
    <row r="15" spans="1:10" ht="16.5" hidden="1" thickBot="1" x14ac:dyDescent="0.3">
      <c r="A15" s="75">
        <v>1994</v>
      </c>
      <c r="B15" s="76" t="s">
        <v>20</v>
      </c>
      <c r="C15" s="77">
        <v>100</v>
      </c>
      <c r="D15" s="77">
        <v>2.2139000000000002</v>
      </c>
      <c r="E15" s="81"/>
      <c r="F15" s="153"/>
      <c r="G15" s="80">
        <f t="shared" si="0"/>
        <v>7.4328647241019725</v>
      </c>
    </row>
    <row r="16" spans="1:10" ht="16.5" hidden="1" thickBot="1" x14ac:dyDescent="0.3">
      <c r="A16" s="75">
        <v>1994</v>
      </c>
      <c r="B16" s="76" t="s">
        <v>21</v>
      </c>
      <c r="C16" s="77">
        <v>100.959</v>
      </c>
      <c r="D16" s="77">
        <v>0.65890000000000004</v>
      </c>
      <c r="E16" s="81"/>
      <c r="F16" s="153"/>
      <c r="G16" s="80">
        <f t="shared" si="0"/>
        <v>7.3622606445210153</v>
      </c>
      <c r="H16" s="190"/>
      <c r="I16" s="190"/>
      <c r="J16" s="190"/>
    </row>
    <row r="17" spans="1:10" ht="16.5" hidden="1" thickBot="1" x14ac:dyDescent="0.3">
      <c r="A17" s="75">
        <v>1994</v>
      </c>
      <c r="B17" s="76" t="s">
        <v>22</v>
      </c>
      <c r="C17" s="77">
        <v>104.538</v>
      </c>
      <c r="D17" s="77">
        <v>2.9849999999999999</v>
      </c>
      <c r="E17" s="81"/>
      <c r="F17" s="153"/>
      <c r="G17" s="80">
        <f t="shared" si="0"/>
        <v>7.1102036810556664</v>
      </c>
      <c r="H17" s="190"/>
      <c r="I17" s="190"/>
      <c r="J17" s="190"/>
    </row>
    <row r="18" spans="1:10" ht="16.5" hidden="1" thickBot="1" x14ac:dyDescent="0.3">
      <c r="A18" s="75">
        <v>1994</v>
      </c>
      <c r="B18" s="76" t="s">
        <v>23</v>
      </c>
      <c r="C18" s="77">
        <v>107.69</v>
      </c>
      <c r="D18" s="77">
        <v>2.7368000000000001</v>
      </c>
      <c r="E18" s="81"/>
      <c r="F18" s="153"/>
      <c r="G18" s="80">
        <f t="shared" si="0"/>
        <v>6.9020937172457728</v>
      </c>
      <c r="H18" s="190"/>
      <c r="I18" s="190"/>
      <c r="J18" s="190"/>
    </row>
    <row r="19" spans="1:10" ht="16.5" hidden="1" thickBot="1" x14ac:dyDescent="0.3">
      <c r="A19" s="75">
        <v>1994</v>
      </c>
      <c r="B19" s="76" t="s">
        <v>12</v>
      </c>
      <c r="C19" s="77">
        <v>110.23</v>
      </c>
      <c r="D19" s="77">
        <v>0.5272</v>
      </c>
      <c r="E19" s="77">
        <v>1082.94</v>
      </c>
      <c r="F19" s="154">
        <v>1082.94</v>
      </c>
      <c r="G19" s="80">
        <f t="shared" si="0"/>
        <v>6.7430506432930892</v>
      </c>
      <c r="H19" s="190"/>
      <c r="I19" s="190"/>
      <c r="J19" s="190"/>
    </row>
    <row r="20" spans="1:10" ht="16.5" hidden="1" thickBot="1" x14ac:dyDescent="0.3">
      <c r="A20" s="75">
        <v>1995</v>
      </c>
      <c r="B20" s="76" t="s">
        <v>13</v>
      </c>
      <c r="C20" s="77">
        <v>113.833</v>
      </c>
      <c r="D20" s="77">
        <v>0.92149999999999999</v>
      </c>
      <c r="E20" s="77">
        <f>100*((C20/110.23)-1)</f>
        <v>3.2686201578517649</v>
      </c>
      <c r="F20" s="154"/>
      <c r="G20" s="80">
        <f t="shared" si="0"/>
        <v>6.5296220991294023</v>
      </c>
      <c r="H20" s="190"/>
      <c r="I20" s="190"/>
      <c r="J20" s="190"/>
    </row>
    <row r="21" spans="1:10" ht="16.5" hidden="1" thickBot="1" x14ac:dyDescent="0.3">
      <c r="A21" s="75">
        <v>1995</v>
      </c>
      <c r="B21" s="76" t="s">
        <v>14</v>
      </c>
      <c r="C21" s="77">
        <v>117.19889999999999</v>
      </c>
      <c r="D21" s="77">
        <v>1.4965999999999999</v>
      </c>
      <c r="E21" s="77">
        <f t="shared" ref="E21:E30" si="1">100*((C21/110.23)-1)</f>
        <v>6.3221446067313725</v>
      </c>
      <c r="F21" s="154"/>
      <c r="G21" s="80">
        <f t="shared" si="0"/>
        <v>6.3420942723028739</v>
      </c>
      <c r="H21" s="190"/>
      <c r="I21" s="190"/>
      <c r="J21" s="190"/>
    </row>
    <row r="22" spans="1:10" ht="16.5" hidden="1" thickBot="1" x14ac:dyDescent="0.3">
      <c r="A22" s="75">
        <v>1995</v>
      </c>
      <c r="B22" s="76" t="s">
        <v>15</v>
      </c>
      <c r="C22" s="77">
        <v>122.9299</v>
      </c>
      <c r="D22" s="77">
        <v>3.2355</v>
      </c>
      <c r="E22" s="77">
        <f t="shared" si="1"/>
        <v>11.521273700444535</v>
      </c>
      <c r="F22" s="154">
        <f t="shared" ref="F22:F85" si="2">100*((C22/C10)-1)</f>
        <v>437.75109361329834</v>
      </c>
      <c r="G22" s="80">
        <f t="shared" si="0"/>
        <v>6.0464254214003041</v>
      </c>
      <c r="H22" s="190"/>
      <c r="I22" s="190"/>
      <c r="J22" s="190"/>
    </row>
    <row r="23" spans="1:10" ht="16.5" hidden="1" thickBot="1" x14ac:dyDescent="0.3">
      <c r="A23" s="75">
        <v>1995</v>
      </c>
      <c r="B23" s="76" t="s">
        <v>16</v>
      </c>
      <c r="C23" s="77">
        <v>128.6627</v>
      </c>
      <c r="D23" s="77">
        <v>2.6869000000000001</v>
      </c>
      <c r="E23" s="77">
        <f t="shared" si="1"/>
        <v>16.722035743445531</v>
      </c>
      <c r="F23" s="154">
        <f t="shared" si="2"/>
        <v>279.61437464963268</v>
      </c>
      <c r="G23" s="80">
        <f t="shared" si="0"/>
        <v>5.7770159681881168</v>
      </c>
      <c r="H23" s="190"/>
      <c r="I23" s="190"/>
      <c r="J23" s="190"/>
    </row>
    <row r="24" spans="1:10" ht="16.5" hidden="1" thickBot="1" x14ac:dyDescent="0.3">
      <c r="A24" s="75">
        <v>1995</v>
      </c>
      <c r="B24" s="76" t="s">
        <v>17</v>
      </c>
      <c r="C24" s="77">
        <f>+C23*(1+D24/100)</f>
        <v>132.1928184999</v>
      </c>
      <c r="D24" s="77">
        <v>2.7437</v>
      </c>
      <c r="E24" s="77">
        <f t="shared" si="1"/>
        <v>19.924538238138425</v>
      </c>
      <c r="F24" s="154">
        <f t="shared" si="2"/>
        <v>168.28107825607822</v>
      </c>
      <c r="G24" s="80">
        <f t="shared" si="0"/>
        <v>5.6227447212706148</v>
      </c>
      <c r="H24" s="190"/>
      <c r="I24" s="190"/>
      <c r="J24" s="190"/>
    </row>
    <row r="25" spans="1:10" ht="16.5" hidden="1" thickBot="1" x14ac:dyDescent="0.3">
      <c r="A25" s="75">
        <v>1995</v>
      </c>
      <c r="B25" s="76" t="s">
        <v>18</v>
      </c>
      <c r="C25" s="77">
        <v>133.2688</v>
      </c>
      <c r="D25" s="77">
        <v>2.8174999999999999</v>
      </c>
      <c r="E25" s="77">
        <f t="shared" si="1"/>
        <v>20.900662251655632</v>
      </c>
      <c r="F25" s="154">
        <f t="shared" si="2"/>
        <v>79.45759607874821</v>
      </c>
      <c r="G25" s="80">
        <f t="shared" si="0"/>
        <v>5.5773479794985565</v>
      </c>
      <c r="H25" s="190" t="s">
        <v>68</v>
      </c>
      <c r="I25" s="190"/>
      <c r="J25" s="190"/>
    </row>
    <row r="26" spans="1:10" ht="16.5" hidden="1" thickBot="1" x14ac:dyDescent="0.3">
      <c r="A26" s="75">
        <v>1995</v>
      </c>
      <c r="B26" s="76" t="s">
        <v>19</v>
      </c>
      <c r="C26" s="77">
        <v>140.13210000000001</v>
      </c>
      <c r="D26" s="77">
        <v>2.8065000000000002</v>
      </c>
      <c r="E26" s="77">
        <f t="shared" si="1"/>
        <v>27.127007166832982</v>
      </c>
      <c r="F26" s="154">
        <f t="shared" si="2"/>
        <v>44.139168895289039</v>
      </c>
      <c r="G26" s="80">
        <f t="shared" si="0"/>
        <v>5.3041842119699707</v>
      </c>
      <c r="H26" s="190"/>
      <c r="I26" s="190"/>
      <c r="J26" s="190"/>
    </row>
    <row r="27" spans="1:10" ht="16.5" hidden="1" thickBot="1" x14ac:dyDescent="0.3">
      <c r="A27" s="75">
        <v>1995</v>
      </c>
      <c r="B27" s="76" t="s">
        <v>20</v>
      </c>
      <c r="C27" s="77">
        <v>146.1438</v>
      </c>
      <c r="D27" s="77">
        <v>1.4896</v>
      </c>
      <c r="E27" s="77">
        <f t="shared" si="1"/>
        <v>32.580785630046272</v>
      </c>
      <c r="F27" s="154">
        <f t="shared" si="2"/>
        <v>46.143799999999999</v>
      </c>
      <c r="G27" s="80">
        <f t="shared" si="0"/>
        <v>5.0859938800701583</v>
      </c>
      <c r="H27" s="190"/>
      <c r="I27" s="190"/>
      <c r="J27" s="190"/>
    </row>
    <row r="28" spans="1:10" ht="16.5" hidden="1" thickBot="1" x14ac:dyDescent="0.3">
      <c r="A28" s="75">
        <v>1995</v>
      </c>
      <c r="B28" s="76" t="s">
        <v>21</v>
      </c>
      <c r="C28" s="77">
        <v>148.8329</v>
      </c>
      <c r="D28" s="77">
        <v>0.50470000000000004</v>
      </c>
      <c r="E28" s="77">
        <f t="shared" si="1"/>
        <v>35.02032114669327</v>
      </c>
      <c r="F28" s="154">
        <f t="shared" si="2"/>
        <v>47.419150348161132</v>
      </c>
      <c r="G28" s="80">
        <f t="shared" si="0"/>
        <v>4.9941005813244068</v>
      </c>
      <c r="H28" s="190"/>
      <c r="I28" s="190"/>
      <c r="J28" s="190"/>
    </row>
    <row r="29" spans="1:10" ht="16.5" hidden="1" thickBot="1" x14ac:dyDescent="0.3">
      <c r="A29" s="75">
        <v>1995</v>
      </c>
      <c r="B29" s="76" t="s">
        <v>22</v>
      </c>
      <c r="C29" s="77">
        <v>151.58629999999999</v>
      </c>
      <c r="D29" s="77">
        <v>1.4714</v>
      </c>
      <c r="E29" s="77">
        <f t="shared" si="1"/>
        <v>37.518189240678581</v>
      </c>
      <c r="F29" s="154">
        <f t="shared" si="2"/>
        <v>45.005930857678543</v>
      </c>
      <c r="G29" s="80">
        <f t="shared" si="0"/>
        <v>4.9033881848834442</v>
      </c>
      <c r="H29" s="190"/>
      <c r="I29" s="190"/>
      <c r="J29" s="190"/>
    </row>
    <row r="30" spans="1:10" ht="16.5" hidden="1" thickBot="1" x14ac:dyDescent="0.3">
      <c r="A30" s="75">
        <v>1995</v>
      </c>
      <c r="B30" s="76" t="s">
        <v>23</v>
      </c>
      <c r="C30" s="77">
        <v>158.15280000000001</v>
      </c>
      <c r="D30" s="77">
        <v>2.7755000000000001</v>
      </c>
      <c r="E30" s="77">
        <f t="shared" si="1"/>
        <v>43.475278962170009</v>
      </c>
      <c r="F30" s="154">
        <f t="shared" si="2"/>
        <v>46.859318413966022</v>
      </c>
      <c r="G30" s="80">
        <f t="shared" si="0"/>
        <v>4.6997996394006121</v>
      </c>
      <c r="H30" s="190"/>
      <c r="I30" s="190"/>
      <c r="J30" s="190"/>
    </row>
    <row r="31" spans="1:10" ht="16.5" hidden="1" thickBot="1" x14ac:dyDescent="0.3">
      <c r="A31" s="75">
        <v>1995</v>
      </c>
      <c r="B31" s="76" t="s">
        <v>12</v>
      </c>
      <c r="C31" s="77">
        <v>161.15</v>
      </c>
      <c r="D31" s="77">
        <v>1.5789</v>
      </c>
      <c r="E31" s="77">
        <v>46.19</v>
      </c>
      <c r="F31" s="154">
        <f t="shared" si="2"/>
        <v>46.194320965254462</v>
      </c>
      <c r="G31" s="80">
        <f t="shared" si="0"/>
        <v>4.6123889072925675</v>
      </c>
      <c r="H31" s="190"/>
      <c r="I31" s="190"/>
      <c r="J31" s="190"/>
    </row>
    <row r="32" spans="1:10" ht="16.5" hidden="1" thickBot="1" x14ac:dyDescent="0.3">
      <c r="A32" s="75">
        <v>1996</v>
      </c>
      <c r="B32" s="76" t="s">
        <v>13</v>
      </c>
      <c r="C32" s="77">
        <v>168.53829999999999</v>
      </c>
      <c r="D32" s="77">
        <v>2.5255999999999998</v>
      </c>
      <c r="E32" s="77">
        <f>100*((C32/161.15)-1)</f>
        <v>4.5847347192057075</v>
      </c>
      <c r="F32" s="154">
        <f t="shared" si="2"/>
        <v>48.05750529284127</v>
      </c>
      <c r="G32" s="80">
        <f t="shared" si="0"/>
        <v>4.4101932463433968</v>
      </c>
      <c r="H32" s="190"/>
      <c r="I32" s="190"/>
      <c r="J32" s="190"/>
    </row>
    <row r="33" spans="1:10" ht="16.5" hidden="1" thickBot="1" x14ac:dyDescent="0.3">
      <c r="A33" s="75">
        <v>1996</v>
      </c>
      <c r="B33" s="76" t="s">
        <v>14</v>
      </c>
      <c r="C33" s="77">
        <v>168.62260000000001</v>
      </c>
      <c r="D33" s="77">
        <v>0.30930000000000002</v>
      </c>
      <c r="E33" s="77">
        <f>100*((C33/161.15)-1)</f>
        <v>4.6370462302202986</v>
      </c>
      <c r="F33" s="154">
        <f t="shared" si="2"/>
        <v>43.87728895066423</v>
      </c>
      <c r="G33" s="80">
        <f t="shared" si="0"/>
        <v>4.407988445262955</v>
      </c>
      <c r="H33" s="190"/>
      <c r="I33" s="190"/>
      <c r="J33" s="190"/>
    </row>
    <row r="34" spans="1:10" ht="16.5" hidden="1" thickBot="1" x14ac:dyDescent="0.3">
      <c r="A34" s="75">
        <v>1996</v>
      </c>
      <c r="B34" s="76" t="s">
        <v>15</v>
      </c>
      <c r="C34" s="77">
        <v>170.37620000000001</v>
      </c>
      <c r="D34" s="77">
        <v>1.1091</v>
      </c>
      <c r="E34" s="77">
        <f>100*((C34/161.15)-1)</f>
        <v>5.725224945702756</v>
      </c>
      <c r="F34" s="154">
        <f t="shared" si="2"/>
        <v>38.596224352252783</v>
      </c>
      <c r="G34" s="80">
        <f t="shared" si="0"/>
        <v>4.3626191475698901</v>
      </c>
      <c r="H34" s="190"/>
      <c r="I34" s="190"/>
      <c r="J34" s="190"/>
    </row>
    <row r="35" spans="1:10" ht="16.5" hidden="1" thickBot="1" x14ac:dyDescent="0.3">
      <c r="A35" s="75">
        <v>1996</v>
      </c>
      <c r="B35" s="76" t="s">
        <v>16</v>
      </c>
      <c r="C35" s="77">
        <v>172.3185</v>
      </c>
      <c r="D35" s="77">
        <v>0.55700000000000005</v>
      </c>
      <c r="E35" s="77">
        <f>100*((C35/161.15)-1)</f>
        <v>6.9304995345951026</v>
      </c>
      <c r="F35" s="154">
        <f t="shared" si="2"/>
        <v>33.930424279919499</v>
      </c>
      <c r="G35" s="80">
        <f t="shared" si="0"/>
        <v>4.3134455813519574</v>
      </c>
      <c r="H35" s="190"/>
      <c r="I35" s="190"/>
      <c r="J35" s="190"/>
    </row>
    <row r="36" spans="1:10" ht="16.5" hidden="1" thickBot="1" x14ac:dyDescent="0.3">
      <c r="A36" s="75">
        <v>1996</v>
      </c>
      <c r="B36" s="76" t="s">
        <v>17</v>
      </c>
      <c r="C36" s="155">
        <f>+C35*(1+D36/100)</f>
        <v>175.35699211049999</v>
      </c>
      <c r="D36" s="77">
        <v>1.7633000000000001</v>
      </c>
      <c r="E36" s="77">
        <f t="shared" ref="E36:E42" si="3">100*((C36/161.15)-1)</f>
        <v>8.8160050328885973</v>
      </c>
      <c r="F36" s="154">
        <f t="shared" si="2"/>
        <v>32.652434603043609</v>
      </c>
      <c r="G36" s="80">
        <f t="shared" si="0"/>
        <v>4.238704504818493</v>
      </c>
      <c r="H36" s="190"/>
      <c r="I36" s="190"/>
      <c r="J36" s="190"/>
    </row>
    <row r="37" spans="1:10" ht="16.5" hidden="1" thickBot="1" x14ac:dyDescent="0.3">
      <c r="A37" s="75">
        <v>1996</v>
      </c>
      <c r="B37" s="76" t="s">
        <v>18</v>
      </c>
      <c r="C37" s="155">
        <f t="shared" ref="C37:C42" si="4">+C36*(1+D37/100)</f>
        <v>175.51323519047043</v>
      </c>
      <c r="D37" s="77">
        <v>8.9099999999999999E-2</v>
      </c>
      <c r="E37" s="77">
        <f t="shared" si="3"/>
        <v>8.9129600933729023</v>
      </c>
      <c r="F37" s="154">
        <f t="shared" si="2"/>
        <v>31.698668548430263</v>
      </c>
      <c r="G37" s="80">
        <f t="shared" si="0"/>
        <v>4.2349311811361012</v>
      </c>
      <c r="H37" s="190"/>
      <c r="I37" s="190"/>
      <c r="J37" s="190"/>
    </row>
    <row r="38" spans="1:10" ht="16.5" hidden="1" thickBot="1" x14ac:dyDescent="0.3">
      <c r="A38" s="75">
        <v>1996</v>
      </c>
      <c r="B38" s="76" t="s">
        <v>19</v>
      </c>
      <c r="C38" s="155">
        <f t="shared" si="4"/>
        <v>179.61901630128111</v>
      </c>
      <c r="D38" s="77">
        <v>2.3393000000000002</v>
      </c>
      <c r="E38" s="77">
        <f t="shared" si="3"/>
        <v>11.460760968837169</v>
      </c>
      <c r="F38" s="154">
        <f t="shared" si="2"/>
        <v>28.178351927417843</v>
      </c>
      <c r="G38" s="80">
        <f t="shared" si="0"/>
        <v>4.1381279539102778</v>
      </c>
      <c r="H38" s="190"/>
      <c r="I38" s="190"/>
      <c r="J38" s="190"/>
    </row>
    <row r="39" spans="1:10" ht="16.5" hidden="1" thickBot="1" x14ac:dyDescent="0.3">
      <c r="A39" s="75">
        <v>1996</v>
      </c>
      <c r="B39" s="76" t="s">
        <v>20</v>
      </c>
      <c r="C39" s="155">
        <f t="shared" si="4"/>
        <v>179.14787562152284</v>
      </c>
      <c r="D39" s="77">
        <v>-0.26229999999999998</v>
      </c>
      <c r="E39" s="77">
        <f t="shared" si="3"/>
        <v>11.168399392815909</v>
      </c>
      <c r="F39" s="154">
        <f t="shared" si="2"/>
        <v>22.5832882554873</v>
      </c>
      <c r="G39" s="80">
        <f t="shared" si="0"/>
        <v>4.1490108092629745</v>
      </c>
      <c r="H39" s="190"/>
      <c r="I39" s="190"/>
      <c r="J39" s="190"/>
    </row>
    <row r="40" spans="1:10" ht="16.5" hidden="1" thickBot="1" x14ac:dyDescent="0.3">
      <c r="A40" s="75">
        <v>1996</v>
      </c>
      <c r="B40" s="76" t="s">
        <v>21</v>
      </c>
      <c r="C40" s="155">
        <f t="shared" si="4"/>
        <v>179.33544344729859</v>
      </c>
      <c r="D40" s="77">
        <v>0.1047</v>
      </c>
      <c r="E40" s="77">
        <f t="shared" si="3"/>
        <v>11.284792706980195</v>
      </c>
      <c r="F40" s="154">
        <f t="shared" si="2"/>
        <v>20.494489758177515</v>
      </c>
      <c r="G40" s="80">
        <f t="shared" si="0"/>
        <v>4.1446713383716993</v>
      </c>
      <c r="H40" s="190"/>
      <c r="I40" s="190"/>
      <c r="J40" s="190"/>
    </row>
    <row r="41" spans="1:10" ht="16.5" hidden="1" thickBot="1" x14ac:dyDescent="0.3">
      <c r="A41" s="75">
        <v>1996</v>
      </c>
      <c r="B41" s="76" t="s">
        <v>22</v>
      </c>
      <c r="C41" s="155">
        <f t="shared" si="4"/>
        <v>179.9030401258093</v>
      </c>
      <c r="D41" s="77">
        <v>0.3165</v>
      </c>
      <c r="E41" s="77">
        <f t="shared" si="3"/>
        <v>11.637009075897797</v>
      </c>
      <c r="F41" s="154">
        <f t="shared" si="2"/>
        <v>18.68027659874889</v>
      </c>
      <c r="G41" s="80">
        <f t="shared" si="0"/>
        <v>4.1315948407008811</v>
      </c>
      <c r="H41" s="190"/>
      <c r="I41" s="190"/>
      <c r="J41" s="190"/>
    </row>
    <row r="42" spans="1:10" ht="16.5" hidden="1" thickBot="1" x14ac:dyDescent="0.3">
      <c r="A42" s="75">
        <v>1996</v>
      </c>
      <c r="B42" s="76" t="s">
        <v>23</v>
      </c>
      <c r="C42" s="155">
        <f t="shared" si="4"/>
        <v>180.48250781805453</v>
      </c>
      <c r="D42" s="77">
        <v>0.3221</v>
      </c>
      <c r="E42" s="77">
        <f t="shared" si="3"/>
        <v>11.99659188213127</v>
      </c>
      <c r="F42" s="154">
        <f t="shared" si="2"/>
        <v>14.119072073371131</v>
      </c>
      <c r="G42" s="80">
        <f t="shared" si="0"/>
        <v>4.1183297007348143</v>
      </c>
      <c r="H42" s="190"/>
      <c r="I42" s="190"/>
      <c r="J42" s="190"/>
    </row>
    <row r="43" spans="1:10" ht="16.5" hidden="1" thickBot="1" x14ac:dyDescent="0.3">
      <c r="A43" s="75">
        <v>1996</v>
      </c>
      <c r="B43" s="76" t="s">
        <v>12</v>
      </c>
      <c r="C43" s="77">
        <v>183.81</v>
      </c>
      <c r="D43" s="77">
        <v>0.3821</v>
      </c>
      <c r="E43" s="77">
        <v>14.07</v>
      </c>
      <c r="F43" s="154">
        <f t="shared" si="2"/>
        <v>14.061433447098981</v>
      </c>
      <c r="G43" s="80">
        <f t="shared" si="0"/>
        <v>4.0437760318274156</v>
      </c>
      <c r="H43" s="190"/>
      <c r="I43" s="190"/>
      <c r="J43" s="190"/>
    </row>
    <row r="44" spans="1:10" ht="16.5" hidden="1" thickBot="1" x14ac:dyDescent="0.3">
      <c r="A44" s="75">
        <v>1997</v>
      </c>
      <c r="B44" s="76" t="s">
        <v>13</v>
      </c>
      <c r="C44" s="77">
        <f t="shared" ref="C44:C51" si="5">+C45/(1+D44/100)</f>
        <v>184.00740480745412</v>
      </c>
      <c r="D44" s="77">
        <v>2.1196999999999999</v>
      </c>
      <c r="E44" s="77">
        <f>100*((C44/C40)-1)</f>
        <v>2.6051522612307698</v>
      </c>
      <c r="F44" s="154">
        <f t="shared" si="2"/>
        <v>9.1783913848983545</v>
      </c>
      <c r="G44" s="80">
        <f t="shared" si="0"/>
        <v>4.039437832341445</v>
      </c>
      <c r="H44" s="190"/>
      <c r="I44" s="190"/>
      <c r="J44" s="190"/>
    </row>
    <row r="45" spans="1:10" ht="16.5" hidden="1" thickBot="1" x14ac:dyDescent="0.3">
      <c r="A45" s="75">
        <v>1997</v>
      </c>
      <c r="B45" s="76" t="s">
        <v>14</v>
      </c>
      <c r="C45" s="77">
        <f t="shared" si="5"/>
        <v>187.90780976715772</v>
      </c>
      <c r="D45" s="77">
        <v>0.46179999999999999</v>
      </c>
      <c r="E45" s="77">
        <f>100*((C45/C41)-1)</f>
        <v>4.4494910345876049</v>
      </c>
      <c r="F45" s="154">
        <f t="shared" si="2"/>
        <v>11.436906895729116</v>
      </c>
      <c r="G45" s="80">
        <f t="shared" si="0"/>
        <v>3.9555911663875287</v>
      </c>
      <c r="H45" s="190"/>
      <c r="I45" s="190"/>
      <c r="J45" s="190"/>
    </row>
    <row r="46" spans="1:10" ht="16.5" hidden="1" thickBot="1" x14ac:dyDescent="0.3">
      <c r="A46" s="75">
        <v>1997</v>
      </c>
      <c r="B46" s="76" t="s">
        <v>15</v>
      </c>
      <c r="C46" s="77">
        <f t="shared" si="5"/>
        <v>188.77556803266245</v>
      </c>
      <c r="D46" s="77">
        <v>0.49969999999999998</v>
      </c>
      <c r="E46" s="77">
        <f>100*((C46/C42)-1)</f>
        <v>4.594938487317668</v>
      </c>
      <c r="F46" s="154">
        <f t="shared" si="2"/>
        <v>10.799259540160211</v>
      </c>
      <c r="G46" s="80">
        <f t="shared" si="0"/>
        <v>3.9374082152495062</v>
      </c>
      <c r="H46" s="190"/>
      <c r="I46" s="190"/>
      <c r="J46" s="190"/>
    </row>
    <row r="47" spans="1:10" ht="16.5" hidden="1" thickBot="1" x14ac:dyDescent="0.3">
      <c r="A47" s="75">
        <v>1997</v>
      </c>
      <c r="B47" s="76" t="s">
        <v>16</v>
      </c>
      <c r="C47" s="77">
        <f t="shared" si="5"/>
        <v>189.71887954612166</v>
      </c>
      <c r="D47" s="77">
        <v>1.0807</v>
      </c>
      <c r="E47" s="77">
        <f>100*((C47/C43)-1)</f>
        <v>3.2146670725867299</v>
      </c>
      <c r="F47" s="154">
        <f t="shared" si="2"/>
        <v>10.097801191469081</v>
      </c>
      <c r="G47" s="80">
        <f t="shared" si="0"/>
        <v>3.9178308146686076</v>
      </c>
      <c r="H47" s="190"/>
      <c r="I47" s="190"/>
      <c r="J47" s="190"/>
    </row>
    <row r="48" spans="1:10" ht="16.5" hidden="1" thickBot="1" x14ac:dyDescent="0.3">
      <c r="A48" s="75">
        <v>1997</v>
      </c>
      <c r="B48" s="76" t="s">
        <v>17</v>
      </c>
      <c r="C48" s="77">
        <f t="shared" si="5"/>
        <v>191.7691714773766</v>
      </c>
      <c r="D48" s="77">
        <v>-7.7000000000000002E-3</v>
      </c>
      <c r="E48" s="77">
        <f>100*((C48/C43)-1)</f>
        <v>4.3301079796401742</v>
      </c>
      <c r="F48" s="154">
        <f t="shared" si="2"/>
        <v>9.3592956684239947</v>
      </c>
      <c r="G48" s="80">
        <f t="shared" si="0"/>
        <v>3.8759434933361239</v>
      </c>
      <c r="H48" s="190"/>
      <c r="I48" s="190"/>
      <c r="J48" s="190"/>
    </row>
    <row r="49" spans="1:10" ht="16.5" hidden="1" thickBot="1" x14ac:dyDescent="0.3">
      <c r="A49" s="75">
        <v>1997</v>
      </c>
      <c r="B49" s="76" t="s">
        <v>18</v>
      </c>
      <c r="C49" s="77">
        <f t="shared" si="5"/>
        <v>191.75440525117284</v>
      </c>
      <c r="D49" s="77">
        <v>0.98640000000000005</v>
      </c>
      <c r="E49" s="77">
        <f>100*((C49/C43)-1)</f>
        <v>4.3220745613257394</v>
      </c>
      <c r="F49" s="154">
        <f t="shared" si="2"/>
        <v>9.2535301073318976</v>
      </c>
      <c r="G49" s="80">
        <f t="shared" si="0"/>
        <v>3.8762419639673493</v>
      </c>
      <c r="H49" s="190"/>
      <c r="I49" s="190"/>
      <c r="J49" s="190"/>
    </row>
    <row r="50" spans="1:10" ht="16.5" hidden="1" thickBot="1" x14ac:dyDescent="0.3">
      <c r="A50" s="75">
        <v>1997</v>
      </c>
      <c r="B50" s="76" t="s">
        <v>19</v>
      </c>
      <c r="C50" s="77">
        <f t="shared" si="5"/>
        <v>193.64587070457043</v>
      </c>
      <c r="D50" s="77">
        <v>0.55100000000000005</v>
      </c>
      <c r="E50" s="77">
        <f>100*((C50/C43)-1)</f>
        <v>5.3511075047986578</v>
      </c>
      <c r="F50" s="154">
        <f t="shared" si="2"/>
        <v>7.8092257112474028</v>
      </c>
      <c r="G50" s="80">
        <f t="shared" si="0"/>
        <v>3.8383801818535459</v>
      </c>
      <c r="H50" s="190"/>
      <c r="I50" s="190"/>
      <c r="J50" s="190"/>
    </row>
    <row r="51" spans="1:10" ht="16.5" hidden="1" thickBot="1" x14ac:dyDescent="0.3">
      <c r="A51" s="75">
        <v>1997</v>
      </c>
      <c r="B51" s="76" t="s">
        <v>20</v>
      </c>
      <c r="C51" s="77">
        <f t="shared" si="5"/>
        <v>194.7128594521526</v>
      </c>
      <c r="D51" s="77">
        <v>-0.27879999999999999</v>
      </c>
      <c r="E51" s="77">
        <f>100*((C51/C43)-1)</f>
        <v>5.9315921071501077</v>
      </c>
      <c r="F51" s="154">
        <f t="shared" si="2"/>
        <v>8.688344071415699</v>
      </c>
      <c r="G51" s="80">
        <f t="shared" si="0"/>
        <v>3.8173466020761064</v>
      </c>
      <c r="H51" s="190"/>
      <c r="I51" s="190"/>
      <c r="J51" s="190"/>
    </row>
    <row r="52" spans="1:10" ht="16.5" hidden="1" thickBot="1" x14ac:dyDescent="0.3">
      <c r="A52" s="75">
        <v>1997</v>
      </c>
      <c r="B52" s="76" t="s">
        <v>21</v>
      </c>
      <c r="C52" s="77">
        <v>194.17</v>
      </c>
      <c r="D52" s="77">
        <v>0.1111</v>
      </c>
      <c r="E52" s="77">
        <f>100*(($C$52/$C$43)-1)</f>
        <v>5.6362548283553693</v>
      </c>
      <c r="F52" s="154">
        <f t="shared" si="2"/>
        <v>8.2719602257881775</v>
      </c>
      <c r="G52" s="80">
        <f t="shared" si="0"/>
        <v>3.828019119380941</v>
      </c>
      <c r="H52" s="190"/>
      <c r="I52" s="190"/>
      <c r="J52" s="190"/>
    </row>
    <row r="53" spans="1:10" ht="16.5" hidden="1" thickBot="1" x14ac:dyDescent="0.3">
      <c r="A53" s="75">
        <v>1997</v>
      </c>
      <c r="B53" s="76" t="s">
        <v>22</v>
      </c>
      <c r="C53" s="77">
        <v>194.92</v>
      </c>
      <c r="D53" s="77">
        <v>5.8000000000000003E-2</v>
      </c>
      <c r="E53" s="77">
        <f>100*(($C$53/$C$43)-1)</f>
        <v>6.044284859365634</v>
      </c>
      <c r="F53" s="154">
        <f t="shared" si="2"/>
        <v>8.347251866165827</v>
      </c>
      <c r="G53" s="80">
        <f t="shared" si="0"/>
        <v>3.8132899261758531</v>
      </c>
      <c r="H53" s="190"/>
      <c r="I53" s="190"/>
      <c r="J53" s="190"/>
    </row>
    <row r="54" spans="1:10" ht="16.5" hidden="1" thickBot="1" x14ac:dyDescent="0.3">
      <c r="A54" s="75">
        <v>1997</v>
      </c>
      <c r="B54" s="76" t="s">
        <v>23</v>
      </c>
      <c r="C54" s="77">
        <v>194.7</v>
      </c>
      <c r="D54" s="77">
        <v>0.21</v>
      </c>
      <c r="E54" s="77">
        <f>100*(($C$54/$C$43)-1)</f>
        <v>5.9245960502692929</v>
      </c>
      <c r="F54" s="154">
        <f t="shared" si="2"/>
        <v>7.8774903750108649</v>
      </c>
      <c r="G54" s="80">
        <f t="shared" si="0"/>
        <v>3.8175987283523232</v>
      </c>
      <c r="H54" s="190"/>
      <c r="I54" s="190"/>
      <c r="J54" s="190"/>
    </row>
    <row r="55" spans="1:10" ht="16.5" hidden="1" thickBot="1" x14ac:dyDescent="0.3">
      <c r="A55" s="75">
        <v>1997</v>
      </c>
      <c r="B55" s="76" t="s">
        <v>12</v>
      </c>
      <c r="C55" s="77">
        <v>195.05</v>
      </c>
      <c r="D55" s="77">
        <v>0.17799999999999999</v>
      </c>
      <c r="E55" s="77">
        <v>6.11</v>
      </c>
      <c r="F55" s="154">
        <f t="shared" si="2"/>
        <v>6.1150100647407779</v>
      </c>
      <c r="G55" s="80">
        <f t="shared" si="0"/>
        <v>3.8107483845690706</v>
      </c>
      <c r="H55" s="190"/>
      <c r="I55" s="190"/>
      <c r="J55" s="190"/>
    </row>
    <row r="56" spans="1:10" ht="16.5" hidden="1" thickBot="1" x14ac:dyDescent="0.3">
      <c r="A56" s="75">
        <v>1998</v>
      </c>
      <c r="B56" s="76" t="s">
        <v>13</v>
      </c>
      <c r="C56" s="77">
        <v>196.41200000000001</v>
      </c>
      <c r="D56" s="77">
        <v>0.69779999999999998</v>
      </c>
      <c r="E56" s="77">
        <f>100*($C$56/$C$55-1)</f>
        <v>0.69828249166878908</v>
      </c>
      <c r="F56" s="154">
        <f t="shared" si="2"/>
        <v>6.7413565261279063</v>
      </c>
      <c r="G56" s="80">
        <f t="shared" si="0"/>
        <v>3.7843231188022992</v>
      </c>
      <c r="H56" s="190"/>
      <c r="I56" s="190"/>
      <c r="J56" s="190"/>
    </row>
    <row r="57" spans="1:10" ht="16.5" hidden="1" thickBot="1" x14ac:dyDescent="0.3">
      <c r="A57" s="75">
        <v>1998</v>
      </c>
      <c r="B57" s="76" t="s">
        <v>14</v>
      </c>
      <c r="C57" s="77">
        <v>196.96</v>
      </c>
      <c r="D57" s="77">
        <v>0.28310000000000002</v>
      </c>
      <c r="E57" s="77">
        <f>100*($C$57/$C$55-1)</f>
        <v>0.97923609330941019</v>
      </c>
      <c r="F57" s="154">
        <f t="shared" si="2"/>
        <v>4.8173571093501399</v>
      </c>
      <c r="G57" s="80">
        <f t="shared" si="0"/>
        <v>3.7737940313271587</v>
      </c>
      <c r="H57" s="190"/>
      <c r="I57" s="190"/>
      <c r="J57" s="190"/>
    </row>
    <row r="58" spans="1:10" ht="16.5" hidden="1" thickBot="1" x14ac:dyDescent="0.3">
      <c r="A58" s="75">
        <v>1998</v>
      </c>
      <c r="B58" s="76" t="s">
        <v>15</v>
      </c>
      <c r="C58" s="77">
        <v>197.36</v>
      </c>
      <c r="D58" s="77">
        <v>0.2014</v>
      </c>
      <c r="E58" s="77">
        <f>100*($C$58/$C$55-1)</f>
        <v>1.1843117149448856</v>
      </c>
      <c r="F58" s="154">
        <f t="shared" si="2"/>
        <v>4.5474274329039499</v>
      </c>
      <c r="G58" s="80">
        <f t="shared" si="0"/>
        <v>3.7661454824189158</v>
      </c>
      <c r="H58" s="190"/>
      <c r="I58" s="190"/>
      <c r="J58" s="190"/>
    </row>
    <row r="59" spans="1:10" ht="16.5" hidden="1" thickBot="1" x14ac:dyDescent="0.3">
      <c r="A59" s="75">
        <v>1998</v>
      </c>
      <c r="B59" s="76" t="s">
        <v>16</v>
      </c>
      <c r="C59" s="77">
        <v>197.73</v>
      </c>
      <c r="D59" s="77">
        <v>0.18870000000000001</v>
      </c>
      <c r="E59" s="77">
        <f>100*($C$59/$C$55-1)</f>
        <v>1.3740066649576832</v>
      </c>
      <c r="F59" s="154">
        <f t="shared" si="2"/>
        <v>4.2226269062119348</v>
      </c>
      <c r="G59" s="80">
        <f t="shared" si="0"/>
        <v>3.7590981257785732</v>
      </c>
      <c r="H59" s="190"/>
      <c r="I59" s="190"/>
      <c r="J59" s="190"/>
    </row>
    <row r="60" spans="1:10" ht="16.5" hidden="1" thickBot="1" x14ac:dyDescent="0.3">
      <c r="A60" s="75">
        <v>1998</v>
      </c>
      <c r="B60" s="76" t="s">
        <v>17</v>
      </c>
      <c r="C60" s="77">
        <v>198.54</v>
      </c>
      <c r="D60" s="77">
        <v>0.41270000000000001</v>
      </c>
      <c r="E60" s="77">
        <f>100*($C$60/$C$55-1)</f>
        <v>1.7892847987695415</v>
      </c>
      <c r="F60" s="154">
        <f t="shared" si="2"/>
        <v>3.5307179305523295</v>
      </c>
      <c r="G60" s="80">
        <f t="shared" si="0"/>
        <v>3.7437618233615253</v>
      </c>
      <c r="H60" s="190"/>
      <c r="I60" s="190"/>
      <c r="J60" s="190"/>
    </row>
    <row r="61" spans="1:10" ht="16.5" hidden="1" thickBot="1" x14ac:dyDescent="0.3">
      <c r="A61" s="75">
        <v>1998</v>
      </c>
      <c r="B61" s="76" t="s">
        <v>18</v>
      </c>
      <c r="C61" s="77">
        <v>198.64</v>
      </c>
      <c r="D61" s="77">
        <v>5.1499999999999997E-2</v>
      </c>
      <c r="E61" s="77">
        <f>100*($C$61/$C$55-1)</f>
        <v>1.8405537041783937</v>
      </c>
      <c r="F61" s="154">
        <f t="shared" si="2"/>
        <v>3.5908404502143831</v>
      </c>
      <c r="G61" s="80">
        <f t="shared" si="0"/>
        <v>3.7418771265112629</v>
      </c>
      <c r="H61" s="190"/>
      <c r="I61" s="190"/>
      <c r="J61" s="190"/>
    </row>
    <row r="62" spans="1:10" ht="16.5" hidden="1" thickBot="1" x14ac:dyDescent="0.3">
      <c r="A62" s="75">
        <v>1998</v>
      </c>
      <c r="B62" s="76" t="s">
        <v>19</v>
      </c>
      <c r="C62" s="77">
        <v>197.61</v>
      </c>
      <c r="D62" s="77">
        <v>-0.36580000000000001</v>
      </c>
      <c r="E62" s="77">
        <f>100*($C$62/$C$55-1)</f>
        <v>1.3124839784670606</v>
      </c>
      <c r="F62" s="154">
        <f t="shared" si="2"/>
        <v>2.0471024148391637</v>
      </c>
      <c r="G62" s="80">
        <f t="shared" si="0"/>
        <v>3.7613808633682364</v>
      </c>
      <c r="H62" s="190"/>
      <c r="I62" s="190"/>
      <c r="J62" s="190"/>
    </row>
    <row r="63" spans="1:10" ht="16.5" hidden="1" thickBot="1" x14ac:dyDescent="0.3">
      <c r="A63" s="75">
        <v>1998</v>
      </c>
      <c r="B63" s="76" t="s">
        <v>20</v>
      </c>
      <c r="C63" s="77">
        <v>196.15</v>
      </c>
      <c r="D63" s="77">
        <v>-0.8851</v>
      </c>
      <c r="E63" s="77">
        <f>100*($C$63/$C$55-1)</f>
        <v>0.5639579594975519</v>
      </c>
      <c r="F63" s="154">
        <f t="shared" si="2"/>
        <v>0.7380819900087543</v>
      </c>
      <c r="G63" s="80">
        <f t="shared" si="0"/>
        <v>3.7893778863634831</v>
      </c>
      <c r="H63" s="190"/>
      <c r="I63" s="190"/>
      <c r="J63" s="190"/>
    </row>
    <row r="64" spans="1:10" ht="16.5" hidden="1" thickBot="1" x14ac:dyDescent="0.3">
      <c r="A64" s="75">
        <v>1998</v>
      </c>
      <c r="B64" s="76" t="s">
        <v>21</v>
      </c>
      <c r="C64" s="77">
        <v>195.93</v>
      </c>
      <c r="D64" s="77">
        <v>-0.10589999999999999</v>
      </c>
      <c r="E64" s="77">
        <f>+$C$64/$C$55*100-100</f>
        <v>0.45116636759804862</v>
      </c>
      <c r="F64" s="154">
        <f t="shared" si="2"/>
        <v>0.90642220734409307</v>
      </c>
      <c r="G64" s="80">
        <f t="shared" si="0"/>
        <v>3.793632789313516</v>
      </c>
      <c r="H64" s="190"/>
      <c r="I64" s="190"/>
      <c r="J64" s="190"/>
    </row>
    <row r="65" spans="1:10" ht="16.5" hidden="1" thickBot="1" x14ac:dyDescent="0.3">
      <c r="A65" s="75">
        <v>1998</v>
      </c>
      <c r="B65" s="76" t="s">
        <v>22</v>
      </c>
      <c r="C65" s="77">
        <v>196.34</v>
      </c>
      <c r="D65" s="77">
        <v>0.2104</v>
      </c>
      <c r="E65" s="77">
        <f>+$C$65/$C$55*100-100</f>
        <v>0.66136887977441461</v>
      </c>
      <c r="F65" s="154">
        <f t="shared" si="2"/>
        <v>0.72850400164170548</v>
      </c>
      <c r="G65" s="80">
        <f t="shared" si="0"/>
        <v>3.7857108709901048</v>
      </c>
      <c r="H65" s="190"/>
      <c r="I65" s="190"/>
      <c r="J65" s="190"/>
    </row>
    <row r="66" spans="1:10" ht="16.5" hidden="1" thickBot="1" x14ac:dyDescent="0.3">
      <c r="A66" s="75">
        <v>1998</v>
      </c>
      <c r="B66" s="76" t="s">
        <v>23</v>
      </c>
      <c r="C66" s="77">
        <v>195.68</v>
      </c>
      <c r="D66" s="77">
        <v>-0.34139999999999998</v>
      </c>
      <c r="E66" s="77">
        <f>+$C$66/$C$55*100-100</f>
        <v>0.32299410407587459</v>
      </c>
      <c r="F66" s="154">
        <f t="shared" si="2"/>
        <v>0.50333846944017324</v>
      </c>
      <c r="G66" s="80">
        <f t="shared" si="0"/>
        <v>3.7984795196759875</v>
      </c>
      <c r="H66" s="190"/>
      <c r="I66" s="190"/>
      <c r="J66" s="190"/>
    </row>
    <row r="67" spans="1:10" ht="16.5" hidden="1" thickBot="1" x14ac:dyDescent="0.3">
      <c r="A67" s="75">
        <v>1998</v>
      </c>
      <c r="B67" s="76" t="s">
        <v>12</v>
      </c>
      <c r="C67" s="77">
        <v>195.97</v>
      </c>
      <c r="D67" s="77">
        <v>0.15229999999999999</v>
      </c>
      <c r="E67" s="77">
        <f>+(($C$67/$C$55)-1)*100</f>
        <v>0.47167392976159572</v>
      </c>
      <c r="F67" s="154">
        <f t="shared" si="2"/>
        <v>0.47167392976159572</v>
      </c>
      <c r="G67" s="80">
        <f t="shared" si="0"/>
        <v>3.7928584600203972</v>
      </c>
      <c r="H67" s="190"/>
      <c r="I67" s="190"/>
      <c r="J67" s="190"/>
    </row>
    <row r="68" spans="1:10" ht="16.5" hidden="1" thickBot="1" x14ac:dyDescent="0.3">
      <c r="A68" s="75">
        <v>1999</v>
      </c>
      <c r="B68" s="76" t="s">
        <v>13</v>
      </c>
      <c r="C68" s="77">
        <v>198.67</v>
      </c>
      <c r="D68" s="77">
        <v>1.3841000000000001</v>
      </c>
      <c r="E68" s="77">
        <f>+(($C$68/$C$67)-1)*100</f>
        <v>1.3777619023319865</v>
      </c>
      <c r="F68" s="154">
        <f t="shared" si="2"/>
        <v>1.1496242592102135</v>
      </c>
      <c r="G68" s="80">
        <f t="shared" si="0"/>
        <v>3.7413120874324117</v>
      </c>
      <c r="H68" s="190"/>
      <c r="I68" s="190"/>
      <c r="J68" s="190"/>
    </row>
    <row r="69" spans="1:10" ht="16.5" hidden="1" thickBot="1" x14ac:dyDescent="0.3">
      <c r="A69" s="75">
        <v>1999</v>
      </c>
      <c r="B69" s="76" t="s">
        <v>14</v>
      </c>
      <c r="C69" s="77">
        <v>200.96</v>
      </c>
      <c r="D69" s="77">
        <v>1.1474</v>
      </c>
      <c r="E69" s="77">
        <f>+(($C$69/$C$67)-1)*100</f>
        <v>2.5463081083839434</v>
      </c>
      <c r="F69" s="154">
        <f t="shared" si="2"/>
        <v>2.0308692120227567</v>
      </c>
      <c r="G69" s="80">
        <f t="shared" si="0"/>
        <v>3.6986787042704878</v>
      </c>
      <c r="H69" s="190"/>
      <c r="I69" s="190"/>
      <c r="J69" s="190"/>
    </row>
    <row r="70" spans="1:10" ht="16.5" hidden="1" thickBot="1" x14ac:dyDescent="0.3">
      <c r="A70" s="75">
        <v>1999</v>
      </c>
      <c r="B70" s="76" t="s">
        <v>15</v>
      </c>
      <c r="C70" s="77">
        <v>202.93</v>
      </c>
      <c r="D70" s="77">
        <v>0.9839</v>
      </c>
      <c r="E70" s="77">
        <f>+(($C$70/$C$67)-1)*100</f>
        <v>3.5515640149002436</v>
      </c>
      <c r="F70" s="154">
        <f t="shared" si="2"/>
        <v>2.8222537494932975</v>
      </c>
      <c r="G70" s="80">
        <f t="shared" si="0"/>
        <v>3.6627727413896278</v>
      </c>
      <c r="H70" s="190"/>
      <c r="I70" s="190"/>
      <c r="J70" s="190"/>
    </row>
    <row r="71" spans="1:10" ht="16.5" hidden="1" thickBot="1" x14ac:dyDescent="0.3">
      <c r="A71" s="75">
        <v>1999</v>
      </c>
      <c r="B71" s="76" t="s">
        <v>16</v>
      </c>
      <c r="C71" s="77">
        <v>203.15</v>
      </c>
      <c r="D71" s="77">
        <v>0.1085</v>
      </c>
      <c r="E71" s="77">
        <f>+(($C$71/$C$67)-1)*100</f>
        <v>3.663826095831002</v>
      </c>
      <c r="F71" s="154">
        <f t="shared" si="2"/>
        <v>2.7411116168512661</v>
      </c>
      <c r="G71" s="80">
        <f t="shared" ref="G71:G134" si="6">+$C$321/C71</f>
        <v>3.6588061649529768</v>
      </c>
      <c r="H71" s="190"/>
      <c r="I71" s="190"/>
      <c r="J71" s="190"/>
    </row>
    <row r="72" spans="1:10" ht="16.5" hidden="1" thickBot="1" x14ac:dyDescent="0.3">
      <c r="A72" s="75">
        <v>1999</v>
      </c>
      <c r="B72" s="76" t="s">
        <v>17</v>
      </c>
      <c r="C72" s="77">
        <v>203.6</v>
      </c>
      <c r="D72" s="77">
        <v>0.21629999999999999</v>
      </c>
      <c r="E72" s="77">
        <f>+(($C$72/$C$67)-1)*100</f>
        <v>3.8934530795529998</v>
      </c>
      <c r="F72" s="154">
        <f t="shared" si="2"/>
        <v>2.5486048151506013</v>
      </c>
      <c r="G72" s="80">
        <f t="shared" si="6"/>
        <v>3.6507194126237588</v>
      </c>
      <c r="H72" s="190"/>
      <c r="I72" s="190"/>
      <c r="J72" s="190"/>
    </row>
    <row r="73" spans="1:10" ht="16.5" hidden="1" thickBot="1" x14ac:dyDescent="0.3">
      <c r="A73" s="75">
        <v>1999</v>
      </c>
      <c r="B73" s="76" t="s">
        <v>18</v>
      </c>
      <c r="C73" s="77">
        <v>204.29</v>
      </c>
      <c r="D73" s="77">
        <v>0.33979999999999999</v>
      </c>
      <c r="E73" s="77">
        <f>+(($C$73/$C$67)-1)*100</f>
        <v>4.2455477879267178</v>
      </c>
      <c r="F73" s="154">
        <f t="shared" si="2"/>
        <v>2.8443415223520008</v>
      </c>
      <c r="G73" s="80">
        <f t="shared" si="6"/>
        <v>3.6383889197229293</v>
      </c>
      <c r="H73" s="190"/>
      <c r="I73" s="190"/>
      <c r="J73" s="190"/>
    </row>
    <row r="74" spans="1:10" ht="16.5" hidden="1" thickBot="1" x14ac:dyDescent="0.3">
      <c r="A74" s="75">
        <v>1999</v>
      </c>
      <c r="B74" s="76" t="s">
        <v>19</v>
      </c>
      <c r="C74" s="77">
        <v>206.78200000000001</v>
      </c>
      <c r="D74" s="77">
        <v>1.1881999999999999</v>
      </c>
      <c r="E74" s="77">
        <f>+(($C$74/$C$67)-1)*100</f>
        <v>5.5171709955605497</v>
      </c>
      <c r="F74" s="154">
        <f t="shared" si="2"/>
        <v>4.6414655128788951</v>
      </c>
      <c r="G74" s="80">
        <f t="shared" si="6"/>
        <v>3.5945414611049182</v>
      </c>
      <c r="H74" s="190"/>
      <c r="I74" s="190"/>
      <c r="J74" s="190"/>
    </row>
    <row r="75" spans="1:10" ht="16.5" hidden="1" thickBot="1" x14ac:dyDescent="0.3">
      <c r="A75" s="75">
        <v>1999</v>
      </c>
      <c r="B75" s="76" t="s">
        <v>20</v>
      </c>
      <c r="C75" s="77">
        <v>207.51</v>
      </c>
      <c r="D75" s="77">
        <v>0.38080000000000003</v>
      </c>
      <c r="E75" s="77">
        <f>+(($C$75/$C$67)-1)*100</f>
        <v>5.8886564270041353</v>
      </c>
      <c r="F75" s="154">
        <f t="shared" si="2"/>
        <v>5.7914861075707202</v>
      </c>
      <c r="G75" s="80">
        <f t="shared" si="6"/>
        <v>3.5819308583210314</v>
      </c>
      <c r="H75" s="190"/>
      <c r="I75" s="190"/>
      <c r="J75" s="190"/>
    </row>
    <row r="76" spans="1:10" ht="16.5" hidden="1" thickBot="1" x14ac:dyDescent="0.3">
      <c r="A76" s="75">
        <v>1999</v>
      </c>
      <c r="B76" s="76" t="s">
        <v>21</v>
      </c>
      <c r="C76" s="77">
        <f>+$C$75*(1+$D$76/100)</f>
        <v>208.27882455</v>
      </c>
      <c r="D76" s="77">
        <v>0.3705</v>
      </c>
      <c r="E76" s="77">
        <f>+(($C$76/$C$67)-1)*100</f>
        <v>6.280973899066189</v>
      </c>
      <c r="F76" s="154">
        <f t="shared" si="2"/>
        <v>6.3026716429336993</v>
      </c>
      <c r="G76" s="80">
        <f t="shared" si="6"/>
        <v>3.568708792245761</v>
      </c>
      <c r="H76" s="190"/>
      <c r="I76" s="190"/>
      <c r="J76" s="190"/>
    </row>
    <row r="77" spans="1:10" ht="16.5" hidden="1" thickBot="1" x14ac:dyDescent="0.3">
      <c r="A77" s="75">
        <v>1999</v>
      </c>
      <c r="B77" s="76" t="s">
        <v>22</v>
      </c>
      <c r="C77" s="77">
        <f>+$C$76*(1+$D$77/100)</f>
        <v>210.21581761831501</v>
      </c>
      <c r="D77" s="81">
        <v>0.93</v>
      </c>
      <c r="E77" s="77">
        <f>+(($C$77/$C$67)-1)*100</f>
        <v>7.269386956327506</v>
      </c>
      <c r="F77" s="154">
        <f t="shared" si="2"/>
        <v>7.0672392881302892</v>
      </c>
      <c r="G77" s="80">
        <f t="shared" si="6"/>
        <v>3.5358256140352329</v>
      </c>
      <c r="H77" s="190"/>
      <c r="I77" s="190"/>
      <c r="J77" s="190"/>
    </row>
    <row r="78" spans="1:10" ht="16.5" hidden="1" thickBot="1" x14ac:dyDescent="0.3">
      <c r="A78" s="75">
        <v>1999</v>
      </c>
      <c r="B78" s="76" t="s">
        <v>23</v>
      </c>
      <c r="C78" s="77">
        <f>+$C$77*(1+$D$78/100)</f>
        <v>213.03313000603566</v>
      </c>
      <c r="D78" s="81">
        <v>1.3402000000000001</v>
      </c>
      <c r="E78" s="77">
        <f>+(($C$78/$C$67)-1)*100</f>
        <v>8.7070112803162125</v>
      </c>
      <c r="F78" s="154">
        <f t="shared" si="2"/>
        <v>8.8681163154311413</v>
      </c>
      <c r="G78" s="80">
        <f t="shared" si="6"/>
        <v>3.4890651627244007</v>
      </c>
      <c r="H78" s="190"/>
      <c r="I78" s="190"/>
      <c r="J78" s="190"/>
    </row>
    <row r="79" spans="1:10" ht="16.5" hidden="1" thickBot="1" x14ac:dyDescent="0.3">
      <c r="A79" s="75">
        <v>1999</v>
      </c>
      <c r="B79" s="76" t="s">
        <v>12</v>
      </c>
      <c r="C79" s="77">
        <f>+$C$78*(1+$D$79/100)</f>
        <v>214.73164315157379</v>
      </c>
      <c r="D79" s="77">
        <v>0.79730000000000001</v>
      </c>
      <c r="E79" s="77">
        <f>+(($C$79/$C$67)-1)*100</f>
        <v>9.573732281254177</v>
      </c>
      <c r="F79" s="154">
        <f t="shared" si="2"/>
        <v>9.573732281254177</v>
      </c>
      <c r="G79" s="80">
        <f t="shared" si="6"/>
        <v>3.4614668872324961</v>
      </c>
      <c r="H79" s="190"/>
      <c r="I79" s="190"/>
      <c r="J79" s="190"/>
    </row>
    <row r="80" spans="1:10" ht="16.5" hidden="1" thickBot="1" x14ac:dyDescent="0.3">
      <c r="A80" s="75">
        <v>2000</v>
      </c>
      <c r="B80" s="82" t="s">
        <v>13</v>
      </c>
      <c r="C80" s="77">
        <f>+$C$79*(1+$D$80/100)</f>
        <v>217.28909702150906</v>
      </c>
      <c r="D80" s="77">
        <v>1.1910000000000001</v>
      </c>
      <c r="E80" s="77">
        <f>+(($C$80/$C$79)-1)*100</f>
        <v>1.1910000000000087</v>
      </c>
      <c r="F80" s="154">
        <f t="shared" si="2"/>
        <v>9.371871455936521</v>
      </c>
      <c r="G80" s="80">
        <f t="shared" si="6"/>
        <v>3.4207260400949644</v>
      </c>
      <c r="H80" s="190"/>
      <c r="I80" s="190"/>
      <c r="J80" s="190"/>
    </row>
    <row r="81" spans="1:10" ht="16.5" hidden="1" thickBot="1" x14ac:dyDescent="0.3">
      <c r="A81" s="75">
        <v>2000</v>
      </c>
      <c r="B81" s="82" t="s">
        <v>14</v>
      </c>
      <c r="C81" s="77">
        <f>+$C$80*(1+$D$81/100)</f>
        <v>216.84408895080901</v>
      </c>
      <c r="D81" s="77">
        <v>-0.20480000000000001</v>
      </c>
      <c r="E81" s="77">
        <f>+(($C$81/$C$79)-1)*100</f>
        <v>0.98376083200000242</v>
      </c>
      <c r="F81" s="154">
        <f t="shared" si="2"/>
        <v>7.904104772496523</v>
      </c>
      <c r="G81" s="80">
        <f t="shared" si="6"/>
        <v>3.4277460640341064</v>
      </c>
      <c r="H81" s="190"/>
      <c r="I81" s="190"/>
      <c r="J81" s="190"/>
    </row>
    <row r="82" spans="1:10" ht="16.5" hidden="1" thickBot="1" x14ac:dyDescent="0.3">
      <c r="A82" s="75">
        <v>2000</v>
      </c>
      <c r="B82" s="82" t="s">
        <v>15</v>
      </c>
      <c r="C82" s="77">
        <f>+$C$81*(1+$D$82/100)</f>
        <v>218.51834216159821</v>
      </c>
      <c r="D82" s="77">
        <v>0.77210000000000001</v>
      </c>
      <c r="E82" s="77">
        <f>+(($C$82/$C$79)-1)*100</f>
        <v>1.7634564493838933</v>
      </c>
      <c r="F82" s="154">
        <f t="shared" si="2"/>
        <v>7.6816351262002591</v>
      </c>
      <c r="G82" s="80">
        <f t="shared" si="6"/>
        <v>3.4014832121530723</v>
      </c>
      <c r="H82" s="190"/>
      <c r="I82" s="190"/>
      <c r="J82" s="190"/>
    </row>
    <row r="83" spans="1:10" ht="16.5" hidden="1" thickBot="1" x14ac:dyDescent="0.3">
      <c r="A83" s="75">
        <v>2000</v>
      </c>
      <c r="B83" s="82" t="s">
        <v>16</v>
      </c>
      <c r="C83" s="77">
        <f>+$C$82*(1+$D$83/100)</f>
        <v>219.14133795510091</v>
      </c>
      <c r="D83" s="77">
        <v>0.28510000000000002</v>
      </c>
      <c r="E83" s="77">
        <f>+(($C$83/$C$79)-1)*100</f>
        <v>2.0535840637210701</v>
      </c>
      <c r="F83" s="154">
        <f t="shared" si="2"/>
        <v>7.8716898622204878</v>
      </c>
      <c r="G83" s="80">
        <f t="shared" si="6"/>
        <v>3.3918131528542852</v>
      </c>
      <c r="H83" s="190"/>
      <c r="I83" s="190"/>
      <c r="J83" s="190"/>
    </row>
    <row r="84" spans="1:10" ht="16.5" hidden="1" thickBot="1" x14ac:dyDescent="0.3">
      <c r="A84" s="75">
        <v>2000</v>
      </c>
      <c r="B84" s="82" t="s">
        <v>17</v>
      </c>
      <c r="C84" s="77">
        <f>+$C$83*(1+$D$84/100)</f>
        <v>218.70765724728778</v>
      </c>
      <c r="D84" s="77">
        <v>-0.19789999999999999</v>
      </c>
      <c r="E84" s="77">
        <f>+(($C$84/$C$79)-1)*100</f>
        <v>1.8516200208589684</v>
      </c>
      <c r="F84" s="154">
        <f t="shared" si="2"/>
        <v>7.4202638739134574</v>
      </c>
      <c r="G84" s="80">
        <f t="shared" si="6"/>
        <v>3.3985388612607199</v>
      </c>
      <c r="H84" s="190"/>
      <c r="I84" s="190"/>
      <c r="J84" s="190"/>
    </row>
    <row r="85" spans="1:10" ht="16.5" hidden="1" thickBot="1" x14ac:dyDescent="0.3">
      <c r="A85" s="75">
        <v>2000</v>
      </c>
      <c r="B85" s="82" t="s">
        <v>18</v>
      </c>
      <c r="C85" s="77">
        <f>+$C$84*(1+$D$85/100)</f>
        <v>219.04227996287614</v>
      </c>
      <c r="D85" s="77">
        <v>0.153</v>
      </c>
      <c r="E85" s="77">
        <f>+(($C$85/$C$79)-1)*100</f>
        <v>2.0074529994908996</v>
      </c>
      <c r="F85" s="154">
        <f t="shared" si="2"/>
        <v>7.2212442913877961</v>
      </c>
      <c r="G85" s="80">
        <f t="shared" si="6"/>
        <v>3.3933470402890773</v>
      </c>
      <c r="H85" s="190"/>
      <c r="I85" s="190"/>
      <c r="J85" s="190"/>
    </row>
    <row r="86" spans="1:10" ht="16.5" hidden="1" thickBot="1" x14ac:dyDescent="0.3">
      <c r="A86" s="75">
        <v>2000</v>
      </c>
      <c r="B86" s="82" t="s">
        <v>19</v>
      </c>
      <c r="C86" s="77">
        <f>+$C$85*(1+$D$86/100)</f>
        <v>223.70612818784571</v>
      </c>
      <c r="D86" s="77">
        <v>2.1292</v>
      </c>
      <c r="E86" s="77">
        <f>+(($C$86/$C$79)-1)*100</f>
        <v>4.1793956887560491</v>
      </c>
      <c r="F86" s="154">
        <f t="shared" ref="F86:F149" si="7">100*((C86/C74)-1)</f>
        <v>8.1845267904584027</v>
      </c>
      <c r="G86" s="80">
        <f t="shared" si="6"/>
        <v>3.3226021943666231</v>
      </c>
      <c r="H86" s="190"/>
      <c r="I86" s="190"/>
      <c r="J86" s="190"/>
    </row>
    <row r="87" spans="1:10" ht="16.5" hidden="1" thickBot="1" x14ac:dyDescent="0.3">
      <c r="A87" s="75">
        <v>2000</v>
      </c>
      <c r="B87" s="82" t="s">
        <v>20</v>
      </c>
      <c r="C87" s="77">
        <f>+$C$86*(1+$D$87/100)</f>
        <v>226.62862504649172</v>
      </c>
      <c r="D87" s="77">
        <v>1.3064</v>
      </c>
      <c r="E87" s="77">
        <f>+(($C$87/$C$79)-1)*100</f>
        <v>5.5403953140339635</v>
      </c>
      <c r="F87" s="154">
        <f t="shared" si="7"/>
        <v>9.2133511862038997</v>
      </c>
      <c r="G87" s="80">
        <f t="shared" si="6"/>
        <v>3.2797554689206438</v>
      </c>
      <c r="H87" s="190"/>
      <c r="I87" s="190"/>
      <c r="J87" s="190"/>
    </row>
    <row r="88" spans="1:10" ht="16.5" hidden="1" thickBot="1" x14ac:dyDescent="0.3">
      <c r="A88" s="75">
        <v>2000</v>
      </c>
      <c r="B88" s="82" t="s">
        <v>21</v>
      </c>
      <c r="C88" s="77">
        <f>+$C$87*(1+$D$88/100)</f>
        <v>227.55598938018196</v>
      </c>
      <c r="D88" s="77">
        <v>0.40920000000000001</v>
      </c>
      <c r="E88" s="77">
        <f>+(($C$88/$C$79)-1)*100</f>
        <v>5.972266611658994</v>
      </c>
      <c r="F88" s="154">
        <f t="shared" si="7"/>
        <v>9.2554607372264286</v>
      </c>
      <c r="G88" s="80">
        <f t="shared" si="6"/>
        <v>3.2663894034815972</v>
      </c>
      <c r="H88" s="190"/>
      <c r="I88" s="190"/>
      <c r="J88" s="190"/>
    </row>
    <row r="89" spans="1:10" ht="16.5" hidden="1" thickBot="1" x14ac:dyDescent="0.3">
      <c r="A89" s="75">
        <v>2000</v>
      </c>
      <c r="B89" s="82" t="s">
        <v>22</v>
      </c>
      <c r="C89" s="77">
        <f>+$C$88*(1+$D$89/100)</f>
        <v>227.55485160023505</v>
      </c>
      <c r="D89" s="77">
        <v>-5.0000000000000001E-4</v>
      </c>
      <c r="E89" s="77">
        <f>+(($C$89/$C$79)-1)*100</f>
        <v>5.9717367503259178</v>
      </c>
      <c r="F89" s="154">
        <f t="shared" si="7"/>
        <v>8.248206142794734</v>
      </c>
      <c r="G89" s="80">
        <f t="shared" si="6"/>
        <v>3.2664057355102747</v>
      </c>
      <c r="H89" s="190"/>
      <c r="I89" s="190"/>
      <c r="J89" s="190"/>
    </row>
    <row r="90" spans="1:10" ht="16.5" hidden="1" thickBot="1" x14ac:dyDescent="0.3">
      <c r="A90" s="75">
        <v>2000</v>
      </c>
      <c r="B90" s="82" t="s">
        <v>23</v>
      </c>
      <c r="C90" s="77">
        <f>+$C$89*(1+$D$90/100)</f>
        <v>228.32944831508223</v>
      </c>
      <c r="D90" s="77">
        <v>0.34039999999999998</v>
      </c>
      <c r="E90" s="77">
        <f>+(($C$90/$C$79)-1)*100</f>
        <v>6.3324645422240255</v>
      </c>
      <c r="F90" s="154">
        <f t="shared" si="7"/>
        <v>7.1802532820191889</v>
      </c>
      <c r="G90" s="80">
        <f t="shared" si="6"/>
        <v>3.2553246105360105</v>
      </c>
      <c r="H90" s="190"/>
      <c r="I90" s="190"/>
      <c r="J90" s="190"/>
    </row>
    <row r="91" spans="1:10" ht="16.5" hidden="1" thickBot="1" x14ac:dyDescent="0.3">
      <c r="A91" s="75">
        <v>2000</v>
      </c>
      <c r="B91" s="82" t="s">
        <v>12</v>
      </c>
      <c r="C91" s="77">
        <f>+$C$90*(1+$D$91/100)</f>
        <v>230.20882800416371</v>
      </c>
      <c r="D91" s="77">
        <v>0.82310000000000005</v>
      </c>
      <c r="E91" s="77">
        <f>+(($C$91/$C$79)-1)*100</f>
        <v>7.2076870578710928</v>
      </c>
      <c r="F91" s="154">
        <f t="shared" si="7"/>
        <v>7.2076870578710928</v>
      </c>
      <c r="G91" s="80">
        <f t="shared" si="6"/>
        <v>3.2287487793333178</v>
      </c>
      <c r="H91" s="190"/>
      <c r="I91" s="190"/>
      <c r="J91" s="190"/>
    </row>
    <row r="92" spans="1:10" ht="16.5" hidden="1" thickBot="1" x14ac:dyDescent="0.3">
      <c r="A92" s="75">
        <v>2001</v>
      </c>
      <c r="B92" s="82" t="s">
        <v>13</v>
      </c>
      <c r="C92" s="77">
        <f>+$C$91*(1+$D$92/100)</f>
        <v>232.1108133411341</v>
      </c>
      <c r="D92" s="77">
        <v>0.82620000000000005</v>
      </c>
      <c r="E92" s="77">
        <f>+(($C$92/$C$91)-1)*100</f>
        <v>0.82619999999999916</v>
      </c>
      <c r="F92" s="154">
        <f t="shared" si="7"/>
        <v>6.8211965178160083</v>
      </c>
      <c r="G92" s="80">
        <f t="shared" si="6"/>
        <v>3.2022914473949409</v>
      </c>
      <c r="H92" s="190"/>
      <c r="I92" s="190"/>
      <c r="J92" s="190"/>
    </row>
    <row r="93" spans="1:10" ht="16.5" hidden="1" thickBot="1" x14ac:dyDescent="0.3">
      <c r="A93" s="75">
        <v>2001</v>
      </c>
      <c r="B93" s="82" t="s">
        <v>14</v>
      </c>
      <c r="C93" s="77">
        <f>+$C$92*(1+$D$93/100)</f>
        <v>232.64257921449865</v>
      </c>
      <c r="D93" s="77">
        <v>0.2291</v>
      </c>
      <c r="E93" s="77">
        <f>+(($C$93/$C$91)-1)*100</f>
        <v>1.0571928242000039</v>
      </c>
      <c r="F93" s="154">
        <f t="shared" si="7"/>
        <v>7.2856448797520734</v>
      </c>
      <c r="G93" s="80">
        <f t="shared" si="6"/>
        <v>3.1949717670765683</v>
      </c>
      <c r="H93" s="190"/>
      <c r="I93" s="190"/>
      <c r="J93" s="190"/>
    </row>
    <row r="94" spans="1:10" ht="16.5" hidden="1" thickBot="1" x14ac:dyDescent="0.3">
      <c r="A94" s="75">
        <v>2001</v>
      </c>
      <c r="B94" s="82" t="s">
        <v>15</v>
      </c>
      <c r="C94" s="77">
        <f t="shared" ref="C94:C103" si="8">+C93*(1+D94/101)</f>
        <v>233.76225800416367</v>
      </c>
      <c r="D94" s="77">
        <v>0.48609999999999998</v>
      </c>
      <c r="E94" s="77">
        <f>+(($C$94/$C$91)-1)*100</f>
        <v>1.5435680859014145</v>
      </c>
      <c r="F94" s="154">
        <f t="shared" si="7"/>
        <v>6.9760349139443401</v>
      </c>
      <c r="G94" s="80">
        <f t="shared" si="6"/>
        <v>3.1796684321767552</v>
      </c>
      <c r="H94" s="190"/>
      <c r="I94" s="190"/>
      <c r="J94" s="190"/>
    </row>
    <row r="95" spans="1:10" ht="16.5" hidden="1" thickBot="1" x14ac:dyDescent="0.3">
      <c r="A95" s="75">
        <v>2001</v>
      </c>
      <c r="B95" s="82" t="s">
        <v>16</v>
      </c>
      <c r="C95" s="77">
        <f t="shared" si="8"/>
        <v>234.66629303363322</v>
      </c>
      <c r="D95" s="77">
        <v>0.3906</v>
      </c>
      <c r="E95" s="77">
        <f t="shared" ref="E95:E103" si="9">+((C95/$C$91)-1)*100</f>
        <v>1.9362702412910604</v>
      </c>
      <c r="F95" s="154">
        <f t="shared" si="7"/>
        <v>7.0844484310455202</v>
      </c>
      <c r="G95" s="80">
        <f t="shared" si="6"/>
        <v>3.1674189880506902</v>
      </c>
      <c r="H95" s="191"/>
      <c r="I95" s="190"/>
      <c r="J95" s="190"/>
    </row>
    <row r="96" spans="1:10" ht="16.5" hidden="1" thickBot="1" x14ac:dyDescent="0.3">
      <c r="A96" s="75">
        <v>2001</v>
      </c>
      <c r="B96" s="82" t="s">
        <v>17</v>
      </c>
      <c r="C96" s="77">
        <f t="shared" si="8"/>
        <v>235.17884139247695</v>
      </c>
      <c r="D96" s="77">
        <v>0.22059999999999999</v>
      </c>
      <c r="E96" s="77">
        <f t="shared" si="9"/>
        <v>2.158915203818057</v>
      </c>
      <c r="F96" s="154">
        <f t="shared" si="7"/>
        <v>7.5311419602312135</v>
      </c>
      <c r="G96" s="80">
        <f t="shared" si="6"/>
        <v>3.160515920604301</v>
      </c>
      <c r="H96" s="190"/>
      <c r="I96" s="190"/>
      <c r="J96" s="190"/>
    </row>
    <row r="97" spans="1:10" ht="16.5" hidden="1" thickBot="1" x14ac:dyDescent="0.3">
      <c r="A97" s="75">
        <v>2001</v>
      </c>
      <c r="B97" s="82" t="s">
        <v>18</v>
      </c>
      <c r="C97" s="77">
        <f t="shared" si="8"/>
        <v>238.73679455730573</v>
      </c>
      <c r="D97" s="77">
        <v>1.528</v>
      </c>
      <c r="E97" s="77">
        <f t="shared" si="9"/>
        <v>3.7044480991788031</v>
      </c>
      <c r="F97" s="154">
        <f t="shared" si="7"/>
        <v>8.9911932060638975</v>
      </c>
      <c r="G97" s="80">
        <f t="shared" si="6"/>
        <v>3.1134139745341214</v>
      </c>
      <c r="H97" s="190"/>
      <c r="I97" s="190"/>
      <c r="J97" s="190"/>
    </row>
    <row r="98" spans="1:10" ht="16.5" hidden="1" thickBot="1" x14ac:dyDescent="0.3">
      <c r="A98" s="75">
        <v>2001</v>
      </c>
      <c r="B98" s="82" t="s">
        <v>19</v>
      </c>
      <c r="C98" s="77">
        <f t="shared" si="8"/>
        <v>243.73821221674933</v>
      </c>
      <c r="D98" s="77">
        <v>2.1158999999999999</v>
      </c>
      <c r="E98" s="77">
        <f t="shared" si="9"/>
        <v>5.877004948020903</v>
      </c>
      <c r="F98" s="154">
        <f t="shared" si="7"/>
        <v>8.954642499593346</v>
      </c>
      <c r="G98" s="80">
        <f t="shared" si="6"/>
        <v>3.049527875215619</v>
      </c>
      <c r="H98" s="190"/>
      <c r="I98" s="190"/>
      <c r="J98" s="190"/>
    </row>
    <row r="99" spans="1:10" ht="16.5" hidden="1" thickBot="1" x14ac:dyDescent="0.3">
      <c r="A99" s="75">
        <v>2001</v>
      </c>
      <c r="B99" s="82" t="s">
        <v>20</v>
      </c>
      <c r="C99" s="77">
        <f t="shared" si="8"/>
        <v>245.30055002456245</v>
      </c>
      <c r="D99" s="77">
        <v>0.64739999999999998</v>
      </c>
      <c r="E99" s="77">
        <f t="shared" si="9"/>
        <v>6.5556660668659505</v>
      </c>
      <c r="F99" s="154">
        <f t="shared" si="7"/>
        <v>8.2389967173124301</v>
      </c>
      <c r="G99" s="80">
        <f t="shared" si="6"/>
        <v>3.0301052008883405</v>
      </c>
      <c r="H99" s="190"/>
      <c r="I99" s="190"/>
      <c r="J99" s="190"/>
    </row>
    <row r="100" spans="1:10" ht="16.5" hidden="1" thickBot="1" x14ac:dyDescent="0.3">
      <c r="A100" s="75">
        <v>2001</v>
      </c>
      <c r="B100" s="82" t="s">
        <v>21</v>
      </c>
      <c r="C100" s="77">
        <f t="shared" si="8"/>
        <v>246.76628152891715</v>
      </c>
      <c r="D100" s="81">
        <v>0.60350000000000004</v>
      </c>
      <c r="E100" s="77">
        <f t="shared" si="9"/>
        <v>7.1923625467803509</v>
      </c>
      <c r="F100" s="154">
        <f t="shared" si="7"/>
        <v>8.4420068226111145</v>
      </c>
      <c r="G100" s="80">
        <f t="shared" si="6"/>
        <v>3.0121071153033347</v>
      </c>
      <c r="H100" s="190"/>
      <c r="I100" s="190"/>
      <c r="J100" s="190"/>
    </row>
    <row r="101" spans="1:10" ht="16.5" hidden="1" thickBot="1" x14ac:dyDescent="0.3">
      <c r="A101" s="75">
        <v>2001</v>
      </c>
      <c r="B101" s="82" t="s">
        <v>22</v>
      </c>
      <c r="C101" s="77">
        <f t="shared" si="8"/>
        <v>249.68789657299914</v>
      </c>
      <c r="D101" s="81">
        <v>1.1958</v>
      </c>
      <c r="E101" s="77">
        <f t="shared" si="9"/>
        <v>8.4614776669134084</v>
      </c>
      <c r="F101" s="154">
        <f t="shared" si="7"/>
        <v>9.7264658683907435</v>
      </c>
      <c r="G101" s="80">
        <f t="shared" si="6"/>
        <v>2.9768622452746278</v>
      </c>
      <c r="H101" s="190"/>
      <c r="I101" s="190"/>
      <c r="J101" s="190"/>
    </row>
    <row r="102" spans="1:10" ht="16.5" hidden="1" thickBot="1" x14ac:dyDescent="0.3">
      <c r="A102" s="75">
        <v>2001</v>
      </c>
      <c r="B102" s="82" t="s">
        <v>23</v>
      </c>
      <c r="C102" s="77">
        <f t="shared" si="8"/>
        <v>252.10368877627772</v>
      </c>
      <c r="D102" s="81">
        <v>0.97719999999999996</v>
      </c>
      <c r="E102" s="77">
        <f t="shared" si="9"/>
        <v>9.5108693102412332</v>
      </c>
      <c r="F102" s="154">
        <f t="shared" si="7"/>
        <v>10.412253275533834</v>
      </c>
      <c r="G102" s="80">
        <f t="shared" si="6"/>
        <v>2.9483363611938489</v>
      </c>
      <c r="H102" s="190"/>
      <c r="I102" s="190"/>
      <c r="J102" s="190"/>
    </row>
    <row r="103" spans="1:10" ht="16.5" hidden="1" thickBot="1" x14ac:dyDescent="0.3">
      <c r="A103" s="75">
        <v>2001</v>
      </c>
      <c r="B103" s="82" t="s">
        <v>12</v>
      </c>
      <c r="C103" s="77">
        <f t="shared" si="8"/>
        <v>251.70456620365073</v>
      </c>
      <c r="D103" s="81">
        <v>-0.15989999999999999</v>
      </c>
      <c r="E103" s="77">
        <f t="shared" si="9"/>
        <v>9.3374951716005619</v>
      </c>
      <c r="F103" s="154">
        <f t="shared" si="7"/>
        <v>9.3374951716005619</v>
      </c>
      <c r="G103" s="80">
        <f t="shared" si="6"/>
        <v>2.953011475400944</v>
      </c>
      <c r="H103" s="190"/>
      <c r="I103" s="190"/>
      <c r="J103" s="190"/>
    </row>
    <row r="104" spans="1:10" ht="16.5" hidden="1" thickBot="1" x14ac:dyDescent="0.3">
      <c r="A104" s="75">
        <v>2002</v>
      </c>
      <c r="B104" s="82" t="s">
        <v>13</v>
      </c>
      <c r="C104" s="77">
        <f>+C103*(1+D104/100)</f>
        <v>254.37338971910802</v>
      </c>
      <c r="D104" s="81">
        <v>1.0603</v>
      </c>
      <c r="E104" s="77">
        <f t="shared" ref="E104:E110" si="10">100*((C104/$C$103)-1)</f>
        <v>1.0602999999999918</v>
      </c>
      <c r="F104" s="154">
        <f t="shared" si="7"/>
        <v>9.5913568426708942</v>
      </c>
      <c r="G104" s="80">
        <f t="shared" si="6"/>
        <v>2.9220291997955123</v>
      </c>
      <c r="H104" s="190"/>
      <c r="I104" s="190"/>
      <c r="J104" s="190"/>
    </row>
    <row r="105" spans="1:10" ht="16.5" hidden="1" thickBot="1" x14ac:dyDescent="0.3">
      <c r="A105" s="75">
        <v>2002</v>
      </c>
      <c r="B105" s="82" t="s">
        <v>14</v>
      </c>
      <c r="C105" s="77">
        <f t="shared" ref="C105:C126" si="11">+C104*(1+D105/100)</f>
        <v>254.69771579099987</v>
      </c>
      <c r="D105" s="81">
        <v>0.1275</v>
      </c>
      <c r="E105" s="77">
        <f t="shared" si="10"/>
        <v>1.1891518824999947</v>
      </c>
      <c r="F105" s="154">
        <f t="shared" si="7"/>
        <v>9.4802665320204316</v>
      </c>
      <c r="G105" s="80">
        <f t="shared" si="6"/>
        <v>2.9183083566407957</v>
      </c>
      <c r="H105" s="190"/>
      <c r="I105" s="190"/>
      <c r="J105" s="190"/>
    </row>
    <row r="106" spans="1:10" ht="16.5" hidden="1" thickBot="1" x14ac:dyDescent="0.3">
      <c r="A106" s="75">
        <v>2002</v>
      </c>
      <c r="B106" s="82" t="s">
        <v>15</v>
      </c>
      <c r="C106" s="77">
        <f t="shared" si="11"/>
        <v>255.27358732640334</v>
      </c>
      <c r="D106" s="155">
        <v>0.2261</v>
      </c>
      <c r="E106" s="77">
        <f t="shared" si="10"/>
        <v>1.4179405549063384</v>
      </c>
      <c r="F106" s="154">
        <f t="shared" si="7"/>
        <v>9.2022251606829197</v>
      </c>
      <c r="G106" s="80">
        <f t="shared" si="6"/>
        <v>2.9117249465366757</v>
      </c>
      <c r="H106" s="190"/>
      <c r="I106" s="190"/>
      <c r="J106" s="190"/>
    </row>
    <row r="107" spans="1:10" ht="16.5" hidden="1" thickBot="1" x14ac:dyDescent="0.3">
      <c r="A107" s="75">
        <v>2002</v>
      </c>
      <c r="B107" s="82" t="s">
        <v>16</v>
      </c>
      <c r="C107" s="77">
        <f t="shared" si="11"/>
        <v>257.16516460849198</v>
      </c>
      <c r="D107" s="155">
        <v>0.74099999999999999</v>
      </c>
      <c r="E107" s="77">
        <f t="shared" si="10"/>
        <v>2.1694474944181863</v>
      </c>
      <c r="F107" s="154">
        <f t="shared" si="7"/>
        <v>9.5876025840806012</v>
      </c>
      <c r="G107" s="80">
        <f t="shared" si="6"/>
        <v>2.8903077659906851</v>
      </c>
      <c r="H107" s="191"/>
      <c r="I107" s="190"/>
      <c r="J107" s="190"/>
    </row>
    <row r="108" spans="1:10" ht="16.5" hidden="1" thickBot="1" x14ac:dyDescent="0.3">
      <c r="A108" s="75">
        <v>2002</v>
      </c>
      <c r="B108" s="82" t="s">
        <v>17</v>
      </c>
      <c r="C108" s="77">
        <f t="shared" si="11"/>
        <v>257.42670158089885</v>
      </c>
      <c r="D108" s="155">
        <v>0.1017</v>
      </c>
      <c r="E108" s="77">
        <f t="shared" si="10"/>
        <v>2.2733538225200078</v>
      </c>
      <c r="F108" s="154">
        <f t="shared" si="7"/>
        <v>9.4599752497690268</v>
      </c>
      <c r="G108" s="80">
        <f t="shared" si="6"/>
        <v>2.8873713093690565</v>
      </c>
      <c r="H108" s="190"/>
      <c r="I108" s="190"/>
      <c r="J108" s="190"/>
    </row>
    <row r="109" spans="1:10" ht="16.5" hidden="1" thickBot="1" x14ac:dyDescent="0.3">
      <c r="A109" s="75">
        <v>2002</v>
      </c>
      <c r="B109" s="82" t="s">
        <v>18</v>
      </c>
      <c r="C109" s="77">
        <f t="shared" si="11"/>
        <v>258.97100436368271</v>
      </c>
      <c r="D109" s="155">
        <v>0.59989999999999999</v>
      </c>
      <c r="E109" s="77">
        <f t="shared" si="10"/>
        <v>2.8868916721013438</v>
      </c>
      <c r="F109" s="154">
        <f t="shared" si="7"/>
        <v>8.4755304869941206</v>
      </c>
      <c r="G109" s="80">
        <f t="shared" si="6"/>
        <v>2.8701532599625406</v>
      </c>
      <c r="H109" s="190"/>
      <c r="I109" s="190"/>
      <c r="J109" s="190"/>
    </row>
    <row r="110" spans="1:10" ht="16.5" hidden="1" thickBot="1" x14ac:dyDescent="0.3">
      <c r="A110" s="75">
        <v>2002</v>
      </c>
      <c r="B110" s="82" t="s">
        <v>19</v>
      </c>
      <c r="C110" s="77">
        <f t="shared" si="11"/>
        <v>262.43862611211244</v>
      </c>
      <c r="D110" s="155">
        <v>1.339</v>
      </c>
      <c r="E110" s="77">
        <f t="shared" si="10"/>
        <v>4.2645471515907696</v>
      </c>
      <c r="F110" s="154">
        <f t="shared" si="7"/>
        <v>7.6723357102223222</v>
      </c>
      <c r="G110" s="80">
        <f t="shared" si="6"/>
        <v>2.8322297042229945</v>
      </c>
      <c r="H110" s="190"/>
      <c r="I110" s="190"/>
      <c r="J110" s="190"/>
    </row>
    <row r="111" spans="1:10" ht="16.5" hidden="1" thickBot="1" x14ac:dyDescent="0.3">
      <c r="A111" s="75">
        <v>2002</v>
      </c>
      <c r="B111" s="82" t="s">
        <v>20</v>
      </c>
      <c r="C111" s="77">
        <f t="shared" si="11"/>
        <v>263.49572889809201</v>
      </c>
      <c r="D111" s="155">
        <v>0.40279999999999999</v>
      </c>
      <c r="E111" s="77">
        <f>100*((C111/$C$103)-1)</f>
        <v>4.6845247475173712</v>
      </c>
      <c r="F111" s="154">
        <f t="shared" si="7"/>
        <v>7.4175043112245875</v>
      </c>
      <c r="G111" s="80">
        <f t="shared" si="6"/>
        <v>2.8208672509362236</v>
      </c>
      <c r="H111" s="190"/>
      <c r="I111" s="190"/>
      <c r="J111" s="190"/>
    </row>
    <row r="112" spans="1:10" ht="16.5" hidden="1" thickBot="1" x14ac:dyDescent="0.3">
      <c r="A112" s="75">
        <v>2002</v>
      </c>
      <c r="B112" s="82" t="s">
        <v>21</v>
      </c>
      <c r="C112" s="77">
        <f t="shared" si="11"/>
        <v>266.01053213469538</v>
      </c>
      <c r="D112" s="155">
        <v>0.95440000000000003</v>
      </c>
      <c r="E112" s="77">
        <f>100*((C112/$C$103)-1)</f>
        <v>5.6836338517076701</v>
      </c>
      <c r="F112" s="154">
        <f t="shared" si="7"/>
        <v>7.7985738110346814</v>
      </c>
      <c r="G112" s="80">
        <f t="shared" si="6"/>
        <v>2.7941994117504771</v>
      </c>
      <c r="H112" s="190"/>
      <c r="I112" s="190"/>
      <c r="J112" s="190"/>
    </row>
    <row r="113" spans="1:10" ht="16.5" hidden="1" thickBot="1" x14ac:dyDescent="0.3">
      <c r="A113" s="75">
        <v>2002</v>
      </c>
      <c r="B113" s="82" t="s">
        <v>22</v>
      </c>
      <c r="C113" s="77">
        <f t="shared" si="11"/>
        <v>269.00740678972488</v>
      </c>
      <c r="D113" s="155">
        <v>1.1266</v>
      </c>
      <c r="E113" s="77">
        <f>100*((C113/$C$103)-1)</f>
        <v>6.8742656706810346</v>
      </c>
      <c r="F113" s="154">
        <f t="shared" si="7"/>
        <v>7.7374636423666043</v>
      </c>
      <c r="G113" s="80">
        <f t="shared" si="6"/>
        <v>2.7630706577205966</v>
      </c>
      <c r="H113" s="190"/>
      <c r="I113" s="190"/>
      <c r="J113" s="190"/>
    </row>
    <row r="114" spans="1:10" ht="16.5" hidden="1" thickBot="1" x14ac:dyDescent="0.3">
      <c r="A114" s="75">
        <v>2002</v>
      </c>
      <c r="B114" s="82" t="s">
        <v>23</v>
      </c>
      <c r="C114" s="77">
        <f t="shared" si="11"/>
        <v>277.6145677773689</v>
      </c>
      <c r="D114" s="155">
        <v>3.1996000000000002</v>
      </c>
      <c r="E114" s="77">
        <f>100*((C114/$C$103)-1)</f>
        <v>10.293814675080126</v>
      </c>
      <c r="F114" s="154">
        <f t="shared" si="7"/>
        <v>10.119201002144029</v>
      </c>
      <c r="G114" s="80">
        <f t="shared" si="6"/>
        <v>2.6774044257154066</v>
      </c>
      <c r="H114" s="190"/>
      <c r="I114" s="190"/>
      <c r="J114" s="190"/>
    </row>
    <row r="115" spans="1:10" ht="16.5" hidden="1" thickBot="1" x14ac:dyDescent="0.3">
      <c r="A115" s="75">
        <v>2002</v>
      </c>
      <c r="B115" s="82" t="s">
        <v>12</v>
      </c>
      <c r="C115" s="77">
        <f t="shared" si="11"/>
        <v>284.25288732206133</v>
      </c>
      <c r="D115" s="155">
        <v>2.3912</v>
      </c>
      <c r="E115" s="77">
        <f>100*((C115/$C$103)-1)</f>
        <v>12.931160371590632</v>
      </c>
      <c r="F115" s="154">
        <f t="shared" si="7"/>
        <v>12.931160371590632</v>
      </c>
      <c r="G115" s="80">
        <f t="shared" si="6"/>
        <v>2.6148774755207547</v>
      </c>
      <c r="H115" s="190"/>
      <c r="I115" s="190"/>
      <c r="J115" s="190"/>
    </row>
    <row r="116" spans="1:10" ht="16.5" hidden="1" thickBot="1" x14ac:dyDescent="0.3">
      <c r="A116" s="75">
        <v>2003</v>
      </c>
      <c r="B116" s="82" t="s">
        <v>13</v>
      </c>
      <c r="C116" s="77">
        <f t="shared" si="11"/>
        <v>292.55420864341482</v>
      </c>
      <c r="D116" s="155">
        <v>2.9203999999999999</v>
      </c>
      <c r="E116" s="77">
        <f t="shared" ref="E116:E127" si="12">100*((C116/$C$115)-1)</f>
        <v>2.9204000000000008</v>
      </c>
      <c r="F116" s="154">
        <f t="shared" si="7"/>
        <v>15.00975356206402</v>
      </c>
      <c r="G116" s="80">
        <f t="shared" si="6"/>
        <v>2.5406794722142108</v>
      </c>
      <c r="H116" s="190"/>
      <c r="I116" s="190"/>
      <c r="J116" s="190"/>
    </row>
    <row r="117" spans="1:10" ht="16.5" hidden="1" thickBot="1" x14ac:dyDescent="0.3">
      <c r="A117" s="75">
        <v>2003</v>
      </c>
      <c r="B117" s="82" t="s">
        <v>14</v>
      </c>
      <c r="C117" s="77">
        <f t="shared" si="11"/>
        <v>296.51744050790717</v>
      </c>
      <c r="D117" s="155">
        <v>1.3547</v>
      </c>
      <c r="E117" s="77">
        <f t="shared" si="12"/>
        <v>4.3146626588000059</v>
      </c>
      <c r="F117" s="154">
        <f t="shared" si="7"/>
        <v>16.419356014650631</v>
      </c>
      <c r="G117" s="80">
        <f t="shared" si="6"/>
        <v>2.5067209238586967</v>
      </c>
      <c r="H117" s="190"/>
      <c r="I117" s="190"/>
      <c r="J117" s="190"/>
    </row>
    <row r="118" spans="1:10" ht="16.5" hidden="1" thickBot="1" x14ac:dyDescent="0.3">
      <c r="A118" s="75">
        <v>2003</v>
      </c>
      <c r="B118" s="82" t="s">
        <v>15</v>
      </c>
      <c r="C118" s="77">
        <f t="shared" si="11"/>
        <v>299.64747860990866</v>
      </c>
      <c r="D118" s="155">
        <v>1.0556000000000001</v>
      </c>
      <c r="E118" s="77">
        <f t="shared" si="12"/>
        <v>5.4158082378263028</v>
      </c>
      <c r="F118" s="154">
        <f t="shared" si="7"/>
        <v>17.382876053983232</v>
      </c>
      <c r="G118" s="80">
        <f t="shared" si="6"/>
        <v>2.4805363818122861</v>
      </c>
      <c r="H118" s="190"/>
      <c r="I118" s="190"/>
      <c r="J118" s="190"/>
    </row>
    <row r="119" spans="1:10" ht="16.5" hidden="1" thickBot="1" x14ac:dyDescent="0.3">
      <c r="A119" s="75">
        <v>2003</v>
      </c>
      <c r="B119" s="82" t="s">
        <v>16</v>
      </c>
      <c r="C119" s="77">
        <f t="shared" si="11"/>
        <v>303.80089231092057</v>
      </c>
      <c r="D119" s="155">
        <v>1.3861000000000001</v>
      </c>
      <c r="E119" s="77">
        <f t="shared" si="12"/>
        <v>6.8769767558108041</v>
      </c>
      <c r="F119" s="154">
        <f t="shared" si="7"/>
        <v>18.134543134341996</v>
      </c>
      <c r="G119" s="80">
        <f t="shared" si="6"/>
        <v>2.4466237302867815</v>
      </c>
      <c r="H119" s="191"/>
      <c r="I119" s="190"/>
      <c r="J119" s="190"/>
    </row>
    <row r="120" spans="1:10" ht="16.5" hidden="1" thickBot="1" x14ac:dyDescent="0.3">
      <c r="A120" s="75">
        <v>2003</v>
      </c>
      <c r="B120" s="82" t="s">
        <v>17</v>
      </c>
      <c r="C120" s="77">
        <f t="shared" si="11"/>
        <v>304.52393843462056</v>
      </c>
      <c r="D120" s="155">
        <v>0.23799999999999999</v>
      </c>
      <c r="E120" s="77">
        <f t="shared" si="12"/>
        <v>7.1313439604896445</v>
      </c>
      <c r="F120" s="154">
        <f t="shared" si="7"/>
        <v>18.295396928325601</v>
      </c>
      <c r="G120" s="80">
        <f t="shared" si="6"/>
        <v>2.4408145915588713</v>
      </c>
      <c r="H120" s="190"/>
      <c r="I120" s="190"/>
      <c r="J120" s="190"/>
    </row>
    <row r="121" spans="1:10" ht="16.5" hidden="1" thickBot="1" x14ac:dyDescent="0.3">
      <c r="A121" s="75">
        <v>2003</v>
      </c>
      <c r="B121" s="82" t="s">
        <v>18</v>
      </c>
      <c r="C121" s="77">
        <f t="shared" si="11"/>
        <v>303.73217619469051</v>
      </c>
      <c r="D121" s="155">
        <v>-0.26</v>
      </c>
      <c r="E121" s="77">
        <f t="shared" si="12"/>
        <v>6.8528024661923537</v>
      </c>
      <c r="F121" s="154">
        <f t="shared" si="7"/>
        <v>17.284240736135857</v>
      </c>
      <c r="G121" s="80">
        <f t="shared" si="6"/>
        <v>2.4471772524151509</v>
      </c>
      <c r="H121" s="190"/>
      <c r="I121" s="190"/>
      <c r="J121" s="190"/>
    </row>
    <row r="122" spans="1:10" ht="16.5" hidden="1" thickBot="1" x14ac:dyDescent="0.3">
      <c r="A122" s="75">
        <v>2003</v>
      </c>
      <c r="B122" s="82" t="s">
        <v>19</v>
      </c>
      <c r="C122" s="77">
        <f t="shared" si="11"/>
        <v>304.78946790002425</v>
      </c>
      <c r="D122" s="155">
        <v>0.34810000000000002</v>
      </c>
      <c r="E122" s="77">
        <f t="shared" si="12"/>
        <v>7.2247570715771703</v>
      </c>
      <c r="F122" s="154">
        <f t="shared" si="7"/>
        <v>16.137427030203909</v>
      </c>
      <c r="G122" s="80">
        <f t="shared" si="6"/>
        <v>2.4386881788645232</v>
      </c>
      <c r="H122" s="190"/>
      <c r="I122" s="190"/>
      <c r="J122" s="190"/>
    </row>
    <row r="123" spans="1:10" ht="16.5" hidden="1" thickBot="1" x14ac:dyDescent="0.3">
      <c r="A123" s="75">
        <v>2003</v>
      </c>
      <c r="B123" s="82" t="s">
        <v>20</v>
      </c>
      <c r="C123" s="77">
        <f t="shared" si="11"/>
        <v>304.3399034348717</v>
      </c>
      <c r="D123" s="155">
        <v>-0.14749999999999999</v>
      </c>
      <c r="E123" s="77">
        <f t="shared" si="12"/>
        <v>7.0666005548965849</v>
      </c>
      <c r="F123" s="154">
        <f t="shared" si="7"/>
        <v>15.500886753491304</v>
      </c>
      <c r="G123" s="80">
        <f t="shared" si="6"/>
        <v>2.4422905574367428</v>
      </c>
      <c r="H123" s="190"/>
      <c r="I123" s="190"/>
      <c r="J123" s="190"/>
    </row>
    <row r="124" spans="1:10" ht="16.5" hidden="1" thickBot="1" x14ac:dyDescent="0.3">
      <c r="A124" s="75">
        <v>2003</v>
      </c>
      <c r="B124" s="82" t="s">
        <v>21</v>
      </c>
      <c r="C124" s="77">
        <f t="shared" si="11"/>
        <v>308.18706415419189</v>
      </c>
      <c r="D124" s="155">
        <v>1.2641</v>
      </c>
      <c r="E124" s="77">
        <f t="shared" si="12"/>
        <v>8.4200294525110344</v>
      </c>
      <c r="F124" s="154">
        <f t="shared" si="7"/>
        <v>15.855211326046392</v>
      </c>
      <c r="G124" s="80">
        <f t="shared" si="6"/>
        <v>2.4118029562665773</v>
      </c>
      <c r="H124" s="190"/>
      <c r="I124" s="190"/>
      <c r="J124" s="190"/>
    </row>
    <row r="125" spans="1:10" ht="16.5" hidden="1" thickBot="1" x14ac:dyDescent="0.3">
      <c r="A125" s="75">
        <v>2003</v>
      </c>
      <c r="B125" s="82" t="s">
        <v>22</v>
      </c>
      <c r="C125" s="77">
        <f t="shared" si="11"/>
        <v>309.63739247810156</v>
      </c>
      <c r="D125" s="155">
        <v>0.47060000000000002</v>
      </c>
      <c r="E125" s="77">
        <f t="shared" si="12"/>
        <v>8.9302541111145661</v>
      </c>
      <c r="F125" s="154">
        <f t="shared" si="7"/>
        <v>15.103668026559557</v>
      </c>
      <c r="G125" s="80">
        <f t="shared" si="6"/>
        <v>2.400506174210741</v>
      </c>
      <c r="H125" s="190"/>
      <c r="I125" s="190"/>
      <c r="J125" s="190"/>
    </row>
    <row r="126" spans="1:10" ht="16.5" hidden="1" thickBot="1" x14ac:dyDescent="0.3">
      <c r="A126" s="75">
        <v>2003</v>
      </c>
      <c r="B126" s="82" t="s">
        <v>23</v>
      </c>
      <c r="C126" s="77">
        <f t="shared" si="11"/>
        <v>310.43316057677026</v>
      </c>
      <c r="D126" s="155">
        <v>0.25700000000000001</v>
      </c>
      <c r="E126" s="77">
        <f t="shared" si="12"/>
        <v>9.2102048641801169</v>
      </c>
      <c r="F126" s="154">
        <f t="shared" si="7"/>
        <v>11.821639282892393</v>
      </c>
      <c r="G126" s="80">
        <f t="shared" si="6"/>
        <v>2.394352687803087</v>
      </c>
      <c r="H126" s="190"/>
      <c r="I126" s="190"/>
      <c r="J126" s="190"/>
    </row>
    <row r="127" spans="1:10" ht="16.5" hidden="1" thickBot="1" x14ac:dyDescent="0.3">
      <c r="A127" s="75">
        <v>2003</v>
      </c>
      <c r="B127" s="82" t="s">
        <v>12</v>
      </c>
      <c r="C127" s="77">
        <f>+C126*(1+D127/100)</f>
        <v>311.4135084978717</v>
      </c>
      <c r="D127" s="155">
        <v>0.31580000000000003</v>
      </c>
      <c r="E127" s="77">
        <f t="shared" si="12"/>
        <v>9.5550906911411992</v>
      </c>
      <c r="F127" s="154">
        <f t="shared" si="7"/>
        <v>9.5550906911411992</v>
      </c>
      <c r="G127" s="80">
        <f t="shared" si="6"/>
        <v>2.3868151256363275</v>
      </c>
      <c r="H127" s="190"/>
      <c r="I127" s="190"/>
      <c r="J127" s="190"/>
    </row>
    <row r="128" spans="1:10" ht="16.5" hidden="1" thickBot="1" x14ac:dyDescent="0.3">
      <c r="A128" s="75">
        <v>2004</v>
      </c>
      <c r="B128" s="82" t="s">
        <v>13</v>
      </c>
      <c r="C128" s="77">
        <f>+C127*(1+D128/100)</f>
        <v>315.95827724088963</v>
      </c>
      <c r="D128" s="155">
        <v>1.4594</v>
      </c>
      <c r="E128" s="77">
        <f t="shared" ref="E128:E139" si="13">100*((C128/$C$127)-1)</f>
        <v>1.4593999999999996</v>
      </c>
      <c r="F128" s="154">
        <f t="shared" si="7"/>
        <v>7.9999083609155308</v>
      </c>
      <c r="G128" s="80">
        <f t="shared" si="6"/>
        <v>2.3524829888963739</v>
      </c>
      <c r="H128" s="190"/>
      <c r="I128" s="190"/>
      <c r="J128" s="190"/>
    </row>
    <row r="129" spans="1:10" ht="16.5" hidden="1" thickBot="1" x14ac:dyDescent="0.3">
      <c r="A129" s="75">
        <v>2004</v>
      </c>
      <c r="B129" s="82" t="s">
        <v>14</v>
      </c>
      <c r="C129" s="77">
        <f t="shared" ref="C129:C192" si="14">+C128*(1+D129/100)</f>
        <v>315.37944167698436</v>
      </c>
      <c r="D129" s="155">
        <v>-0.1832</v>
      </c>
      <c r="E129" s="77">
        <f t="shared" si="13"/>
        <v>1.2735263792000184</v>
      </c>
      <c r="F129" s="154">
        <f t="shared" si="7"/>
        <v>6.3611776551046439</v>
      </c>
      <c r="G129" s="80">
        <f t="shared" si="6"/>
        <v>2.3568006476829289</v>
      </c>
      <c r="H129" s="190"/>
      <c r="I129" s="190"/>
      <c r="J129" s="190"/>
    </row>
    <row r="130" spans="1:10" ht="16.5" hidden="1" thickBot="1" x14ac:dyDescent="0.3">
      <c r="A130" s="75">
        <v>2004</v>
      </c>
      <c r="B130" s="82" t="s">
        <v>15</v>
      </c>
      <c r="C130" s="77">
        <f t="shared" si="14"/>
        <v>316.84942525464078</v>
      </c>
      <c r="D130" s="155">
        <v>0.46610000000000001</v>
      </c>
      <c r="E130" s="77">
        <f t="shared" si="13"/>
        <v>1.7455622856534569</v>
      </c>
      <c r="F130" s="154">
        <f t="shared" si="7"/>
        <v>5.7407279796023891</v>
      </c>
      <c r="G130" s="80">
        <f t="shared" si="6"/>
        <v>2.3458665636298504</v>
      </c>
      <c r="H130" s="190"/>
      <c r="I130" s="190"/>
      <c r="J130" s="190"/>
    </row>
    <row r="131" spans="1:10" ht="16.5" hidden="1" thickBot="1" x14ac:dyDescent="0.3">
      <c r="A131" s="75">
        <v>2004</v>
      </c>
      <c r="B131" s="82" t="s">
        <v>16</v>
      </c>
      <c r="C131" s="77">
        <f t="shared" si="14"/>
        <v>317.04745614542497</v>
      </c>
      <c r="D131" s="155">
        <v>6.25E-2</v>
      </c>
      <c r="E131" s="77">
        <f t="shared" si="13"/>
        <v>1.8091532620819972</v>
      </c>
      <c r="F131" s="154">
        <f t="shared" si="7"/>
        <v>4.3602781195742457</v>
      </c>
      <c r="G131" s="80">
        <f t="shared" si="6"/>
        <v>2.3444013128093442</v>
      </c>
      <c r="H131" s="191"/>
      <c r="I131" s="190"/>
      <c r="J131" s="190"/>
    </row>
    <row r="132" spans="1:10" ht="16.5" hidden="1" thickBot="1" x14ac:dyDescent="0.3">
      <c r="A132" s="75">
        <v>2004</v>
      </c>
      <c r="B132" s="82" t="s">
        <v>17</v>
      </c>
      <c r="C132" s="77">
        <f t="shared" si="14"/>
        <v>318.4037851628151</v>
      </c>
      <c r="D132" s="155">
        <v>0.42780000000000001</v>
      </c>
      <c r="E132" s="77">
        <f t="shared" si="13"/>
        <v>2.2446928197371818</v>
      </c>
      <c r="F132" s="154">
        <f t="shared" si="7"/>
        <v>4.5578836263391098</v>
      </c>
      <c r="G132" s="80">
        <f t="shared" si="6"/>
        <v>2.3344146867793021</v>
      </c>
      <c r="H132" s="190"/>
      <c r="I132" s="190"/>
      <c r="J132" s="190"/>
    </row>
    <row r="133" spans="1:10" ht="16.5" hidden="1" thickBot="1" x14ac:dyDescent="0.3">
      <c r="A133" s="75">
        <v>2004</v>
      </c>
      <c r="B133" s="82" t="s">
        <v>18</v>
      </c>
      <c r="C133" s="77">
        <f t="shared" si="14"/>
        <v>321.97850445883807</v>
      </c>
      <c r="D133" s="155">
        <v>1.1227</v>
      </c>
      <c r="E133" s="77">
        <f t="shared" si="13"/>
        <v>3.3925939860244059</v>
      </c>
      <c r="F133" s="154">
        <f t="shared" si="7"/>
        <v>6.0073741586244678</v>
      </c>
      <c r="G133" s="80">
        <f t="shared" si="6"/>
        <v>2.3084971888401928</v>
      </c>
      <c r="H133" s="190"/>
      <c r="I133" s="190"/>
      <c r="J133" s="190"/>
    </row>
    <row r="134" spans="1:10" ht="16.5" hidden="1" thickBot="1" x14ac:dyDescent="0.3">
      <c r="A134" s="75">
        <v>2004</v>
      </c>
      <c r="B134" s="82" t="s">
        <v>19</v>
      </c>
      <c r="C134" s="77">
        <f t="shared" si="14"/>
        <v>325.88635756745504</v>
      </c>
      <c r="D134" s="155">
        <v>1.2137</v>
      </c>
      <c r="E134" s="77">
        <f t="shared" si="13"/>
        <v>4.6474698992327923</v>
      </c>
      <c r="F134" s="154">
        <f t="shared" si="7"/>
        <v>6.921790904648617</v>
      </c>
      <c r="G134" s="80">
        <f t="shared" si="6"/>
        <v>2.2808149379384339</v>
      </c>
      <c r="H134" s="190"/>
      <c r="I134" s="190"/>
      <c r="J134" s="190"/>
    </row>
    <row r="135" spans="1:10" ht="16.5" hidden="1" thickBot="1" x14ac:dyDescent="0.3">
      <c r="A135" s="75">
        <v>2004</v>
      </c>
      <c r="B135" s="82" t="s">
        <v>34</v>
      </c>
      <c r="C135" s="77">
        <f t="shared" si="14"/>
        <v>328.12226386672535</v>
      </c>
      <c r="D135" s="155">
        <v>0.68610000000000004</v>
      </c>
      <c r="E135" s="77">
        <f t="shared" si="13"/>
        <v>5.3654561902114262</v>
      </c>
      <c r="F135" s="154">
        <f t="shared" si="7"/>
        <v>7.8144075632011312</v>
      </c>
      <c r="G135" s="80">
        <f t="shared" ref="G135:G198" si="15">+$C$321/C135</f>
        <v>2.2652729005676391</v>
      </c>
      <c r="H135" s="190"/>
      <c r="I135" s="190"/>
      <c r="J135" s="190"/>
    </row>
    <row r="136" spans="1:10" ht="16.5" hidden="1" thickBot="1" x14ac:dyDescent="0.3">
      <c r="A136" s="75">
        <v>2004</v>
      </c>
      <c r="B136" s="82" t="s">
        <v>36</v>
      </c>
      <c r="C136" s="77">
        <f t="shared" si="14"/>
        <v>329.08136524400777</v>
      </c>
      <c r="D136" s="155">
        <v>0.2923</v>
      </c>
      <c r="E136" s="77">
        <f t="shared" si="13"/>
        <v>5.6734394186554127</v>
      </c>
      <c r="F136" s="154">
        <f t="shared" si="7"/>
        <v>6.7797463034860117</v>
      </c>
      <c r="G136" s="80">
        <f t="shared" si="15"/>
        <v>2.2586708058022795</v>
      </c>
      <c r="H136" s="190"/>
      <c r="I136" s="190"/>
      <c r="J136" s="190"/>
    </row>
    <row r="137" spans="1:10" ht="16.5" hidden="1" thickBot="1" x14ac:dyDescent="0.3">
      <c r="A137" s="75">
        <v>2004</v>
      </c>
      <c r="B137" s="82" t="s">
        <v>35</v>
      </c>
      <c r="C137" s="77">
        <f t="shared" si="14"/>
        <v>330.82615464253149</v>
      </c>
      <c r="D137" s="155">
        <v>0.5302</v>
      </c>
      <c r="E137" s="77">
        <f t="shared" si="13"/>
        <v>6.2337199944531241</v>
      </c>
      <c r="F137" s="154">
        <f t="shared" si="7"/>
        <v>6.8430889418268359</v>
      </c>
      <c r="G137" s="80">
        <f t="shared" si="15"/>
        <v>2.2467584922762307</v>
      </c>
      <c r="H137" s="190"/>
      <c r="I137" s="190"/>
      <c r="J137" s="190"/>
    </row>
    <row r="138" spans="1:10" ht="16.5" hidden="1" thickBot="1" x14ac:dyDescent="0.3">
      <c r="A138" s="75">
        <v>2004</v>
      </c>
      <c r="B138" s="82" t="s">
        <v>25</v>
      </c>
      <c r="C138" s="77">
        <f t="shared" si="14"/>
        <v>333.58094403223987</v>
      </c>
      <c r="D138" s="155">
        <v>0.8327</v>
      </c>
      <c r="E138" s="77">
        <f t="shared" si="13"/>
        <v>7.1183281808469445</v>
      </c>
      <c r="F138" s="154">
        <f t="shared" si="7"/>
        <v>7.4566078612420483</v>
      </c>
      <c r="G138" s="80">
        <f t="shared" si="15"/>
        <v>2.2282042356063365</v>
      </c>
      <c r="H138" s="190"/>
      <c r="I138" s="190"/>
      <c r="J138" s="190"/>
    </row>
    <row r="139" spans="1:10" ht="16.5" hidden="1" thickBot="1" x14ac:dyDescent="0.3">
      <c r="A139" s="75" t="s">
        <v>69</v>
      </c>
      <c r="B139" s="82" t="s">
        <v>26</v>
      </c>
      <c r="C139" s="77">
        <f t="shared" si="14"/>
        <v>335.38061322529381</v>
      </c>
      <c r="D139" s="155">
        <v>0.53949999999999998</v>
      </c>
      <c r="E139" s="77">
        <f t="shared" si="13"/>
        <v>7.696231561382616</v>
      </c>
      <c r="F139" s="154">
        <f t="shared" si="7"/>
        <v>7.696231561382616</v>
      </c>
      <c r="G139" s="80">
        <f t="shared" si="15"/>
        <v>2.2162475799127077</v>
      </c>
      <c r="H139" s="190"/>
      <c r="I139" s="190"/>
      <c r="J139" s="190"/>
    </row>
    <row r="140" spans="1:10" ht="16.5" hidden="1" thickBot="1" x14ac:dyDescent="0.3">
      <c r="A140" s="75">
        <v>2005</v>
      </c>
      <c r="B140" s="82" t="s">
        <v>27</v>
      </c>
      <c r="C140" s="77">
        <f t="shared" si="14"/>
        <v>338.44364436588046</v>
      </c>
      <c r="D140" s="155">
        <v>0.9133</v>
      </c>
      <c r="E140" s="77">
        <f t="shared" ref="E140:E146" si="16">100*((C140/$C$139)-1)</f>
        <v>0.91330000000000577</v>
      </c>
      <c r="F140" s="154">
        <f t="shared" si="7"/>
        <v>7.1165621364139175</v>
      </c>
      <c r="G140" s="80">
        <f t="shared" si="15"/>
        <v>2.1961897786641673</v>
      </c>
      <c r="H140" s="190"/>
      <c r="I140" s="190"/>
      <c r="J140" s="190"/>
    </row>
    <row r="141" spans="1:10" ht="16.5" hidden="1" thickBot="1" x14ac:dyDescent="0.3">
      <c r="A141" s="75">
        <v>2005</v>
      </c>
      <c r="B141" s="82" t="s">
        <v>28</v>
      </c>
      <c r="C141" s="77">
        <f t="shared" si="14"/>
        <v>339.53410978802737</v>
      </c>
      <c r="D141" s="155">
        <v>0.32219999999999999</v>
      </c>
      <c r="E141" s="77">
        <f t="shared" si="16"/>
        <v>1.2384426526000247</v>
      </c>
      <c r="F141" s="154">
        <f t="shared" si="7"/>
        <v>7.6589228462718095</v>
      </c>
      <c r="G141" s="80">
        <f t="shared" si="15"/>
        <v>2.1891363812437996</v>
      </c>
      <c r="H141" s="190"/>
      <c r="I141" s="190"/>
      <c r="J141" s="190"/>
    </row>
    <row r="142" spans="1:10" ht="16.5" hidden="1" thickBot="1" x14ac:dyDescent="0.3">
      <c r="A142" s="75">
        <v>2005</v>
      </c>
      <c r="B142" s="82" t="s">
        <v>29</v>
      </c>
      <c r="C142" s="77">
        <f t="shared" si="14"/>
        <v>342.28807095251807</v>
      </c>
      <c r="D142" s="155">
        <v>0.81110000000000004</v>
      </c>
      <c r="E142" s="77">
        <f t="shared" si="16"/>
        <v>2.0595876609552644</v>
      </c>
      <c r="F142" s="154">
        <f t="shared" si="7"/>
        <v>8.0286229578712778</v>
      </c>
      <c r="G142" s="80">
        <f t="shared" si="15"/>
        <v>2.1715231569180373</v>
      </c>
      <c r="H142" s="190"/>
      <c r="I142" s="190"/>
      <c r="J142" s="190"/>
    </row>
    <row r="143" spans="1:10" ht="16.5" hidden="1" thickBot="1" x14ac:dyDescent="0.3">
      <c r="A143" s="75">
        <v>2005</v>
      </c>
      <c r="B143" s="82" t="s">
        <v>30</v>
      </c>
      <c r="C143" s="77">
        <f t="shared" si="14"/>
        <v>344.00088045956448</v>
      </c>
      <c r="D143" s="155">
        <v>0.50039999999999996</v>
      </c>
      <c r="E143" s="77">
        <f t="shared" si="16"/>
        <v>2.5702938376106932</v>
      </c>
      <c r="F143" s="154">
        <f>100*((C143/C131)-1)</f>
        <v>8.5013848216389363</v>
      </c>
      <c r="G143" s="80">
        <f t="shared" si="15"/>
        <v>2.1607109592778113</v>
      </c>
      <c r="H143" s="191"/>
      <c r="I143" s="190"/>
      <c r="J143" s="190"/>
    </row>
    <row r="144" spans="1:10" ht="16.5" hidden="1" thickBot="1" x14ac:dyDescent="0.3">
      <c r="A144" s="75">
        <v>2005</v>
      </c>
      <c r="B144" s="82" t="s">
        <v>31</v>
      </c>
      <c r="C144" s="77">
        <f t="shared" si="14"/>
        <v>345.353147920651</v>
      </c>
      <c r="D144" s="155">
        <v>0.3931</v>
      </c>
      <c r="E144" s="77">
        <f t="shared" si="16"/>
        <v>2.9734976626863308</v>
      </c>
      <c r="F144" s="154">
        <f t="shared" si="7"/>
        <v>8.4638952216147256</v>
      </c>
      <c r="G144" s="80">
        <f t="shared" si="15"/>
        <v>2.1522504627089027</v>
      </c>
      <c r="H144" s="190"/>
      <c r="I144" s="190"/>
      <c r="J144" s="190"/>
    </row>
    <row r="145" spans="1:10" ht="16.5" hidden="1" thickBot="1" x14ac:dyDescent="0.3">
      <c r="A145" s="75">
        <v>2005</v>
      </c>
      <c r="B145" s="82" t="s">
        <v>32</v>
      </c>
      <c r="C145" s="77">
        <f t="shared" si="14"/>
        <v>344.77053716010886</v>
      </c>
      <c r="D145" s="155">
        <v>-0.16869999999999999</v>
      </c>
      <c r="E145" s="77">
        <f t="shared" si="16"/>
        <v>2.7997813721293729</v>
      </c>
      <c r="F145" s="154">
        <f t="shared" si="7"/>
        <v>7.0787435762453388</v>
      </c>
      <c r="G145" s="80">
        <f t="shared" si="15"/>
        <v>2.1558874448283283</v>
      </c>
      <c r="H145" s="190"/>
      <c r="I145" s="190"/>
      <c r="J145" s="190"/>
    </row>
    <row r="146" spans="1:10" ht="16.5" hidden="1" thickBot="1" x14ac:dyDescent="0.3">
      <c r="A146" s="75">
        <v>2005</v>
      </c>
      <c r="B146" s="82" t="s">
        <v>33</v>
      </c>
      <c r="C146" s="77">
        <f t="shared" si="14"/>
        <v>344.1685678022273</v>
      </c>
      <c r="D146" s="155">
        <v>-0.17460000000000001</v>
      </c>
      <c r="E146" s="77">
        <f t="shared" si="16"/>
        <v>2.6202929538536424</v>
      </c>
      <c r="F146" s="154">
        <f t="shared" si="7"/>
        <v>5.6099955736834017</v>
      </c>
      <c r="G146" s="80">
        <f t="shared" si="15"/>
        <v>2.1596582080596001</v>
      </c>
      <c r="H146" s="192"/>
      <c r="I146" s="190"/>
      <c r="J146" s="190"/>
    </row>
    <row r="147" spans="1:10" ht="16.5" hidden="1" thickBot="1" x14ac:dyDescent="0.3">
      <c r="A147" s="75">
        <v>2005</v>
      </c>
      <c r="B147" s="82" t="s">
        <v>34</v>
      </c>
      <c r="C147" s="77">
        <f t="shared" si="14"/>
        <v>344.16340527371028</v>
      </c>
      <c r="D147" s="155">
        <v>-1.5E-3</v>
      </c>
      <c r="E147" s="77">
        <f>100*((C147/$C$139)-1)</f>
        <v>2.6187536494593378</v>
      </c>
      <c r="F147" s="154">
        <f t="shared" si="7"/>
        <v>4.8887695756909766</v>
      </c>
      <c r="G147" s="80">
        <f t="shared" si="15"/>
        <v>2.1596906034186514</v>
      </c>
      <c r="H147" s="190"/>
      <c r="I147" s="190"/>
      <c r="J147" s="190"/>
    </row>
    <row r="148" spans="1:10" ht="16.5" hidden="1" thickBot="1" x14ac:dyDescent="0.3">
      <c r="A148" s="85">
        <v>2005</v>
      </c>
      <c r="B148" s="82" t="s">
        <v>36</v>
      </c>
      <c r="C148" s="77">
        <f t="shared" si="14"/>
        <v>346.64207011849152</v>
      </c>
      <c r="D148" s="155">
        <v>0.72019999999999995</v>
      </c>
      <c r="E148" s="77">
        <f>100*((C148/$C$139)-1)</f>
        <v>3.3578139132427243</v>
      </c>
      <c r="F148" s="154">
        <f t="shared" si="7"/>
        <v>5.3362805461387275</v>
      </c>
      <c r="G148" s="80">
        <f t="shared" si="15"/>
        <v>2.1442477312581305</v>
      </c>
      <c r="H148" s="190"/>
      <c r="I148" s="190"/>
      <c r="J148" s="190"/>
    </row>
    <row r="149" spans="1:10" ht="16.5" hidden="1" thickBot="1" x14ac:dyDescent="0.3">
      <c r="A149" s="85">
        <v>2005</v>
      </c>
      <c r="B149" s="82" t="s">
        <v>35</v>
      </c>
      <c r="C149" s="77">
        <f t="shared" si="14"/>
        <v>348.60683737192312</v>
      </c>
      <c r="D149" s="155">
        <v>0.56679999999999997</v>
      </c>
      <c r="E149" s="77">
        <f>100*((C149/$C$139)-1)</f>
        <v>3.9436460025029874</v>
      </c>
      <c r="F149" s="154">
        <f t="shared" si="7"/>
        <v>5.3746302944530644</v>
      </c>
      <c r="G149" s="80">
        <f t="shared" si="15"/>
        <v>2.1321626334517263</v>
      </c>
      <c r="H149" s="190"/>
      <c r="I149" s="190"/>
      <c r="J149" s="190"/>
    </row>
    <row r="150" spans="1:10" ht="16.5" hidden="1" thickBot="1" x14ac:dyDescent="0.3">
      <c r="A150" s="85">
        <v>2005</v>
      </c>
      <c r="B150" s="82" t="s">
        <v>25</v>
      </c>
      <c r="C150" s="77">
        <f t="shared" si="14"/>
        <v>349.93468081547275</v>
      </c>
      <c r="D150" s="155">
        <v>0.38090000000000002</v>
      </c>
      <c r="E150" s="77">
        <f>100*((C150/$C$139)-1)</f>
        <v>4.3395673501265053</v>
      </c>
      <c r="F150" s="154">
        <f t="shared" ref="F150:F213" si="17">100*((C150/C138)-1)</f>
        <v>4.9024793159804458</v>
      </c>
      <c r="G150" s="80">
        <f t="shared" si="15"/>
        <v>2.1240720430397877</v>
      </c>
      <c r="H150" s="190"/>
      <c r="I150" s="190"/>
      <c r="J150" s="190"/>
    </row>
    <row r="151" spans="1:10" ht="16.5" hidden="1" thickBot="1" x14ac:dyDescent="0.3">
      <c r="A151" s="85">
        <v>2005</v>
      </c>
      <c r="B151" s="82" t="s">
        <v>26</v>
      </c>
      <c r="C151" s="77">
        <f t="shared" si="14"/>
        <v>350.61215435753149</v>
      </c>
      <c r="D151" s="155">
        <v>0.19359999999999999</v>
      </c>
      <c r="E151" s="77">
        <f>100*((C151/$C$139)-1)</f>
        <v>4.5415687525163451</v>
      </c>
      <c r="F151" s="154">
        <f t="shared" si="17"/>
        <v>4.5415687525163451</v>
      </c>
      <c r="G151" s="80">
        <f t="shared" si="15"/>
        <v>2.1199677854072396</v>
      </c>
      <c r="H151" s="190"/>
      <c r="I151" s="190"/>
      <c r="J151" s="190"/>
    </row>
    <row r="152" spans="1:10" ht="16.5" hidden="1" thickBot="1" x14ac:dyDescent="0.3">
      <c r="A152" s="85">
        <v>2006</v>
      </c>
      <c r="B152" s="82" t="s">
        <v>27</v>
      </c>
      <c r="C152" s="77">
        <f t="shared" si="14"/>
        <v>353.14462594845594</v>
      </c>
      <c r="D152" s="155">
        <v>0.72230000000000005</v>
      </c>
      <c r="E152" s="77">
        <f t="shared" ref="E152:E158" si="18">100*((C152/$C$151)-1)</f>
        <v>0.72229999999999794</v>
      </c>
      <c r="F152" s="154">
        <f t="shared" si="17"/>
        <v>4.3437014780170369</v>
      </c>
      <c r="G152" s="80">
        <f t="shared" si="15"/>
        <v>2.1047650673259444</v>
      </c>
      <c r="H152" s="190"/>
      <c r="I152" s="190"/>
      <c r="J152" s="190"/>
    </row>
    <row r="153" spans="1:10" ht="16.5" hidden="1" thickBot="1" x14ac:dyDescent="0.3">
      <c r="A153" s="75">
        <v>2006</v>
      </c>
      <c r="B153" s="82" t="s">
        <v>14</v>
      </c>
      <c r="C153" s="77">
        <f t="shared" si="14"/>
        <v>353.55321428067833</v>
      </c>
      <c r="D153" s="155">
        <v>0.1157</v>
      </c>
      <c r="E153" s="77">
        <f t="shared" si="18"/>
        <v>0.83883570110001582</v>
      </c>
      <c r="F153" s="154">
        <f t="shared" si="17"/>
        <v>4.1289237483100427</v>
      </c>
      <c r="G153" s="80">
        <f t="shared" si="15"/>
        <v>2.1023326684285721</v>
      </c>
      <c r="H153" s="190"/>
      <c r="I153" s="190"/>
      <c r="J153" s="190"/>
    </row>
    <row r="154" spans="1:10" ht="16.5" hidden="1" thickBot="1" x14ac:dyDescent="0.3">
      <c r="A154" s="75">
        <v>2006</v>
      </c>
      <c r="B154" s="82" t="s">
        <v>15</v>
      </c>
      <c r="C154" s="77">
        <f t="shared" si="14"/>
        <v>355.40159048493774</v>
      </c>
      <c r="D154" s="155">
        <v>0.52280000000000004</v>
      </c>
      <c r="E154" s="77">
        <f t="shared" si="18"/>
        <v>1.3660211341453676</v>
      </c>
      <c r="F154" s="154">
        <f t="shared" si="17"/>
        <v>3.8311354222562821</v>
      </c>
      <c r="G154" s="80">
        <f t="shared" si="15"/>
        <v>2.0913988353175319</v>
      </c>
      <c r="H154" s="190"/>
      <c r="I154" s="190"/>
      <c r="J154" s="190"/>
    </row>
    <row r="155" spans="1:10" ht="16.5" hidden="1" thickBot="1" x14ac:dyDescent="0.3">
      <c r="A155" s="75">
        <v>2006</v>
      </c>
      <c r="B155" s="82" t="s">
        <v>30</v>
      </c>
      <c r="C155" s="77">
        <f t="shared" si="14"/>
        <v>355.20007778313277</v>
      </c>
      <c r="D155" s="155">
        <v>-5.67E-2</v>
      </c>
      <c r="E155" s="77">
        <f t="shared" si="18"/>
        <v>1.3085466001623081</v>
      </c>
      <c r="F155" s="154">
        <f t="shared" si="17"/>
        <v>3.255572284758923</v>
      </c>
      <c r="G155" s="80">
        <f t="shared" si="15"/>
        <v>2.0925853312003224</v>
      </c>
      <c r="H155" s="191"/>
      <c r="I155" s="190"/>
      <c r="J155" s="190"/>
    </row>
    <row r="156" spans="1:10" ht="16.5" hidden="1" thickBot="1" x14ac:dyDescent="0.3">
      <c r="A156" s="75">
        <v>2006</v>
      </c>
      <c r="B156" s="82" t="s">
        <v>31</v>
      </c>
      <c r="C156" s="77">
        <f t="shared" si="14"/>
        <v>353.89507269735753</v>
      </c>
      <c r="D156" s="155">
        <v>-0.3674</v>
      </c>
      <c r="E156" s="77">
        <f t="shared" si="18"/>
        <v>0.93633899995331227</v>
      </c>
      <c r="F156" s="154">
        <f t="shared" si="17"/>
        <v>2.4733884222966962</v>
      </c>
      <c r="G156" s="80">
        <f t="shared" si="15"/>
        <v>2.1003018401610745</v>
      </c>
      <c r="H156" s="190"/>
      <c r="I156" s="190"/>
      <c r="J156" s="190"/>
    </row>
    <row r="157" spans="1:10" ht="16.5" hidden="1" thickBot="1" x14ac:dyDescent="0.3">
      <c r="A157" s="75">
        <v>2006</v>
      </c>
      <c r="B157" s="82" t="s">
        <v>32</v>
      </c>
      <c r="C157" s="77">
        <f t="shared" si="14"/>
        <v>353.16604884760102</v>
      </c>
      <c r="D157" s="155">
        <v>-0.20599999999999999</v>
      </c>
      <c r="E157" s="77">
        <f t="shared" si="18"/>
        <v>0.72841014161340034</v>
      </c>
      <c r="F157" s="154">
        <f t="shared" si="17"/>
        <v>2.4351012579689524</v>
      </c>
      <c r="G157" s="80">
        <f t="shared" si="15"/>
        <v>2.1046373931910476</v>
      </c>
      <c r="H157" s="190"/>
      <c r="I157" s="190"/>
      <c r="J157" s="190"/>
    </row>
    <row r="158" spans="1:10" ht="16.5" hidden="1" thickBot="1" x14ac:dyDescent="0.3">
      <c r="A158" s="75">
        <v>2006</v>
      </c>
      <c r="B158" s="82" t="s">
        <v>33</v>
      </c>
      <c r="C158" s="77">
        <f t="shared" si="14"/>
        <v>352.68433035697291</v>
      </c>
      <c r="D158" s="155">
        <v>-0.13639999999999999</v>
      </c>
      <c r="E158" s="77">
        <f t="shared" si="18"/>
        <v>0.59101659018025998</v>
      </c>
      <c r="F158" s="154">
        <f t="shared" si="17"/>
        <v>2.4742999074915728</v>
      </c>
      <c r="G158" s="80">
        <f t="shared" si="15"/>
        <v>2.1075120396130798</v>
      </c>
      <c r="H158" s="190"/>
      <c r="I158" s="190"/>
      <c r="J158" s="190"/>
    </row>
    <row r="159" spans="1:10" ht="16.5" hidden="1" thickBot="1" x14ac:dyDescent="0.3">
      <c r="A159" s="75">
        <v>2006</v>
      </c>
      <c r="B159" s="82" t="s">
        <v>34</v>
      </c>
      <c r="C159" s="77">
        <f t="shared" si="14"/>
        <v>353.81327289844558</v>
      </c>
      <c r="D159" s="155">
        <v>0.3201</v>
      </c>
      <c r="E159" s="77">
        <f>100*((C159/$C$151)-1)</f>
        <v>0.91300843428541167</v>
      </c>
      <c r="F159" s="154">
        <f t="shared" si="17"/>
        <v>2.8038621994284529</v>
      </c>
      <c r="G159" s="80">
        <f t="shared" si="15"/>
        <v>2.1007874190845901</v>
      </c>
      <c r="H159" s="190"/>
      <c r="I159" s="190"/>
      <c r="J159" s="190"/>
    </row>
    <row r="160" spans="1:10" ht="16.5" hidden="1" thickBot="1" x14ac:dyDescent="0.3">
      <c r="A160" s="75">
        <v>2006</v>
      </c>
      <c r="B160" s="82" t="s">
        <v>36</v>
      </c>
      <c r="C160" s="77">
        <f t="shared" si="14"/>
        <v>355.17616162565037</v>
      </c>
      <c r="D160" s="155">
        <v>0.38519999999999999</v>
      </c>
      <c r="E160" s="77">
        <f>100*((C160/$C$151)-1)</f>
        <v>1.3017253427742848</v>
      </c>
      <c r="F160" s="154">
        <f t="shared" si="17"/>
        <v>2.4619318434838666</v>
      </c>
      <c r="G160" s="80">
        <f t="shared" si="15"/>
        <v>2.0927262376172884</v>
      </c>
      <c r="H160" s="190"/>
      <c r="I160" s="190"/>
      <c r="J160" s="190"/>
    </row>
    <row r="161" spans="1:10" ht="16.5" hidden="1" thickBot="1" x14ac:dyDescent="0.3">
      <c r="A161" s="75">
        <v>2006</v>
      </c>
      <c r="B161" s="82" t="s">
        <v>35</v>
      </c>
      <c r="C161" s="77">
        <f t="shared" si="14"/>
        <v>356.12341644870594</v>
      </c>
      <c r="D161" s="155">
        <v>0.26669999999999999</v>
      </c>
      <c r="E161" s="77">
        <f>100*((C161/$C$151)-1)</f>
        <v>1.5718970442634594</v>
      </c>
      <c r="F161" s="154">
        <f t="shared" si="17"/>
        <v>2.1561766067036414</v>
      </c>
      <c r="G161" s="80">
        <f t="shared" si="15"/>
        <v>2.0871597824774213</v>
      </c>
      <c r="H161" s="190"/>
      <c r="I161" s="190"/>
      <c r="J161" s="190"/>
    </row>
    <row r="162" spans="1:10" ht="16.5" hidden="1" thickBot="1" x14ac:dyDescent="0.3">
      <c r="A162" s="86">
        <v>2006</v>
      </c>
      <c r="B162" s="82" t="s">
        <v>25</v>
      </c>
      <c r="C162" s="77">
        <f t="shared" si="14"/>
        <v>357.3018288337347</v>
      </c>
      <c r="D162" s="155">
        <v>0.33090000000000003</v>
      </c>
      <c r="E162" s="77">
        <f>100*((C162/$C$151)-1)</f>
        <v>1.9079984515829151</v>
      </c>
      <c r="F162" s="154">
        <f t="shared" si="17"/>
        <v>2.105292336585185</v>
      </c>
      <c r="G162" s="80">
        <f t="shared" si="15"/>
        <v>2.0802761487013686</v>
      </c>
      <c r="H162" s="190"/>
      <c r="I162" s="190"/>
      <c r="J162" s="190"/>
    </row>
    <row r="163" spans="1:10" ht="16.5" hidden="1" thickBot="1" x14ac:dyDescent="0.3">
      <c r="A163" s="86">
        <v>2006</v>
      </c>
      <c r="B163" s="82" t="s">
        <v>12</v>
      </c>
      <c r="C163" s="77">
        <f t="shared" si="14"/>
        <v>359.62143230652327</v>
      </c>
      <c r="D163" s="155">
        <v>0.6492</v>
      </c>
      <c r="E163" s="77">
        <f>100*((C163/$C$151)-1)</f>
        <v>2.5695851775305867</v>
      </c>
      <c r="F163" s="154">
        <f t="shared" si="17"/>
        <v>2.5695851775305867</v>
      </c>
      <c r="G163" s="80">
        <f t="shared" si="15"/>
        <v>2.0668581058780089</v>
      </c>
      <c r="H163" s="190"/>
      <c r="I163" s="190"/>
      <c r="J163" s="190"/>
    </row>
    <row r="164" spans="1:10" ht="16.5" hidden="1" thickBot="1" x14ac:dyDescent="0.3">
      <c r="A164" s="75">
        <v>2007</v>
      </c>
      <c r="B164" s="82" t="s">
        <v>27</v>
      </c>
      <c r="C164" s="77">
        <f t="shared" si="14"/>
        <v>363.0338800776799</v>
      </c>
      <c r="D164" s="155">
        <v>0.94889999999999997</v>
      </c>
      <c r="E164" s="77">
        <f t="shared" ref="E164:E172" si="19">100*((C164/$C$163)-1)</f>
        <v>0.94890000000000807</v>
      </c>
      <c r="F164" s="154">
        <f t="shared" si="17"/>
        <v>2.8003411074609907</v>
      </c>
      <c r="G164" s="80">
        <f t="shared" si="15"/>
        <v>2.0474300422075018</v>
      </c>
      <c r="H164" s="190"/>
      <c r="I164" s="190"/>
      <c r="J164" s="190"/>
    </row>
    <row r="165" spans="1:10" ht="16.5" hidden="1" thickBot="1" x14ac:dyDescent="0.3">
      <c r="A165" s="75">
        <v>2007</v>
      </c>
      <c r="B165" s="82" t="s">
        <v>14</v>
      </c>
      <c r="C165" s="77">
        <f t="shared" si="14"/>
        <v>363.8085943777657</v>
      </c>
      <c r="D165" s="155">
        <v>0.21340000000000001</v>
      </c>
      <c r="E165" s="77">
        <f t="shared" si="19"/>
        <v>1.1643249526000155</v>
      </c>
      <c r="F165" s="154">
        <f t="shared" si="17"/>
        <v>2.9006609706412778</v>
      </c>
      <c r="G165" s="80">
        <f t="shared" si="15"/>
        <v>2.0430701305489101</v>
      </c>
      <c r="H165" s="190"/>
      <c r="I165" s="190"/>
      <c r="J165" s="190"/>
    </row>
    <row r="166" spans="1:10" ht="16.5" hidden="1" thickBot="1" x14ac:dyDescent="0.3">
      <c r="A166" s="75">
        <v>2007</v>
      </c>
      <c r="B166" s="82" t="s">
        <v>29</v>
      </c>
      <c r="C166" s="77">
        <f t="shared" si="14"/>
        <v>364.71047588322813</v>
      </c>
      <c r="D166" s="155">
        <v>0.24790000000000001</v>
      </c>
      <c r="E166" s="77">
        <f t="shared" si="19"/>
        <v>1.4151113141575022</v>
      </c>
      <c r="F166" s="154">
        <f t="shared" si="17"/>
        <v>2.6192582271757914</v>
      </c>
      <c r="G166" s="80">
        <f t="shared" si="15"/>
        <v>2.0380178842139438</v>
      </c>
      <c r="H166" s="190"/>
      <c r="I166" s="190"/>
      <c r="J166" s="190"/>
    </row>
    <row r="167" spans="1:10" ht="16.5" hidden="1" thickBot="1" x14ac:dyDescent="0.3">
      <c r="A167" s="75">
        <v>2007</v>
      </c>
      <c r="B167" s="82" t="s">
        <v>30</v>
      </c>
      <c r="C167" s="77">
        <f t="shared" si="14"/>
        <v>366.19229454674166</v>
      </c>
      <c r="D167" s="155">
        <v>0.40629999999999999</v>
      </c>
      <c r="E167" s="77">
        <f t="shared" si="19"/>
        <v>1.8271609114269172</v>
      </c>
      <c r="F167" s="154">
        <f t="shared" si="17"/>
        <v>3.0946549427053327</v>
      </c>
      <c r="G167" s="80">
        <f t="shared" si="15"/>
        <v>2.0297709249458888</v>
      </c>
      <c r="H167" s="191"/>
      <c r="I167" s="190"/>
      <c r="J167" s="190"/>
    </row>
    <row r="168" spans="1:10" ht="16.5" hidden="1" thickBot="1" x14ac:dyDescent="0.3">
      <c r="A168" s="75">
        <v>2007</v>
      </c>
      <c r="B168" s="82" t="s">
        <v>31</v>
      </c>
      <c r="C168" s="77">
        <f t="shared" si="14"/>
        <v>368.5051650790989</v>
      </c>
      <c r="D168" s="155">
        <v>0.63160000000000005</v>
      </c>
      <c r="E168" s="77">
        <f t="shared" si="19"/>
        <v>2.4703012597434792</v>
      </c>
      <c r="F168" s="154">
        <f t="shared" si="17"/>
        <v>4.1283684088575967</v>
      </c>
      <c r="G168" s="80">
        <f t="shared" si="15"/>
        <v>2.0170313549082879</v>
      </c>
      <c r="H168" s="190"/>
      <c r="I168" s="190"/>
      <c r="J168" s="190"/>
    </row>
    <row r="169" spans="1:10" ht="16.5" hidden="1" thickBot="1" x14ac:dyDescent="0.3">
      <c r="A169" s="75">
        <v>2007</v>
      </c>
      <c r="B169" s="82" t="s">
        <v>32</v>
      </c>
      <c r="C169" s="77">
        <f t="shared" si="14"/>
        <v>369.04134009428901</v>
      </c>
      <c r="D169" s="155">
        <v>0.14549999999999999</v>
      </c>
      <c r="E169" s="77">
        <f t="shared" si="19"/>
        <v>2.6193955480764197</v>
      </c>
      <c r="F169" s="154">
        <f t="shared" si="17"/>
        <v>4.495135163328956</v>
      </c>
      <c r="G169" s="80">
        <f t="shared" si="15"/>
        <v>2.0141008381887233</v>
      </c>
      <c r="H169" s="190"/>
      <c r="I169" s="190"/>
      <c r="J169" s="190"/>
    </row>
    <row r="170" spans="1:10" ht="16.5" hidden="1" thickBot="1" x14ac:dyDescent="0.3">
      <c r="A170" s="75">
        <v>2007</v>
      </c>
      <c r="B170" s="82" t="s">
        <v>33</v>
      </c>
      <c r="C170" s="77">
        <f t="shared" si="14"/>
        <v>367.94528731420894</v>
      </c>
      <c r="D170" s="155">
        <v>-0.29699999999999999</v>
      </c>
      <c r="E170" s="77">
        <f t="shared" si="19"/>
        <v>2.3146159432986257</v>
      </c>
      <c r="F170" s="154">
        <f t="shared" si="17"/>
        <v>4.3270867582320793</v>
      </c>
      <c r="G170" s="80">
        <f t="shared" si="15"/>
        <v>2.020100536782969</v>
      </c>
      <c r="H170" s="190"/>
      <c r="I170" s="190"/>
      <c r="J170" s="190"/>
    </row>
    <row r="171" spans="1:10" ht="16.5" hidden="1" thickBot="1" x14ac:dyDescent="0.3">
      <c r="A171" s="75">
        <v>2007</v>
      </c>
      <c r="B171" s="82" t="s">
        <v>34</v>
      </c>
      <c r="C171" s="77">
        <f t="shared" si="14"/>
        <v>369.40786983128294</v>
      </c>
      <c r="D171" s="155">
        <v>0.39750000000000002</v>
      </c>
      <c r="E171" s="77">
        <f t="shared" si="19"/>
        <v>2.7213165416732465</v>
      </c>
      <c r="F171" s="154">
        <f t="shared" si="17"/>
        <v>4.4075782700536026</v>
      </c>
      <c r="G171" s="80">
        <f t="shared" si="15"/>
        <v>2.0121024296252088</v>
      </c>
      <c r="H171" s="190"/>
      <c r="I171" s="190"/>
      <c r="J171" s="190"/>
    </row>
    <row r="172" spans="1:10" ht="16.5" hidden="1" thickBot="1" x14ac:dyDescent="0.3">
      <c r="A172" s="75">
        <v>2007</v>
      </c>
      <c r="B172" s="82" t="s">
        <v>36</v>
      </c>
      <c r="C172" s="77">
        <f t="shared" si="14"/>
        <v>370.53419442639853</v>
      </c>
      <c r="D172" s="155">
        <v>0.3049</v>
      </c>
      <c r="E172" s="77">
        <f t="shared" si="19"/>
        <v>3.0345138358088164</v>
      </c>
      <c r="F172" s="154">
        <f t="shared" si="17"/>
        <v>4.3240606944041637</v>
      </c>
      <c r="G172" s="80">
        <f t="shared" si="15"/>
        <v>2.0059861777691905</v>
      </c>
      <c r="H172" s="190"/>
      <c r="I172" s="190"/>
      <c r="J172" s="190"/>
    </row>
    <row r="173" spans="1:10" ht="16.5" hidden="1" thickBot="1" x14ac:dyDescent="0.3">
      <c r="A173" s="75">
        <v>2007</v>
      </c>
      <c r="B173" s="82" t="s">
        <v>35</v>
      </c>
      <c r="C173" s="77">
        <f t="shared" si="14"/>
        <v>371.76918489642173</v>
      </c>
      <c r="D173" s="155">
        <v>0.33329999999999999</v>
      </c>
      <c r="E173" s="77">
        <f>100*((C173/$C$163)-1)</f>
        <v>3.3779278704235693</v>
      </c>
      <c r="F173" s="154">
        <f t="shared" si="17"/>
        <v>4.3933557090226616</v>
      </c>
      <c r="G173" s="80">
        <f t="shared" si="15"/>
        <v>1.9993224360897033</v>
      </c>
      <c r="H173" s="190"/>
      <c r="I173" s="190"/>
      <c r="J173" s="190"/>
    </row>
    <row r="174" spans="1:10" ht="16.5" hidden="1" thickBot="1" x14ac:dyDescent="0.3">
      <c r="A174" s="75">
        <v>2007</v>
      </c>
      <c r="B174" s="82" t="s">
        <v>25</v>
      </c>
      <c r="C174" s="77">
        <f t="shared" si="14"/>
        <v>372.80716446065253</v>
      </c>
      <c r="D174" s="155">
        <v>0.2792</v>
      </c>
      <c r="E174" s="77">
        <f>100*((C174/$C$163)-1)</f>
        <v>3.6665590450377872</v>
      </c>
      <c r="F174" s="154">
        <f t="shared" si="17"/>
        <v>4.3395623463581501</v>
      </c>
      <c r="G174" s="80">
        <f t="shared" si="15"/>
        <v>1.9937558697014968</v>
      </c>
      <c r="H174" s="190"/>
      <c r="I174" s="190"/>
      <c r="J174" s="190"/>
    </row>
    <row r="175" spans="1:10" ht="16.5" hidden="1" thickBot="1" x14ac:dyDescent="0.3">
      <c r="A175" s="75">
        <v>2007</v>
      </c>
      <c r="B175" s="82" t="s">
        <v>26</v>
      </c>
      <c r="C175" s="77">
        <f t="shared" si="14"/>
        <v>376.87933711805624</v>
      </c>
      <c r="D175" s="155">
        <v>1.0923</v>
      </c>
      <c r="E175" s="77">
        <f>100*((C175/$C$163)-1)</f>
        <v>4.7989088694867288</v>
      </c>
      <c r="F175" s="154">
        <f t="shared" si="17"/>
        <v>4.7989088694867288</v>
      </c>
      <c r="G175" s="80">
        <f t="shared" si="15"/>
        <v>1.9722133829198631</v>
      </c>
      <c r="H175" s="190"/>
      <c r="I175" s="190"/>
      <c r="J175" s="190"/>
    </row>
    <row r="176" spans="1:10" ht="16.5" hidden="1" thickBot="1" x14ac:dyDescent="0.3">
      <c r="A176" s="75">
        <v>2008</v>
      </c>
      <c r="B176" s="82" t="s">
        <v>27</v>
      </c>
      <c r="C176" s="77">
        <f t="shared" si="14"/>
        <v>380.19436776734665</v>
      </c>
      <c r="D176" s="155">
        <v>0.87960000000000005</v>
      </c>
      <c r="E176" s="77">
        <f t="shared" ref="E176:E187" si="20">100*((C176/$C$175)-1)</f>
        <v>0.8796000000000026</v>
      </c>
      <c r="F176" s="154">
        <f t="shared" si="17"/>
        <v>4.7269658925483293</v>
      </c>
      <c r="G176" s="80">
        <f t="shared" si="15"/>
        <v>1.9550170529223581</v>
      </c>
      <c r="H176" s="190"/>
      <c r="I176" s="190"/>
      <c r="J176" s="190"/>
    </row>
    <row r="177" spans="1:10" ht="16.5" hidden="1" thickBot="1" x14ac:dyDescent="0.3">
      <c r="A177" s="75">
        <v>2008</v>
      </c>
      <c r="B177" s="82" t="s">
        <v>28</v>
      </c>
      <c r="C177" s="77">
        <f t="shared" si="14"/>
        <v>380.09361625988834</v>
      </c>
      <c r="D177" s="155">
        <v>-2.6499999999999999E-2</v>
      </c>
      <c r="E177" s="77">
        <f t="shared" si="20"/>
        <v>0.85286690599999382</v>
      </c>
      <c r="F177" s="154">
        <f t="shared" si="17"/>
        <v>4.4762609058138114</v>
      </c>
      <c r="G177" s="80">
        <f t="shared" si="15"/>
        <v>1.9555352697688466</v>
      </c>
      <c r="H177" s="190"/>
      <c r="I177" s="190"/>
      <c r="J177" s="190"/>
    </row>
    <row r="178" spans="1:10" ht="16.5" hidden="1" thickBot="1" x14ac:dyDescent="0.3">
      <c r="A178" s="75">
        <v>2008</v>
      </c>
      <c r="B178" s="82" t="s">
        <v>29</v>
      </c>
      <c r="C178" s="77">
        <f t="shared" si="14"/>
        <v>381.8006166905115</v>
      </c>
      <c r="D178" s="155">
        <v>0.4491</v>
      </c>
      <c r="E178" s="77">
        <f t="shared" si="20"/>
        <v>1.3057971312748551</v>
      </c>
      <c r="F178" s="154">
        <f t="shared" si="17"/>
        <v>4.6859473301104959</v>
      </c>
      <c r="G178" s="80">
        <f t="shared" si="15"/>
        <v>1.9467922258824089</v>
      </c>
      <c r="H178" s="190"/>
      <c r="I178" s="190"/>
      <c r="J178" s="190"/>
    </row>
    <row r="179" spans="1:10" ht="16.5" hidden="1" thickBot="1" x14ac:dyDescent="0.3">
      <c r="A179" s="75">
        <v>2008</v>
      </c>
      <c r="B179" s="82" t="s">
        <v>30</v>
      </c>
      <c r="C179" s="77">
        <f t="shared" si="14"/>
        <v>383.41601509972912</v>
      </c>
      <c r="D179" s="155">
        <v>0.42309999999999998</v>
      </c>
      <c r="E179" s="77">
        <f t="shared" si="20"/>
        <v>1.7344219589372933</v>
      </c>
      <c r="F179" s="154">
        <f t="shared" si="17"/>
        <v>4.7034634014640586</v>
      </c>
      <c r="G179" s="80">
        <f t="shared" si="15"/>
        <v>1.9385900513750407</v>
      </c>
      <c r="H179" s="191"/>
      <c r="I179" s="190"/>
      <c r="J179" s="190"/>
    </row>
    <row r="180" spans="1:10" ht="16.5" hidden="1" thickBot="1" x14ac:dyDescent="0.3">
      <c r="A180" s="75">
        <v>2008</v>
      </c>
      <c r="B180" s="82" t="s">
        <v>31</v>
      </c>
      <c r="C180" s="77">
        <f t="shared" si="14"/>
        <v>386.75058418305144</v>
      </c>
      <c r="D180" s="155">
        <v>0.86970000000000003</v>
      </c>
      <c r="E180" s="77">
        <f t="shared" si="20"/>
        <v>2.6192062267141658</v>
      </c>
      <c r="F180" s="154">
        <f t="shared" si="17"/>
        <v>4.9511976582570227</v>
      </c>
      <c r="G180" s="80">
        <f t="shared" si="15"/>
        <v>1.9218755001502341</v>
      </c>
      <c r="H180" s="190"/>
      <c r="I180" s="190"/>
      <c r="J180" s="190"/>
    </row>
    <row r="181" spans="1:10" ht="16.5" hidden="1" thickBot="1" x14ac:dyDescent="0.3">
      <c r="A181" s="75">
        <v>2008</v>
      </c>
      <c r="B181" s="82" t="s">
        <v>32</v>
      </c>
      <c r="C181" s="77">
        <f t="shared" si="14"/>
        <v>390.50631910605307</v>
      </c>
      <c r="D181" s="155">
        <v>0.97109999999999996</v>
      </c>
      <c r="E181" s="77">
        <f t="shared" si="20"/>
        <v>3.6157413383817838</v>
      </c>
      <c r="F181" s="154">
        <f t="shared" si="17"/>
        <v>5.8164158536492927</v>
      </c>
      <c r="G181" s="80">
        <f t="shared" si="15"/>
        <v>1.9033916637040045</v>
      </c>
      <c r="H181" s="190"/>
      <c r="I181" s="190"/>
      <c r="J181" s="190"/>
    </row>
    <row r="182" spans="1:10" ht="16.5" hidden="1" thickBot="1" x14ac:dyDescent="0.3">
      <c r="A182" s="75">
        <v>2008</v>
      </c>
      <c r="B182" s="82" t="s">
        <v>33</v>
      </c>
      <c r="C182" s="77">
        <f t="shared" si="14"/>
        <v>393.88497977895867</v>
      </c>
      <c r="D182" s="155">
        <v>0.86519999999999997</v>
      </c>
      <c r="E182" s="77">
        <f t="shared" si="20"/>
        <v>4.5122247324414833</v>
      </c>
      <c r="F182" s="154">
        <f t="shared" si="17"/>
        <v>7.0498776201469271</v>
      </c>
      <c r="G182" s="80">
        <f t="shared" si="15"/>
        <v>1.8870647792340711</v>
      </c>
      <c r="H182" s="190"/>
      <c r="I182" s="190"/>
      <c r="J182" s="190"/>
    </row>
    <row r="183" spans="1:10" ht="16.5" hidden="1" thickBot="1" x14ac:dyDescent="0.3">
      <c r="A183" s="75">
        <v>2008</v>
      </c>
      <c r="B183" s="82" t="s">
        <v>34</v>
      </c>
      <c r="C183" s="77">
        <f t="shared" si="14"/>
        <v>395.16353042332122</v>
      </c>
      <c r="D183" s="155">
        <v>0.3246</v>
      </c>
      <c r="E183" s="77">
        <f t="shared" si="20"/>
        <v>4.851471413922992</v>
      </c>
      <c r="F183" s="154">
        <f t="shared" si="17"/>
        <v>6.9721472376323534</v>
      </c>
      <c r="G183" s="80">
        <f t="shared" si="15"/>
        <v>1.8809591857172328</v>
      </c>
      <c r="H183" s="190"/>
      <c r="I183" s="190"/>
      <c r="J183" s="190"/>
    </row>
    <row r="184" spans="1:10" ht="16.5" hidden="1" thickBot="1" x14ac:dyDescent="0.3">
      <c r="A184" s="75">
        <v>2008</v>
      </c>
      <c r="B184" s="82" t="s">
        <v>36</v>
      </c>
      <c r="C184" s="77">
        <f t="shared" si="14"/>
        <v>395.70846093177499</v>
      </c>
      <c r="D184" s="155">
        <v>0.13789999999999999</v>
      </c>
      <c r="E184" s="77">
        <f t="shared" si="20"/>
        <v>4.9960615930028096</v>
      </c>
      <c r="F184" s="154">
        <f t="shared" si="17"/>
        <v>6.7940467800406967</v>
      </c>
      <c r="G184" s="80">
        <f t="shared" si="15"/>
        <v>1.8783689149834706</v>
      </c>
      <c r="H184" s="190"/>
      <c r="I184" s="190"/>
      <c r="J184" s="190"/>
    </row>
    <row r="185" spans="1:10" ht="16.5" hidden="1" thickBot="1" x14ac:dyDescent="0.3">
      <c r="A185" s="75">
        <v>2008</v>
      </c>
      <c r="B185" s="82" t="s">
        <v>35</v>
      </c>
      <c r="C185" s="77">
        <f t="shared" si="14"/>
        <v>397.39338755842255</v>
      </c>
      <c r="D185" s="155">
        <v>0.42580000000000001</v>
      </c>
      <c r="E185" s="77">
        <f t="shared" si="20"/>
        <v>5.4431348232658161</v>
      </c>
      <c r="F185" s="154">
        <f t="shared" si="17"/>
        <v>6.8925031183367125</v>
      </c>
      <c r="G185" s="80">
        <f t="shared" si="15"/>
        <v>1.8704047316361634</v>
      </c>
      <c r="H185" s="190"/>
      <c r="I185" s="190"/>
      <c r="J185" s="190"/>
    </row>
    <row r="186" spans="1:10" ht="16.5" hidden="1" thickBot="1" x14ac:dyDescent="0.3">
      <c r="A186" s="75">
        <v>2008</v>
      </c>
      <c r="B186" s="82" t="s">
        <v>25</v>
      </c>
      <c r="C186" s="77">
        <f t="shared" si="14"/>
        <v>399.51348128104678</v>
      </c>
      <c r="D186" s="155">
        <v>0.53349999999999997</v>
      </c>
      <c r="E186" s="77">
        <f t="shared" si="20"/>
        <v>6.0056739475479626</v>
      </c>
      <c r="F186" s="154">
        <f t="shared" si="17"/>
        <v>7.1635739240770269</v>
      </c>
      <c r="G186" s="80">
        <f t="shared" si="15"/>
        <v>1.8604790757669467</v>
      </c>
      <c r="H186" s="190"/>
      <c r="I186" s="190"/>
      <c r="J186" s="190"/>
    </row>
    <row r="187" spans="1:10" ht="16.5" hidden="1" thickBot="1" x14ac:dyDescent="0.3">
      <c r="A187" s="75">
        <v>2008</v>
      </c>
      <c r="B187" s="82" t="s">
        <v>26</v>
      </c>
      <c r="C187" s="77">
        <f t="shared" si="14"/>
        <v>399.89981081744554</v>
      </c>
      <c r="D187" s="155">
        <v>9.6699999999999994E-2</v>
      </c>
      <c r="E187" s="77">
        <f t="shared" si="20"/>
        <v>6.1081814342552221</v>
      </c>
      <c r="F187" s="154">
        <f t="shared" si="17"/>
        <v>6.1081814342552221</v>
      </c>
      <c r="G187" s="80">
        <f t="shared" si="15"/>
        <v>1.8586817305335208</v>
      </c>
      <c r="H187" s="190"/>
      <c r="I187" s="190"/>
      <c r="J187" s="190"/>
    </row>
    <row r="188" spans="1:10" ht="16.5" hidden="1" thickBot="1" x14ac:dyDescent="0.3">
      <c r="A188" s="75">
        <v>2009</v>
      </c>
      <c r="B188" s="82" t="s">
        <v>27</v>
      </c>
      <c r="C188" s="77">
        <f t="shared" si="14"/>
        <v>402.63992432116669</v>
      </c>
      <c r="D188" s="155">
        <v>0.68520000000000003</v>
      </c>
      <c r="E188" s="77">
        <f t="shared" ref="E188:E199" si="21">100*((C188/$C$187)-1)</f>
        <v>0.68520000000000802</v>
      </c>
      <c r="F188" s="154">
        <f t="shared" si="17"/>
        <v>5.9037056981220637</v>
      </c>
      <c r="G188" s="80">
        <f t="shared" si="15"/>
        <v>1.8460327143746258</v>
      </c>
      <c r="H188" s="190"/>
      <c r="I188" s="190"/>
      <c r="J188" s="190"/>
    </row>
    <row r="189" spans="1:10" ht="16.5" hidden="1" thickBot="1" x14ac:dyDescent="0.3">
      <c r="A189" s="75">
        <v>2009</v>
      </c>
      <c r="B189" s="82" t="s">
        <v>14</v>
      </c>
      <c r="C189" s="77">
        <f t="shared" si="14"/>
        <v>402.71924438625797</v>
      </c>
      <c r="D189" s="155">
        <v>1.9699999999999999E-2</v>
      </c>
      <c r="E189" s="77">
        <f t="shared" si="21"/>
        <v>0.70503498439999923</v>
      </c>
      <c r="F189" s="154">
        <f t="shared" si="17"/>
        <v>5.9526461793821372</v>
      </c>
      <c r="G189" s="80">
        <f t="shared" si="15"/>
        <v>1.8456691175584667</v>
      </c>
      <c r="H189" s="190"/>
      <c r="I189" s="190"/>
      <c r="J189" s="190"/>
    </row>
    <row r="190" spans="1:10" ht="16.5" hidden="1" thickBot="1" x14ac:dyDescent="0.3">
      <c r="A190" s="75">
        <v>2009</v>
      </c>
      <c r="B190" s="82" t="s">
        <v>29</v>
      </c>
      <c r="C190" s="77">
        <f t="shared" si="14"/>
        <v>404.34018934491263</v>
      </c>
      <c r="D190" s="155">
        <v>0.40250000000000002</v>
      </c>
      <c r="E190" s="77">
        <f t="shared" si="21"/>
        <v>1.1103727502122185</v>
      </c>
      <c r="F190" s="154">
        <f t="shared" si="17"/>
        <v>5.9034929932215707</v>
      </c>
      <c r="G190" s="80">
        <f t="shared" si="15"/>
        <v>1.8382700804845167</v>
      </c>
      <c r="H190" s="190"/>
      <c r="I190" s="190"/>
      <c r="J190" s="190"/>
    </row>
    <row r="191" spans="1:10" ht="16.5" hidden="1" thickBot="1" x14ac:dyDescent="0.3">
      <c r="A191" s="75">
        <v>2009</v>
      </c>
      <c r="B191" s="82" t="s">
        <v>30</v>
      </c>
      <c r="C191" s="77">
        <f t="shared" si="14"/>
        <v>405.60253941604748</v>
      </c>
      <c r="D191" s="155">
        <v>0.31219999999999998</v>
      </c>
      <c r="E191" s="77">
        <f t="shared" si="21"/>
        <v>1.4260393339383892</v>
      </c>
      <c r="F191" s="154">
        <f t="shared" si="17"/>
        <v>5.7865408440352928</v>
      </c>
      <c r="G191" s="80">
        <f t="shared" si="15"/>
        <v>1.8325488629344351</v>
      </c>
      <c r="H191" s="191"/>
      <c r="I191" s="190"/>
      <c r="J191" s="190"/>
    </row>
    <row r="192" spans="1:10" ht="16.5" hidden="1" thickBot="1" x14ac:dyDescent="0.3">
      <c r="A192" s="75">
        <v>2009</v>
      </c>
      <c r="B192" s="82" t="s">
        <v>31</v>
      </c>
      <c r="C192" s="77">
        <f t="shared" si="14"/>
        <v>406.54799893542634</v>
      </c>
      <c r="D192" s="155">
        <v>0.2331</v>
      </c>
      <c r="E192" s="77">
        <f t="shared" si="21"/>
        <v>1.6624634316257936</v>
      </c>
      <c r="F192" s="154">
        <f t="shared" si="17"/>
        <v>5.1189101095202583</v>
      </c>
      <c r="G192" s="80">
        <f t="shared" si="15"/>
        <v>1.8282871256445574</v>
      </c>
      <c r="H192" s="190"/>
      <c r="I192" s="190"/>
      <c r="J192" s="190"/>
    </row>
    <row r="193" spans="1:10" ht="16.5" hidden="1" thickBot="1" x14ac:dyDescent="0.3">
      <c r="A193" s="75">
        <v>2009</v>
      </c>
      <c r="B193" s="82" t="s">
        <v>32</v>
      </c>
      <c r="C193" s="77">
        <f t="shared" ref="C193:C256" si="22">+C192*(1+D193/100)</f>
        <v>406.76834795084937</v>
      </c>
      <c r="D193" s="155">
        <v>5.4199999999999998E-2</v>
      </c>
      <c r="E193" s="77">
        <f t="shared" si="21"/>
        <v>1.717564486805756</v>
      </c>
      <c r="F193" s="154">
        <f t="shared" si="17"/>
        <v>4.1643446083083457</v>
      </c>
      <c r="G193" s="80">
        <f t="shared" si="15"/>
        <v>1.8272967308164547</v>
      </c>
      <c r="H193" s="190"/>
      <c r="I193" s="190"/>
      <c r="J193" s="190"/>
    </row>
    <row r="194" spans="1:10" ht="16.5" hidden="1" thickBot="1" x14ac:dyDescent="0.3">
      <c r="A194" s="75">
        <v>2009</v>
      </c>
      <c r="B194" s="82" t="s">
        <v>33</v>
      </c>
      <c r="C194" s="77">
        <f t="shared" si="22"/>
        <v>408.76273316085241</v>
      </c>
      <c r="D194" s="155">
        <v>0.49030000000000001</v>
      </c>
      <c r="E194" s="77">
        <f t="shared" si="21"/>
        <v>2.2162857054845553</v>
      </c>
      <c r="F194" s="154">
        <f t="shared" si="17"/>
        <v>3.7771822094467389</v>
      </c>
      <c r="G194" s="80">
        <f t="shared" si="15"/>
        <v>1.8183812077548327</v>
      </c>
      <c r="H194" s="190"/>
      <c r="I194" s="193"/>
      <c r="J194" s="190"/>
    </row>
    <row r="195" spans="1:10" ht="16.5" hidden="1" thickBot="1" x14ac:dyDescent="0.3">
      <c r="A195" s="75">
        <v>2009</v>
      </c>
      <c r="B195" s="82" t="s">
        <v>34</v>
      </c>
      <c r="C195" s="77">
        <f t="shared" si="22"/>
        <v>409.99883166593077</v>
      </c>
      <c r="D195" s="155">
        <v>0.3024</v>
      </c>
      <c r="E195" s="77">
        <f t="shared" si="21"/>
        <v>2.5253877534579416</v>
      </c>
      <c r="F195" s="154">
        <f t="shared" si="17"/>
        <v>3.7542182161185655</v>
      </c>
      <c r="G195" s="80">
        <f t="shared" si="15"/>
        <v>1.812899001175279</v>
      </c>
      <c r="H195" s="190"/>
      <c r="I195" s="193"/>
      <c r="J195" s="190"/>
    </row>
    <row r="196" spans="1:10" ht="16.5" hidden="1" thickBot="1" x14ac:dyDescent="0.3">
      <c r="A196" s="75">
        <v>2009</v>
      </c>
      <c r="B196" s="82" t="s">
        <v>21</v>
      </c>
      <c r="C196" s="77">
        <f t="shared" si="22"/>
        <v>411.09762853479549</v>
      </c>
      <c r="D196" s="155">
        <v>0.26800000000000002</v>
      </c>
      <c r="E196" s="77">
        <f t="shared" si="21"/>
        <v>2.8001557926372156</v>
      </c>
      <c r="F196" s="154">
        <f t="shared" si="17"/>
        <v>3.889016567091752</v>
      </c>
      <c r="G196" s="80">
        <f t="shared" si="15"/>
        <v>1.8080534180149987</v>
      </c>
      <c r="H196" s="190"/>
      <c r="I196" s="193"/>
      <c r="J196" s="190"/>
    </row>
    <row r="197" spans="1:10" ht="16.5" hidden="1" thickBot="1" x14ac:dyDescent="0.3">
      <c r="A197" s="75">
        <v>2009</v>
      </c>
      <c r="B197" s="82" t="s">
        <v>35</v>
      </c>
      <c r="C197" s="77">
        <f t="shared" si="22"/>
        <v>413.27521267314432</v>
      </c>
      <c r="D197" s="155">
        <v>0.52969999999999995</v>
      </c>
      <c r="E197" s="77">
        <f t="shared" si="21"/>
        <v>3.344688217870817</v>
      </c>
      <c r="F197" s="154">
        <f t="shared" si="17"/>
        <v>3.9964995925824143</v>
      </c>
      <c r="G197" s="80">
        <f t="shared" si="15"/>
        <v>1.7985266224956391</v>
      </c>
      <c r="H197" s="190"/>
      <c r="I197" s="193"/>
      <c r="J197" s="190"/>
    </row>
    <row r="198" spans="1:10" ht="16.5" hidden="1" thickBot="1" x14ac:dyDescent="0.3">
      <c r="A198" s="75">
        <v>2009</v>
      </c>
      <c r="B198" s="82" t="s">
        <v>25</v>
      </c>
      <c r="C198" s="77">
        <f t="shared" si="22"/>
        <v>415.75858342609723</v>
      </c>
      <c r="D198" s="155">
        <v>0.60089999999999999</v>
      </c>
      <c r="E198" s="77">
        <f t="shared" si="21"/>
        <v>3.9656864493720079</v>
      </c>
      <c r="F198" s="154">
        <f t="shared" si="17"/>
        <v>4.066221268168535</v>
      </c>
      <c r="G198" s="80">
        <f t="shared" si="15"/>
        <v>1.7877838294643877</v>
      </c>
      <c r="H198" s="190"/>
      <c r="I198" s="193"/>
      <c r="J198" s="190"/>
    </row>
    <row r="199" spans="1:10" ht="16.5" hidden="1" thickBot="1" x14ac:dyDescent="0.3">
      <c r="A199" s="75">
        <v>2009</v>
      </c>
      <c r="B199" s="82" t="s">
        <v>12</v>
      </c>
      <c r="C199" s="77">
        <f t="shared" si="22"/>
        <v>416.08495391408673</v>
      </c>
      <c r="D199" s="155">
        <v>7.85E-2</v>
      </c>
      <c r="E199" s="77">
        <f t="shared" si="21"/>
        <v>4.0472995132347478</v>
      </c>
      <c r="F199" s="154">
        <f t="shared" si="17"/>
        <v>4.0472995132347478</v>
      </c>
      <c r="G199" s="80">
        <f t="shared" ref="G199:G262" si="23">+$C$321/C199</f>
        <v>1.7863815199712103</v>
      </c>
      <c r="H199" s="190"/>
      <c r="I199" s="193"/>
      <c r="J199" s="190"/>
    </row>
    <row r="200" spans="1:10" ht="16.5" hidden="1" thickBot="1" x14ac:dyDescent="0.3">
      <c r="A200" s="75">
        <v>2010</v>
      </c>
      <c r="B200" s="82" t="s">
        <v>13</v>
      </c>
      <c r="C200" s="77">
        <f t="shared" si="22"/>
        <v>423.23287733737686</v>
      </c>
      <c r="D200" s="155">
        <v>1.7179</v>
      </c>
      <c r="E200" s="77">
        <f t="shared" ref="E200:E211" si="24">100*((C200/$C$199)-1)</f>
        <v>1.7179000000000055</v>
      </c>
      <c r="F200" s="154">
        <f t="shared" si="17"/>
        <v>5.1144836297416285</v>
      </c>
      <c r="G200" s="80">
        <f t="shared" si="23"/>
        <v>1.7562115615552525</v>
      </c>
      <c r="H200" s="190"/>
      <c r="I200" s="193"/>
      <c r="J200" s="190"/>
    </row>
    <row r="201" spans="1:10" ht="16.5" hidden="1" thickBot="1" x14ac:dyDescent="0.3">
      <c r="A201" s="75">
        <v>2010</v>
      </c>
      <c r="B201" s="82" t="s">
        <v>14</v>
      </c>
      <c r="C201" s="77">
        <f t="shared" si="22"/>
        <v>425.7430715328648</v>
      </c>
      <c r="D201" s="155">
        <v>0.59309999999999996</v>
      </c>
      <c r="E201" s="77">
        <f t="shared" si="24"/>
        <v>2.3211888649000034</v>
      </c>
      <c r="F201" s="154">
        <f t="shared" si="17"/>
        <v>5.7170913651506838</v>
      </c>
      <c r="G201" s="80">
        <f t="shared" si="23"/>
        <v>1.7458568843740303</v>
      </c>
      <c r="H201" s="190"/>
      <c r="I201" s="193"/>
      <c r="J201" s="190"/>
    </row>
    <row r="202" spans="1:10" ht="16.5" hidden="1" thickBot="1" x14ac:dyDescent="0.3">
      <c r="A202" s="75">
        <v>2010</v>
      </c>
      <c r="B202" s="82" t="s">
        <v>15</v>
      </c>
      <c r="C202" s="77">
        <f t="shared" si="22"/>
        <v>427.75853923350138</v>
      </c>
      <c r="D202" s="155">
        <v>0.47339999999999999</v>
      </c>
      <c r="E202" s="77">
        <f t="shared" si="24"/>
        <v>2.8055773729864342</v>
      </c>
      <c r="F202" s="154">
        <f t="shared" si="17"/>
        <v>5.7917443048463024</v>
      </c>
      <c r="G202" s="80">
        <f t="shared" si="23"/>
        <v>1.7376309395064069</v>
      </c>
      <c r="H202" s="190"/>
      <c r="I202" s="193"/>
      <c r="J202" s="190"/>
    </row>
    <row r="203" spans="1:10" ht="16.5" hidden="1" thickBot="1" x14ac:dyDescent="0.3">
      <c r="A203" s="75">
        <v>2010</v>
      </c>
      <c r="B203" s="82" t="s">
        <v>16</v>
      </c>
      <c r="C203" s="77">
        <f t="shared" si="22"/>
        <v>428.71372405160974</v>
      </c>
      <c r="D203" s="155">
        <v>0.2233</v>
      </c>
      <c r="E203" s="77">
        <f t="shared" si="24"/>
        <v>3.0351422272603124</v>
      </c>
      <c r="F203" s="154">
        <f t="shared" si="17"/>
        <v>5.697988150871991</v>
      </c>
      <c r="G203" s="80">
        <f t="shared" si="23"/>
        <v>1.7337594546441866</v>
      </c>
      <c r="H203" s="191"/>
      <c r="I203" s="193"/>
      <c r="J203" s="190"/>
    </row>
    <row r="204" spans="1:10" ht="16.5" hidden="1" thickBot="1" x14ac:dyDescent="0.3">
      <c r="A204" s="75">
        <v>2010</v>
      </c>
      <c r="B204" s="82" t="s">
        <v>17</v>
      </c>
      <c r="C204" s="77">
        <f t="shared" si="22"/>
        <v>429.37608675526945</v>
      </c>
      <c r="D204" s="155">
        <v>0.1545</v>
      </c>
      <c r="E204" s="77">
        <f t="shared" si="24"/>
        <v>3.1943315220014146</v>
      </c>
      <c r="F204" s="154">
        <f t="shared" si="17"/>
        <v>5.6151027380825891</v>
      </c>
      <c r="G204" s="80">
        <f t="shared" si="23"/>
        <v>1.7310849284297627</v>
      </c>
      <c r="H204" s="190"/>
      <c r="I204" s="193"/>
      <c r="J204" s="190"/>
    </row>
    <row r="205" spans="1:10" ht="16.5" hidden="1" thickBot="1" x14ac:dyDescent="0.3">
      <c r="A205" s="75">
        <v>2010</v>
      </c>
      <c r="B205" s="82" t="s">
        <v>18</v>
      </c>
      <c r="C205" s="77">
        <f t="shared" si="22"/>
        <v>429.46754386174831</v>
      </c>
      <c r="D205" s="155">
        <v>2.1299999999999999E-2</v>
      </c>
      <c r="E205" s="77">
        <f t="shared" si="24"/>
        <v>3.2163119146155994</v>
      </c>
      <c r="F205" s="154">
        <f t="shared" si="17"/>
        <v>5.5803741921536476</v>
      </c>
      <c r="G205" s="80">
        <f t="shared" si="23"/>
        <v>1.7307162858608744</v>
      </c>
      <c r="H205" s="190"/>
      <c r="I205" s="193"/>
      <c r="J205" s="190"/>
    </row>
    <row r="206" spans="1:10" ht="16.5" hidden="1" thickBot="1" x14ac:dyDescent="0.3">
      <c r="A206" s="75">
        <v>2010</v>
      </c>
      <c r="B206" s="82" t="s">
        <v>19</v>
      </c>
      <c r="C206" s="77">
        <f t="shared" si="22"/>
        <v>430.05548492929501</v>
      </c>
      <c r="D206" s="155">
        <v>0.13689999999999999</v>
      </c>
      <c r="E206" s="77">
        <f t="shared" si="24"/>
        <v>3.3576150456267051</v>
      </c>
      <c r="F206" s="154">
        <f t="shared" si="17"/>
        <v>5.2090736363834989</v>
      </c>
      <c r="G206" s="80">
        <f t="shared" si="23"/>
        <v>1.7283501744720224</v>
      </c>
      <c r="H206" s="190"/>
      <c r="I206" s="193"/>
      <c r="J206" s="190"/>
    </row>
    <row r="207" spans="1:10" ht="16.5" hidden="1" thickBot="1" x14ac:dyDescent="0.3">
      <c r="A207" s="75">
        <v>2010</v>
      </c>
      <c r="B207" s="82" t="s">
        <v>20</v>
      </c>
      <c r="C207" s="77">
        <f t="shared" si="22"/>
        <v>431.13922475131687</v>
      </c>
      <c r="D207" s="155">
        <v>0.252</v>
      </c>
      <c r="E207" s="77">
        <f t="shared" si="24"/>
        <v>3.6180762355416896</v>
      </c>
      <c r="F207" s="154">
        <f t="shared" si="17"/>
        <v>5.1562081285664307</v>
      </c>
      <c r="G207" s="80">
        <f t="shared" si="23"/>
        <v>1.7240056801580241</v>
      </c>
      <c r="H207" s="190"/>
      <c r="I207" s="193"/>
      <c r="J207" s="190"/>
    </row>
    <row r="208" spans="1:10" ht="16.5" hidden="1" thickBot="1" x14ac:dyDescent="0.3">
      <c r="A208" s="75">
        <v>2010</v>
      </c>
      <c r="B208" s="82" t="s">
        <v>21</v>
      </c>
      <c r="C208" s="77">
        <f t="shared" si="22"/>
        <v>433.42038238947606</v>
      </c>
      <c r="D208" s="155">
        <v>0.52910000000000001</v>
      </c>
      <c r="E208" s="77">
        <f t="shared" si="24"/>
        <v>4.1663194769039347</v>
      </c>
      <c r="F208" s="154">
        <f t="shared" si="17"/>
        <v>5.4300371262762326</v>
      </c>
      <c r="G208" s="80">
        <f t="shared" si="23"/>
        <v>1.7149319750778871</v>
      </c>
      <c r="H208" s="190"/>
      <c r="I208" s="193"/>
      <c r="J208" s="190"/>
    </row>
    <row r="209" spans="1:10" ht="16.5" hidden="1" thickBot="1" x14ac:dyDescent="0.3">
      <c r="A209" s="75">
        <v>2010</v>
      </c>
      <c r="B209" s="82" t="s">
        <v>22</v>
      </c>
      <c r="C209" s="77">
        <f t="shared" si="22"/>
        <v>437.45812667181644</v>
      </c>
      <c r="D209" s="155">
        <v>0.93159999999999998</v>
      </c>
      <c r="E209" s="77">
        <f t="shared" si="24"/>
        <v>5.1367329091507763</v>
      </c>
      <c r="F209" s="154">
        <f t="shared" si="17"/>
        <v>5.8515278093385525</v>
      </c>
      <c r="G209" s="80">
        <f t="shared" si="23"/>
        <v>1.6991031303158644</v>
      </c>
      <c r="H209" s="190"/>
      <c r="I209" s="193"/>
      <c r="J209" s="190"/>
    </row>
    <row r="210" spans="1:10" ht="16.5" hidden="1" thickBot="1" x14ac:dyDescent="0.3">
      <c r="A210" s="75">
        <v>2010</v>
      </c>
      <c r="B210" s="82" t="s">
        <v>23</v>
      </c>
      <c r="C210" s="77">
        <f t="shared" si="22"/>
        <v>441.99325507102316</v>
      </c>
      <c r="D210" s="155">
        <v>1.0367</v>
      </c>
      <c r="E210" s="77">
        <f t="shared" si="24"/>
        <v>6.226685419219935</v>
      </c>
      <c r="F210" s="154">
        <f t="shared" si="17"/>
        <v>6.3100733672740272</v>
      </c>
      <c r="G210" s="80">
        <f t="shared" si="23"/>
        <v>1.6816692650451415</v>
      </c>
      <c r="H210" s="190"/>
      <c r="I210" s="193"/>
      <c r="J210" s="190"/>
    </row>
    <row r="211" spans="1:10" ht="16.5" hidden="1" thickBot="1" x14ac:dyDescent="0.3">
      <c r="A211" s="75">
        <v>2010</v>
      </c>
      <c r="B211" s="82" t="s">
        <v>12</v>
      </c>
      <c r="C211" s="77">
        <f t="shared" si="22"/>
        <v>444.84720551901671</v>
      </c>
      <c r="D211" s="155">
        <v>0.64570000000000005</v>
      </c>
      <c r="E211" s="77">
        <f t="shared" si="24"/>
        <v>6.9125911269718232</v>
      </c>
      <c r="F211" s="154">
        <f t="shared" si="17"/>
        <v>6.9125911269718232</v>
      </c>
      <c r="G211" s="80">
        <f t="shared" si="23"/>
        <v>1.6708803903645577</v>
      </c>
      <c r="H211" s="190"/>
      <c r="I211" s="193"/>
      <c r="J211" s="190"/>
    </row>
    <row r="212" spans="1:10" x14ac:dyDescent="0.25">
      <c r="A212" s="87">
        <v>2011</v>
      </c>
      <c r="B212" s="88" t="s">
        <v>13</v>
      </c>
      <c r="C212" s="89">
        <f t="shared" si="22"/>
        <v>450.55993333229191</v>
      </c>
      <c r="D212" s="156">
        <v>1.2842</v>
      </c>
      <c r="E212" s="89">
        <f t="shared" ref="E212:E223" si="25">100*((C212/$C$211)-1)</f>
        <v>1.284200000000002</v>
      </c>
      <c r="F212" s="157">
        <f t="shared" si="17"/>
        <v>6.4567422471604186</v>
      </c>
      <c r="G212" s="92">
        <f t="shared" si="23"/>
        <v>1.6496950070835903</v>
      </c>
      <c r="H212" s="190"/>
      <c r="I212" s="193"/>
      <c r="J212" s="190"/>
    </row>
    <row r="213" spans="1:10" x14ac:dyDescent="0.25">
      <c r="A213" s="93">
        <v>2011</v>
      </c>
      <c r="B213" s="94" t="s">
        <v>14</v>
      </c>
      <c r="C213" s="95">
        <f t="shared" si="22"/>
        <v>452.38920666162102</v>
      </c>
      <c r="D213" s="158">
        <v>0.40600000000000003</v>
      </c>
      <c r="E213" s="95">
        <f t="shared" si="25"/>
        <v>1.6954138520000051</v>
      </c>
      <c r="F213" s="159">
        <f t="shared" si="17"/>
        <v>6.2587360571290773</v>
      </c>
      <c r="G213" s="98">
        <f t="shared" si="23"/>
        <v>1.6430243283106489</v>
      </c>
      <c r="H213" s="190"/>
      <c r="I213" s="193"/>
      <c r="J213" s="190"/>
    </row>
    <row r="214" spans="1:10" x14ac:dyDescent="0.25">
      <c r="A214" s="93">
        <v>2011</v>
      </c>
      <c r="B214" s="94" t="s">
        <v>15</v>
      </c>
      <c r="C214" s="95">
        <f t="shared" si="22"/>
        <v>456.51228189113505</v>
      </c>
      <c r="D214" s="158">
        <v>0.91139999999999999</v>
      </c>
      <c r="E214" s="95">
        <f t="shared" si="25"/>
        <v>2.6222658538471277</v>
      </c>
      <c r="F214" s="159">
        <f t="shared" ref="F214:F277" si="26">100*((C214/C202)-1)</f>
        <v>6.7219564357867245</v>
      </c>
      <c r="G214" s="98">
        <f t="shared" si="23"/>
        <v>1.6281850497670718</v>
      </c>
      <c r="H214" s="190"/>
      <c r="I214" s="193"/>
      <c r="J214" s="190"/>
    </row>
    <row r="215" spans="1:10" x14ac:dyDescent="0.25">
      <c r="A215" s="93">
        <v>2011</v>
      </c>
      <c r="B215" s="94" t="s">
        <v>16</v>
      </c>
      <c r="C215" s="95">
        <f t="shared" si="22"/>
        <v>460.14748919183415</v>
      </c>
      <c r="D215" s="158">
        <v>0.79630000000000001</v>
      </c>
      <c r="E215" s="95">
        <f t="shared" si="25"/>
        <v>3.4394469568413077</v>
      </c>
      <c r="F215" s="159">
        <f t="shared" si="26"/>
        <v>7.3321107715320855</v>
      </c>
      <c r="G215" s="98">
        <f t="shared" si="23"/>
        <v>1.6153222387796693</v>
      </c>
      <c r="H215" s="191"/>
      <c r="I215" s="193"/>
      <c r="J215" s="190"/>
    </row>
    <row r="216" spans="1:10" x14ac:dyDescent="0.25">
      <c r="A216" s="93">
        <v>2011</v>
      </c>
      <c r="B216" s="94" t="s">
        <v>17</v>
      </c>
      <c r="C216" s="95">
        <f t="shared" si="22"/>
        <v>460.33338877746769</v>
      </c>
      <c r="D216" s="158">
        <v>4.0399999999999998E-2</v>
      </c>
      <c r="E216" s="95">
        <f t="shared" si="25"/>
        <v>3.4812364934118767</v>
      </c>
      <c r="F216" s="159">
        <f t="shared" si="26"/>
        <v>7.2098337511382837</v>
      </c>
      <c r="G216" s="98">
        <f t="shared" si="23"/>
        <v>1.6146699121351666</v>
      </c>
      <c r="H216" s="190"/>
      <c r="I216" s="193"/>
      <c r="J216" s="190"/>
    </row>
    <row r="217" spans="1:10" x14ac:dyDescent="0.25">
      <c r="A217" s="93">
        <v>2011</v>
      </c>
      <c r="B217" s="94" t="s">
        <v>18</v>
      </c>
      <c r="C217" s="95">
        <f t="shared" si="22"/>
        <v>458.77608092323351</v>
      </c>
      <c r="D217" s="158">
        <v>-0.33829999999999999</v>
      </c>
      <c r="E217" s="95">
        <f t="shared" si="25"/>
        <v>3.1311594703546719</v>
      </c>
      <c r="F217" s="159">
        <f t="shared" si="26"/>
        <v>6.8243892886397095</v>
      </c>
      <c r="G217" s="98">
        <f t="shared" si="23"/>
        <v>1.6201508825709039</v>
      </c>
      <c r="H217" s="190"/>
      <c r="I217" s="193"/>
      <c r="J217" s="190"/>
    </row>
    <row r="218" spans="1:10" x14ac:dyDescent="0.25">
      <c r="A218" s="93">
        <v>2011</v>
      </c>
      <c r="B218" s="94" t="s">
        <v>19</v>
      </c>
      <c r="C218" s="95">
        <f t="shared" si="22"/>
        <v>460.77680341213977</v>
      </c>
      <c r="D218" s="158">
        <v>0.43609999999999999</v>
      </c>
      <c r="E218" s="95">
        <f t="shared" si="25"/>
        <v>3.5809144568049067</v>
      </c>
      <c r="F218" s="159">
        <f t="shared" si="26"/>
        <v>7.1435709017629634</v>
      </c>
      <c r="G218" s="98">
        <f t="shared" si="23"/>
        <v>1.6131160833314953</v>
      </c>
      <c r="H218" s="190"/>
      <c r="I218" s="193"/>
      <c r="J218" s="190"/>
    </row>
    <row r="219" spans="1:10" x14ac:dyDescent="0.25">
      <c r="A219" s="93">
        <v>2011</v>
      </c>
      <c r="B219" s="94" t="s">
        <v>20</v>
      </c>
      <c r="C219" s="95">
        <f t="shared" si="22"/>
        <v>462.55678420372084</v>
      </c>
      <c r="D219" s="158">
        <v>0.38629999999999998</v>
      </c>
      <c r="E219" s="95">
        <f t="shared" si="25"/>
        <v>3.9810475293515335</v>
      </c>
      <c r="F219" s="159">
        <f t="shared" si="26"/>
        <v>7.2871030165547523</v>
      </c>
      <c r="G219" s="98">
        <f t="shared" si="23"/>
        <v>1.6069085954273594</v>
      </c>
      <c r="H219" s="190"/>
      <c r="I219" s="193"/>
      <c r="J219" s="190"/>
    </row>
    <row r="220" spans="1:10" x14ac:dyDescent="0.25">
      <c r="A220" s="93">
        <v>2011</v>
      </c>
      <c r="B220" s="94" t="s">
        <v>21</v>
      </c>
      <c r="C220" s="95">
        <f t="shared" si="22"/>
        <v>465.72714840265309</v>
      </c>
      <c r="D220" s="158">
        <v>0.68540000000000001</v>
      </c>
      <c r="E220" s="95">
        <f t="shared" si="25"/>
        <v>4.6937336291176912</v>
      </c>
      <c r="F220" s="159">
        <f t="shared" si="26"/>
        <v>7.4539101818579923</v>
      </c>
      <c r="G220" s="98">
        <f t="shared" si="23"/>
        <v>1.5959698182927808</v>
      </c>
      <c r="H220" s="190"/>
      <c r="I220" s="193"/>
      <c r="J220" s="190"/>
    </row>
    <row r="221" spans="1:10" x14ac:dyDescent="0.25">
      <c r="A221" s="93">
        <v>2011</v>
      </c>
      <c r="B221" s="94" t="s">
        <v>22</v>
      </c>
      <c r="C221" s="95">
        <f t="shared" si="22"/>
        <v>467.1527392039136</v>
      </c>
      <c r="D221" s="158">
        <v>0.30609999999999998</v>
      </c>
      <c r="E221" s="95">
        <f t="shared" si="25"/>
        <v>5.0142011477564141</v>
      </c>
      <c r="F221" s="159">
        <f t="shared" si="26"/>
        <v>6.7879896889821101</v>
      </c>
      <c r="G221" s="98">
        <f t="shared" si="23"/>
        <v>1.5910994628370367</v>
      </c>
      <c r="H221" s="190"/>
      <c r="I221" s="193"/>
      <c r="J221" s="190"/>
    </row>
    <row r="222" spans="1:10" x14ac:dyDescent="0.25">
      <c r="A222" s="93">
        <v>2011</v>
      </c>
      <c r="B222" s="94" t="s">
        <v>23</v>
      </c>
      <c r="C222" s="95">
        <f t="shared" si="22"/>
        <v>469.5856706696876</v>
      </c>
      <c r="D222" s="158">
        <v>0.52080000000000004</v>
      </c>
      <c r="E222" s="95">
        <f t="shared" si="25"/>
        <v>5.5611151073339471</v>
      </c>
      <c r="F222" s="159">
        <f t="shared" si="26"/>
        <v>6.2427232275819922</v>
      </c>
      <c r="G222" s="98">
        <f t="shared" si="23"/>
        <v>1.5828559490543614</v>
      </c>
      <c r="H222" s="190"/>
      <c r="I222" s="193"/>
      <c r="J222" s="190"/>
    </row>
    <row r="223" spans="1:10" x14ac:dyDescent="0.25">
      <c r="A223" s="93">
        <v>2011</v>
      </c>
      <c r="B223" s="94" t="s">
        <v>12</v>
      </c>
      <c r="C223" s="95">
        <f t="shared" si="22"/>
        <v>471.92232896694003</v>
      </c>
      <c r="D223" s="158">
        <v>0.49759999999999999</v>
      </c>
      <c r="E223" s="95">
        <f t="shared" si="25"/>
        <v>6.0863872161080357</v>
      </c>
      <c r="F223" s="159">
        <f t="shared" si="26"/>
        <v>6.0863872161080357</v>
      </c>
      <c r="G223" s="98">
        <f t="shared" si="23"/>
        <v>1.5750186562210056</v>
      </c>
      <c r="H223" s="190"/>
      <c r="I223" s="193"/>
      <c r="J223" s="190"/>
    </row>
    <row r="224" spans="1:10" x14ac:dyDescent="0.25">
      <c r="A224" s="93">
        <f>2012</f>
        <v>2012</v>
      </c>
      <c r="B224" s="94" t="s">
        <v>13</v>
      </c>
      <c r="C224" s="95">
        <f t="shared" si="22"/>
        <v>478.13848988409256</v>
      </c>
      <c r="D224" s="158">
        <v>1.3171999999999999</v>
      </c>
      <c r="E224" s="95">
        <f t="shared" ref="E224:E235" si="27">100*((C224/$C$223)-1)</f>
        <v>1.3171999999999962</v>
      </c>
      <c r="F224" s="159">
        <f t="shared" si="26"/>
        <v>6.1209518449260925</v>
      </c>
      <c r="G224" s="98">
        <f t="shared" si="23"/>
        <v>1.5545422260198718</v>
      </c>
      <c r="H224" s="190"/>
      <c r="I224" s="193"/>
      <c r="J224" s="190"/>
    </row>
    <row r="225" spans="1:10" x14ac:dyDescent="0.25">
      <c r="A225" s="93">
        <f>2012</f>
        <v>2012</v>
      </c>
      <c r="B225" s="94" t="s">
        <v>14</v>
      </c>
      <c r="C225" s="95">
        <f t="shared" si="22"/>
        <v>478.76054805943176</v>
      </c>
      <c r="D225" s="158">
        <v>0.13009999999999999</v>
      </c>
      <c r="E225" s="95">
        <f t="shared" si="27"/>
        <v>1.4490136772000062</v>
      </c>
      <c r="F225" s="159">
        <f t="shared" si="26"/>
        <v>5.829348050192551</v>
      </c>
      <c r="G225" s="98">
        <f t="shared" si="23"/>
        <v>1.5525223943847772</v>
      </c>
      <c r="H225" s="190"/>
      <c r="I225" s="193"/>
      <c r="J225" s="190"/>
    </row>
    <row r="226" spans="1:10" x14ac:dyDescent="0.25">
      <c r="A226" s="93">
        <f>2012</f>
        <v>2012</v>
      </c>
      <c r="B226" s="94" t="s">
        <v>15</v>
      </c>
      <c r="C226" s="95">
        <f t="shared" si="22"/>
        <v>481.58906537736686</v>
      </c>
      <c r="D226" s="158">
        <v>0.59079999999999999</v>
      </c>
      <c r="E226" s="95">
        <f t="shared" si="27"/>
        <v>2.0483744500048973</v>
      </c>
      <c r="F226" s="159">
        <f t="shared" si="26"/>
        <v>5.4931235107956944</v>
      </c>
      <c r="G226" s="98">
        <f t="shared" si="23"/>
        <v>1.5434039637668429</v>
      </c>
      <c r="H226" s="190"/>
      <c r="I226" s="193"/>
      <c r="J226" s="190"/>
    </row>
    <row r="227" spans="1:10" x14ac:dyDescent="0.25">
      <c r="A227" s="93">
        <f>2012</f>
        <v>2012</v>
      </c>
      <c r="B227" s="94" t="s">
        <v>16</v>
      </c>
      <c r="C227" s="95">
        <f t="shared" si="22"/>
        <v>484.87639233763275</v>
      </c>
      <c r="D227" s="158">
        <v>0.68259999999999998</v>
      </c>
      <c r="E227" s="95">
        <f t="shared" si="27"/>
        <v>2.7449566540006298</v>
      </c>
      <c r="F227" s="159">
        <f t="shared" si="26"/>
        <v>5.3741254112307457</v>
      </c>
      <c r="G227" s="98">
        <f t="shared" si="23"/>
        <v>1.532940114544959</v>
      </c>
      <c r="H227" s="191"/>
      <c r="I227" s="193"/>
      <c r="J227" s="190"/>
    </row>
    <row r="228" spans="1:10" x14ac:dyDescent="0.25">
      <c r="A228" s="93">
        <f>2012</f>
        <v>2012</v>
      </c>
      <c r="B228" s="94" t="s">
        <v>17</v>
      </c>
      <c r="C228" s="95">
        <f t="shared" si="22"/>
        <v>486.95214817323017</v>
      </c>
      <c r="D228" s="158">
        <v>0.42809999999999998</v>
      </c>
      <c r="E228" s="95">
        <f t="shared" si="27"/>
        <v>3.1848078134363966</v>
      </c>
      <c r="F228" s="159">
        <f t="shared" si="26"/>
        <v>5.7824959137670495</v>
      </c>
      <c r="G228" s="98">
        <f t="shared" si="23"/>
        <v>1.5264055722899856</v>
      </c>
      <c r="H228" s="190"/>
      <c r="I228" s="193"/>
      <c r="J228" s="190"/>
    </row>
    <row r="229" spans="1:10" x14ac:dyDescent="0.25">
      <c r="A229" s="93">
        <f>2012</f>
        <v>2012</v>
      </c>
      <c r="B229" s="94" t="s">
        <v>18</v>
      </c>
      <c r="C229" s="95">
        <f t="shared" si="22"/>
        <v>488.07311201832493</v>
      </c>
      <c r="D229" s="158">
        <v>0.23019999999999999</v>
      </c>
      <c r="E229" s="95">
        <f t="shared" si="27"/>
        <v>3.4223392410229314</v>
      </c>
      <c r="F229" s="159">
        <f t="shared" si="26"/>
        <v>6.3859107554462113</v>
      </c>
      <c r="G229" s="98">
        <f t="shared" si="23"/>
        <v>1.5228998568195868</v>
      </c>
      <c r="H229" s="190"/>
      <c r="I229" s="193"/>
      <c r="J229" s="190"/>
    </row>
    <row r="230" spans="1:10" x14ac:dyDescent="0.25">
      <c r="A230" s="93">
        <f>2012</f>
        <v>2012</v>
      </c>
      <c r="B230" s="94" t="s">
        <v>19</v>
      </c>
      <c r="C230" s="95">
        <f t="shared" si="22"/>
        <v>490.1361970628264</v>
      </c>
      <c r="D230" s="158">
        <v>0.42270000000000002</v>
      </c>
      <c r="E230" s="95">
        <f t="shared" si="27"/>
        <v>3.8595054689947395</v>
      </c>
      <c r="F230" s="159">
        <f t="shared" si="26"/>
        <v>6.3717169426227072</v>
      </c>
      <c r="G230" s="98">
        <f t="shared" si="23"/>
        <v>1.5164896550477003</v>
      </c>
      <c r="H230" s="190"/>
      <c r="I230" s="193"/>
      <c r="J230" s="190"/>
    </row>
    <row r="231" spans="1:10" x14ac:dyDescent="0.25">
      <c r="A231" s="93">
        <f>2012</f>
        <v>2012</v>
      </c>
      <c r="B231" s="94" t="s">
        <v>20</v>
      </c>
      <c r="C231" s="95">
        <f t="shared" si="22"/>
        <v>491.1287228618786</v>
      </c>
      <c r="D231" s="158">
        <v>0.20250000000000001</v>
      </c>
      <c r="E231" s="95">
        <f t="shared" si="27"/>
        <v>4.0698209675694486</v>
      </c>
      <c r="F231" s="159">
        <f t="shared" si="26"/>
        <v>6.1769580803670676</v>
      </c>
      <c r="G231" s="98">
        <f t="shared" si="23"/>
        <v>1.5134249694844941</v>
      </c>
      <c r="H231" s="190"/>
      <c r="I231" s="193"/>
      <c r="J231" s="190"/>
    </row>
    <row r="232" spans="1:10" x14ac:dyDescent="0.25">
      <c r="A232" s="93">
        <f>2012</f>
        <v>2012</v>
      </c>
      <c r="B232" s="94" t="s">
        <v>21</v>
      </c>
      <c r="C232" s="95">
        <f t="shared" si="22"/>
        <v>493.20570623086149</v>
      </c>
      <c r="D232" s="158">
        <v>0.4229</v>
      </c>
      <c r="E232" s="95">
        <f t="shared" si="27"/>
        <v>4.5099322404412945</v>
      </c>
      <c r="F232" s="159">
        <f t="shared" si="26"/>
        <v>5.9001408705621206</v>
      </c>
      <c r="G232" s="98">
        <f t="shared" si="23"/>
        <v>1.5070516480648279</v>
      </c>
      <c r="H232" s="190"/>
      <c r="I232" s="193"/>
      <c r="J232" s="190"/>
    </row>
    <row r="233" spans="1:10" x14ac:dyDescent="0.25">
      <c r="A233" s="93">
        <f>2012</f>
        <v>2012</v>
      </c>
      <c r="B233" s="94" t="s">
        <v>22</v>
      </c>
      <c r="C233" s="95">
        <f t="shared" si="22"/>
        <v>497.20708412551249</v>
      </c>
      <c r="D233" s="158">
        <v>0.81130000000000002</v>
      </c>
      <c r="E233" s="95">
        <f t="shared" si="27"/>
        <v>5.3578213207080116</v>
      </c>
      <c r="F233" s="159">
        <f t="shared" si="26"/>
        <v>6.433515721820493</v>
      </c>
      <c r="G233" s="98">
        <f t="shared" si="23"/>
        <v>1.4949233350475868</v>
      </c>
      <c r="H233" s="190"/>
      <c r="I233" s="193"/>
      <c r="J233" s="190"/>
    </row>
    <row r="234" spans="1:10" x14ac:dyDescent="0.25">
      <c r="A234" s="93">
        <f>2012</f>
        <v>2012</v>
      </c>
      <c r="B234" s="94" t="s">
        <v>23</v>
      </c>
      <c r="C234" s="95">
        <f t="shared" si="22"/>
        <v>500.01729856498991</v>
      </c>
      <c r="D234" s="158">
        <v>0.56520000000000004</v>
      </c>
      <c r="E234" s="95">
        <f t="shared" si="27"/>
        <v>5.9533037268126421</v>
      </c>
      <c r="F234" s="159">
        <f t="shared" si="26"/>
        <v>6.4805273661572738</v>
      </c>
      <c r="G234" s="98">
        <f t="shared" si="23"/>
        <v>1.4865215154423068</v>
      </c>
      <c r="H234" s="190"/>
      <c r="I234" s="193"/>
      <c r="J234" s="190"/>
    </row>
    <row r="235" spans="1:10" x14ac:dyDescent="0.25">
      <c r="A235" s="93">
        <f>2012</f>
        <v>2012</v>
      </c>
      <c r="B235" s="94" t="s">
        <v>12</v>
      </c>
      <c r="C235" s="95">
        <f t="shared" si="22"/>
        <v>502.16937301801369</v>
      </c>
      <c r="D235" s="158">
        <v>0.4304</v>
      </c>
      <c r="E235" s="95">
        <f t="shared" si="27"/>
        <v>6.4093267460528569</v>
      </c>
      <c r="F235" s="159">
        <f t="shared" si="26"/>
        <v>6.4093267460528569</v>
      </c>
      <c r="G235" s="98">
        <f t="shared" si="23"/>
        <v>1.4801509457717053</v>
      </c>
      <c r="H235" s="190"/>
      <c r="I235" s="193"/>
      <c r="J235" s="190"/>
    </row>
    <row r="236" spans="1:10" x14ac:dyDescent="0.25">
      <c r="A236" s="93">
        <f>2013</f>
        <v>2013</v>
      </c>
      <c r="B236" s="94" t="s">
        <v>13</v>
      </c>
      <c r="C236" s="95">
        <f t="shared" si="22"/>
        <v>511.06379695290872</v>
      </c>
      <c r="D236" s="96">
        <v>1.7712000000000001</v>
      </c>
      <c r="E236" s="95">
        <f t="shared" ref="E236:E247" si="28">100*((C236/$C$235)-1)</f>
        <v>1.771199999999995</v>
      </c>
      <c r="F236" s="159">
        <f t="shared" si="26"/>
        <v>6.8861444467266608</v>
      </c>
      <c r="G236" s="98">
        <f t="shared" si="23"/>
        <v>1.454390776341151</v>
      </c>
      <c r="H236" s="190"/>
      <c r="I236" s="193"/>
      <c r="J236" s="190"/>
    </row>
    <row r="237" spans="1:10" x14ac:dyDescent="0.25">
      <c r="A237" s="93">
        <f>2013</f>
        <v>2013</v>
      </c>
      <c r="B237" s="94" t="s">
        <v>14</v>
      </c>
      <c r="C237" s="95">
        <f t="shared" si="22"/>
        <v>511.65560882978019</v>
      </c>
      <c r="D237" s="96">
        <v>0.1158</v>
      </c>
      <c r="E237" s="95">
        <f t="shared" si="28"/>
        <v>1.889051049599999</v>
      </c>
      <c r="F237" s="159">
        <f t="shared" si="26"/>
        <v>6.8708795876524453</v>
      </c>
      <c r="G237" s="98">
        <f t="shared" si="23"/>
        <v>1.4527085398520023</v>
      </c>
      <c r="H237" s="190"/>
      <c r="I237" s="193"/>
      <c r="J237" s="190"/>
    </row>
    <row r="238" spans="1:10" x14ac:dyDescent="0.25">
      <c r="A238" s="93">
        <f>2013</f>
        <v>2013</v>
      </c>
      <c r="B238" s="94" t="s">
        <v>15</v>
      </c>
      <c r="C238" s="95">
        <f t="shared" si="22"/>
        <v>515.66852376983218</v>
      </c>
      <c r="D238" s="96">
        <v>0.7843</v>
      </c>
      <c r="E238" s="95">
        <f t="shared" si="28"/>
        <v>2.6881668769820122</v>
      </c>
      <c r="F238" s="159">
        <f t="shared" si="26"/>
        <v>7.0764601695765483</v>
      </c>
      <c r="G238" s="98">
        <f t="shared" si="23"/>
        <v>1.4414036113283539</v>
      </c>
      <c r="H238" s="190"/>
      <c r="I238" s="193"/>
      <c r="J238" s="190"/>
    </row>
    <row r="239" spans="1:10" x14ac:dyDescent="0.25">
      <c r="A239" s="93">
        <f>2013</f>
        <v>2013</v>
      </c>
      <c r="B239" s="94" t="s">
        <v>16</v>
      </c>
      <c r="C239" s="95">
        <f t="shared" si="22"/>
        <v>517.28101924366047</v>
      </c>
      <c r="D239" s="96">
        <v>0.31269999999999998</v>
      </c>
      <c r="E239" s="95">
        <f t="shared" si="28"/>
        <v>3.0092727748063375</v>
      </c>
      <c r="F239" s="159">
        <f t="shared" si="26"/>
        <v>6.6830696272512036</v>
      </c>
      <c r="G239" s="98">
        <f t="shared" si="23"/>
        <v>1.4369103925309097</v>
      </c>
      <c r="H239" s="191"/>
      <c r="I239" s="193"/>
      <c r="J239" s="190"/>
    </row>
    <row r="240" spans="1:10" x14ac:dyDescent="0.25">
      <c r="A240" s="93">
        <f>2013</f>
        <v>2013</v>
      </c>
      <c r="B240" s="94" t="s">
        <v>17</v>
      </c>
      <c r="C240" s="95">
        <f t="shared" si="22"/>
        <v>520.41160397212309</v>
      </c>
      <c r="D240" s="96">
        <v>0.60519999999999996</v>
      </c>
      <c r="E240" s="95">
        <f t="shared" si="28"/>
        <v>3.6326848936394596</v>
      </c>
      <c r="F240" s="159">
        <f t="shared" si="26"/>
        <v>6.8711999576167582</v>
      </c>
      <c r="G240" s="98">
        <f t="shared" si="23"/>
        <v>1.4282665235305032</v>
      </c>
      <c r="H240" s="191"/>
      <c r="I240" s="193"/>
      <c r="J240" s="190"/>
    </row>
    <row r="241" spans="1:10" x14ac:dyDescent="0.25">
      <c r="A241" s="93">
        <f>2013</f>
        <v>2013</v>
      </c>
      <c r="B241" s="94" t="s">
        <v>18</v>
      </c>
      <c r="C241" s="95">
        <f t="shared" si="22"/>
        <v>522.20650359422291</v>
      </c>
      <c r="D241" s="96">
        <v>0.34489999999999998</v>
      </c>
      <c r="E241" s="95">
        <f t="shared" si="28"/>
        <v>3.9901140238376209</v>
      </c>
      <c r="F241" s="159">
        <f t="shared" si="26"/>
        <v>6.9934996899842394</v>
      </c>
      <c r="G241" s="98">
        <f t="shared" si="23"/>
        <v>1.4233573639821289</v>
      </c>
      <c r="H241" s="191"/>
      <c r="I241" s="193"/>
      <c r="J241" s="190"/>
    </row>
    <row r="242" spans="1:10" x14ac:dyDescent="0.25">
      <c r="A242" s="93">
        <f>2013</f>
        <v>2013</v>
      </c>
      <c r="B242" s="94" t="s">
        <v>19</v>
      </c>
      <c r="C242" s="95">
        <f t="shared" si="22"/>
        <v>522.70103315312667</v>
      </c>
      <c r="D242" s="96">
        <v>9.4700000000000006E-2</v>
      </c>
      <c r="E242" s="95">
        <f t="shared" si="28"/>
        <v>4.0885926618182022</v>
      </c>
      <c r="F242" s="159">
        <f t="shared" si="26"/>
        <v>6.644038184783585</v>
      </c>
      <c r="G242" s="98">
        <f t="shared" si="23"/>
        <v>1.4220107198304495</v>
      </c>
      <c r="H242" s="191"/>
      <c r="I242" s="193"/>
      <c r="J242" s="190"/>
    </row>
    <row r="243" spans="1:10" x14ac:dyDescent="0.25">
      <c r="A243" s="93">
        <f>2013</f>
        <v>2013</v>
      </c>
      <c r="B243" s="94" t="s">
        <v>20</v>
      </c>
      <c r="C243" s="95">
        <f t="shared" si="22"/>
        <v>523.1871451139591</v>
      </c>
      <c r="D243" s="96">
        <v>9.2999999999999999E-2</v>
      </c>
      <c r="E243" s="95">
        <f t="shared" si="28"/>
        <v>4.1853950529936901</v>
      </c>
      <c r="F243" s="159">
        <f t="shared" si="26"/>
        <v>6.5274989549117368</v>
      </c>
      <c r="G243" s="98">
        <f t="shared" si="23"/>
        <v>1.420689478615337</v>
      </c>
      <c r="H243" s="191"/>
      <c r="I243" s="193"/>
      <c r="J243" s="190"/>
    </row>
    <row r="244" spans="1:10" x14ac:dyDescent="0.25">
      <c r="A244" s="93">
        <f>2013</f>
        <v>2013</v>
      </c>
      <c r="B244" s="94" t="s">
        <v>21</v>
      </c>
      <c r="C244" s="95">
        <f t="shared" si="22"/>
        <v>524.46110581231153</v>
      </c>
      <c r="D244" s="96">
        <v>0.24349999999999999</v>
      </c>
      <c r="E244" s="95">
        <f t="shared" si="28"/>
        <v>4.43908648994773</v>
      </c>
      <c r="F244" s="159">
        <f t="shared" si="26"/>
        <v>6.337193423877352</v>
      </c>
      <c r="G244" s="98">
        <f t="shared" si="23"/>
        <v>1.4172385028608709</v>
      </c>
      <c r="H244" s="191"/>
      <c r="I244" s="193"/>
      <c r="J244" s="190"/>
    </row>
    <row r="245" spans="1:10" x14ac:dyDescent="0.25">
      <c r="A245" s="93">
        <f>2013</f>
        <v>2013</v>
      </c>
      <c r="B245" s="94" t="s">
        <v>22</v>
      </c>
      <c r="C245" s="95">
        <f t="shared" si="22"/>
        <v>527.82971949494402</v>
      </c>
      <c r="D245" s="96">
        <v>0.64229999999999998</v>
      </c>
      <c r="E245" s="95">
        <f t="shared" si="28"/>
        <v>5.1098987424726516</v>
      </c>
      <c r="F245" s="159">
        <f t="shared" si="26"/>
        <v>6.1589298196124131</v>
      </c>
      <c r="G245" s="98">
        <f t="shared" si="23"/>
        <v>1.4081936748870714</v>
      </c>
      <c r="H245" s="191"/>
      <c r="I245" s="193"/>
      <c r="J245" s="190"/>
    </row>
    <row r="246" spans="1:10" x14ac:dyDescent="0.25">
      <c r="A246" s="93">
        <f>2013</f>
        <v>2013</v>
      </c>
      <c r="B246" s="94" t="s">
        <v>23</v>
      </c>
      <c r="C246" s="95">
        <f t="shared" si="22"/>
        <v>530.1817287250135</v>
      </c>
      <c r="D246" s="96">
        <v>0.4456</v>
      </c>
      <c r="E246" s="95">
        <f t="shared" si="28"/>
        <v>5.5782684512691194</v>
      </c>
      <c r="F246" s="159">
        <f t="shared" si="26"/>
        <v>6.0326773186833993</v>
      </c>
      <c r="G246" s="98">
        <f t="shared" si="23"/>
        <v>1.401946600833756</v>
      </c>
      <c r="H246" s="191"/>
      <c r="I246" s="193"/>
      <c r="J246" s="190"/>
    </row>
    <row r="247" spans="1:10" x14ac:dyDescent="0.25">
      <c r="A247" s="93">
        <f>2013</f>
        <v>2013</v>
      </c>
      <c r="B247" s="94" t="s">
        <v>12</v>
      </c>
      <c r="C247" s="95">
        <f t="shared" si="22"/>
        <v>532.51187742275988</v>
      </c>
      <c r="D247" s="96">
        <v>0.4395</v>
      </c>
      <c r="E247" s="95">
        <f t="shared" si="28"/>
        <v>6.0422849411124302</v>
      </c>
      <c r="F247" s="159">
        <f t="shared" si="26"/>
        <v>6.0422849411124302</v>
      </c>
      <c r="G247" s="98">
        <f t="shared" si="23"/>
        <v>1.3958120070627156</v>
      </c>
      <c r="H247" s="191"/>
      <c r="I247" s="193"/>
      <c r="J247" s="190"/>
    </row>
    <row r="248" spans="1:10" x14ac:dyDescent="0.25">
      <c r="A248" s="93">
        <f>2014</f>
        <v>2014</v>
      </c>
      <c r="B248" s="94" t="s">
        <v>13</v>
      </c>
      <c r="C248" s="95">
        <f t="shared" si="22"/>
        <v>542.89479400874882</v>
      </c>
      <c r="D248" s="96">
        <v>1.9498</v>
      </c>
      <c r="E248" s="95">
        <f t="shared" ref="E248:E259" si="29">100*((C248/$C$247)-1)</f>
        <v>1.9498000000000015</v>
      </c>
      <c r="F248" s="159">
        <f t="shared" si="26"/>
        <v>6.2283803403067273</v>
      </c>
      <c r="G248" s="98">
        <f t="shared" si="23"/>
        <v>1.369116964489107</v>
      </c>
      <c r="H248" s="191"/>
      <c r="I248" s="193"/>
      <c r="J248" s="190"/>
    </row>
    <row r="249" spans="1:10" x14ac:dyDescent="0.25">
      <c r="A249" s="93">
        <f>2014</f>
        <v>2014</v>
      </c>
      <c r="B249" s="94" t="s">
        <v>14</v>
      </c>
      <c r="C249" s="95">
        <f t="shared" si="22"/>
        <v>546.18039330208978</v>
      </c>
      <c r="D249" s="96">
        <v>0.60519999999999996</v>
      </c>
      <c r="E249" s="95">
        <f t="shared" si="29"/>
        <v>2.5668001896000048</v>
      </c>
      <c r="F249" s="159">
        <f t="shared" si="26"/>
        <v>6.7476607070275252</v>
      </c>
      <c r="G249" s="98">
        <f t="shared" si="23"/>
        <v>1.360880913202406</v>
      </c>
      <c r="H249" s="191"/>
      <c r="I249" s="193"/>
      <c r="J249" s="190"/>
    </row>
    <row r="250" spans="1:10" x14ac:dyDescent="0.25">
      <c r="A250" s="93">
        <f>2014</f>
        <v>2014</v>
      </c>
      <c r="B250" s="94" t="s">
        <v>15</v>
      </c>
      <c r="C250" s="95">
        <f t="shared" si="22"/>
        <v>550.6181089976692</v>
      </c>
      <c r="D250" s="96">
        <v>0.8125</v>
      </c>
      <c r="E250" s="95">
        <f t="shared" si="29"/>
        <v>3.4001554411404733</v>
      </c>
      <c r="F250" s="159">
        <f t="shared" si="26"/>
        <v>6.7775292880658089</v>
      </c>
      <c r="G250" s="98">
        <f t="shared" si="23"/>
        <v>1.3499128711245194</v>
      </c>
      <c r="H250" s="191"/>
      <c r="I250" s="193"/>
      <c r="J250" s="190"/>
    </row>
    <row r="251" spans="1:10" x14ac:dyDescent="0.25">
      <c r="A251" s="93">
        <f>2014</f>
        <v>2014</v>
      </c>
      <c r="B251" s="94" t="s">
        <v>16</v>
      </c>
      <c r="C251" s="95">
        <f t="shared" si="22"/>
        <v>553.72965193161508</v>
      </c>
      <c r="D251" s="96">
        <v>0.56510000000000005</v>
      </c>
      <c r="E251" s="95">
        <f t="shared" si="29"/>
        <v>3.984469719538386</v>
      </c>
      <c r="F251" s="159">
        <f t="shared" si="26"/>
        <v>7.0461956522680502</v>
      </c>
      <c r="G251" s="98">
        <f t="shared" si="23"/>
        <v>1.342327379105196</v>
      </c>
      <c r="H251" s="191"/>
      <c r="I251" s="193"/>
      <c r="J251" s="190"/>
    </row>
    <row r="252" spans="1:10" x14ac:dyDescent="0.25">
      <c r="A252" s="93">
        <f>2014</f>
        <v>2014</v>
      </c>
      <c r="B252" s="94" t="s">
        <v>17</v>
      </c>
      <c r="C252" s="95">
        <f t="shared" si="22"/>
        <v>554.50653463327512</v>
      </c>
      <c r="D252" s="96">
        <v>0.14030000000000001</v>
      </c>
      <c r="E252" s="95">
        <f t="shared" si="29"/>
        <v>4.1303599305548833</v>
      </c>
      <c r="F252" s="159">
        <f t="shared" si="26"/>
        <v>6.5515315955518849</v>
      </c>
      <c r="G252" s="98">
        <f t="shared" si="23"/>
        <v>1.3404467323397233</v>
      </c>
      <c r="H252" s="191"/>
      <c r="I252" s="193"/>
      <c r="J252" s="190"/>
    </row>
    <row r="253" spans="1:10" x14ac:dyDescent="0.25">
      <c r="A253" s="93">
        <f>2014</f>
        <v>2014</v>
      </c>
      <c r="B253" s="94" t="s">
        <v>18</v>
      </c>
      <c r="C253" s="95">
        <f t="shared" si="22"/>
        <v>554.51707025743315</v>
      </c>
      <c r="D253" s="96">
        <v>1.9E-3</v>
      </c>
      <c r="E253" s="95">
        <f t="shared" si="29"/>
        <v>4.1323384073935765</v>
      </c>
      <c r="F253" s="159">
        <f t="shared" si="26"/>
        <v>6.1873160216934009</v>
      </c>
      <c r="G253" s="98">
        <f t="shared" si="23"/>
        <v>1.340421264335701</v>
      </c>
      <c r="H253" s="191"/>
      <c r="I253" s="193"/>
      <c r="J253" s="190"/>
    </row>
    <row r="254" spans="1:10" x14ac:dyDescent="0.25">
      <c r="A254" s="93">
        <f>2014</f>
        <v>2014</v>
      </c>
      <c r="B254" s="94" t="s">
        <v>19</v>
      </c>
      <c r="C254" s="95">
        <f t="shared" si="22"/>
        <v>558.30331281315091</v>
      </c>
      <c r="D254" s="96">
        <v>0.68279999999999996</v>
      </c>
      <c r="E254" s="95">
        <f t="shared" si="29"/>
        <v>4.8433540140392584</v>
      </c>
      <c r="F254" s="159">
        <f t="shared" si="26"/>
        <v>6.8112127969707892</v>
      </c>
      <c r="G254" s="98">
        <f t="shared" si="23"/>
        <v>1.331330936699914</v>
      </c>
      <c r="H254" s="191"/>
      <c r="I254" s="193"/>
      <c r="J254" s="190"/>
    </row>
    <row r="255" spans="1:10" x14ac:dyDescent="0.25">
      <c r="A255" s="93">
        <f>2014</f>
        <v>2014</v>
      </c>
      <c r="B255" s="94" t="s">
        <v>20</v>
      </c>
      <c r="C255" s="95">
        <f t="shared" si="22"/>
        <v>558.39822437632915</v>
      </c>
      <c r="D255" s="96">
        <v>1.7000000000000001E-2</v>
      </c>
      <c r="E255" s="95">
        <f t="shared" si="29"/>
        <v>4.8611773842216488</v>
      </c>
      <c r="F255" s="159">
        <f t="shared" si="26"/>
        <v>6.7301116992659393</v>
      </c>
      <c r="G255" s="98">
        <f t="shared" si="23"/>
        <v>1.3311046489095992</v>
      </c>
      <c r="H255" s="191"/>
      <c r="I255" s="193"/>
      <c r="J255" s="190"/>
    </row>
    <row r="256" spans="1:10" x14ac:dyDescent="0.25">
      <c r="A256" s="93">
        <f>2014</f>
        <v>2014</v>
      </c>
      <c r="B256" s="94" t="s">
        <v>21</v>
      </c>
      <c r="C256" s="95">
        <f t="shared" si="22"/>
        <v>559.66522994743912</v>
      </c>
      <c r="D256" s="96">
        <v>0.22689999999999999</v>
      </c>
      <c r="E256" s="95">
        <f t="shared" si="29"/>
        <v>5.0991073957064481</v>
      </c>
      <c r="F256" s="159">
        <f t="shared" si="26"/>
        <v>6.7124375373082579</v>
      </c>
      <c r="G256" s="98">
        <f t="shared" si="23"/>
        <v>1.328091209954213</v>
      </c>
      <c r="H256" s="191"/>
      <c r="I256" s="193"/>
      <c r="J256" s="190"/>
    </row>
    <row r="257" spans="1:10" x14ac:dyDescent="0.25">
      <c r="A257" s="93">
        <f>2014</f>
        <v>2014</v>
      </c>
      <c r="B257" s="94" t="s">
        <v>22</v>
      </c>
      <c r="C257" s="95">
        <f t="shared" ref="C257:C318" si="30">+C256*(1+D257/100)</f>
        <v>562.46019810579662</v>
      </c>
      <c r="D257" s="96">
        <v>0.49940000000000001</v>
      </c>
      <c r="E257" s="95">
        <f t="shared" si="29"/>
        <v>5.623972338040617</v>
      </c>
      <c r="F257" s="159">
        <f t="shared" si="26"/>
        <v>6.5609186697537458</v>
      </c>
      <c r="G257" s="98">
        <f t="shared" si="23"/>
        <v>1.3214916805017871</v>
      </c>
      <c r="H257" s="191"/>
      <c r="I257" s="193"/>
      <c r="J257" s="190"/>
    </row>
    <row r="258" spans="1:10" x14ac:dyDescent="0.25">
      <c r="A258" s="93">
        <f>2014</f>
        <v>2014</v>
      </c>
      <c r="B258" s="94" t="s">
        <v>23</v>
      </c>
      <c r="C258" s="95">
        <f t="shared" si="30"/>
        <v>565.41198922545584</v>
      </c>
      <c r="D258" s="96">
        <v>0.52480000000000004</v>
      </c>
      <c r="E258" s="95">
        <f t="shared" si="29"/>
        <v>6.1782869448706368</v>
      </c>
      <c r="F258" s="159">
        <f t="shared" si="26"/>
        <v>6.6449405159933361</v>
      </c>
      <c r="G258" s="98">
        <f t="shared" si="23"/>
        <v>1.3145926980225646</v>
      </c>
      <c r="H258" s="191"/>
      <c r="I258" s="193"/>
      <c r="J258" s="190"/>
    </row>
    <row r="259" spans="1:10" x14ac:dyDescent="0.25">
      <c r="A259" s="93">
        <f>2014</f>
        <v>2014</v>
      </c>
      <c r="B259" s="94" t="s">
        <v>12</v>
      </c>
      <c r="C259" s="95">
        <f t="shared" si="30"/>
        <v>568.36400522120186</v>
      </c>
      <c r="D259" s="96">
        <v>0.52210000000000001</v>
      </c>
      <c r="E259" s="95">
        <f t="shared" si="29"/>
        <v>6.732643781009795</v>
      </c>
      <c r="F259" s="159">
        <f t="shared" si="26"/>
        <v>6.732643781009795</v>
      </c>
      <c r="G259" s="98">
        <f t="shared" si="23"/>
        <v>1.3077648577005105</v>
      </c>
      <c r="H259" s="191"/>
      <c r="I259" s="193"/>
      <c r="J259" s="190"/>
    </row>
    <row r="260" spans="1:10" x14ac:dyDescent="0.25">
      <c r="A260" s="93">
        <f>2015</f>
        <v>2015</v>
      </c>
      <c r="B260" s="94" t="s">
        <v>13</v>
      </c>
      <c r="C260" s="95">
        <f t="shared" si="30"/>
        <v>581.17151971485646</v>
      </c>
      <c r="D260" s="96">
        <v>2.2534000000000001</v>
      </c>
      <c r="E260" s="95">
        <f t="shared" ref="E260:E271" si="31">100*((C260/$C$259)-1)</f>
        <v>2.2534000000000054</v>
      </c>
      <c r="F260" s="159">
        <f t="shared" si="26"/>
        <v>7.0504867846441055</v>
      </c>
      <c r="G260" s="98">
        <f t="shared" si="23"/>
        <v>1.2789451086228041</v>
      </c>
      <c r="H260" s="191"/>
      <c r="I260" s="193"/>
      <c r="J260" s="190"/>
    </row>
    <row r="261" spans="1:10" x14ac:dyDescent="0.25">
      <c r="A261" s="93">
        <f>2015</f>
        <v>2015</v>
      </c>
      <c r="B261" s="94" t="s">
        <v>14</v>
      </c>
      <c r="C261" s="95">
        <f t="shared" si="30"/>
        <v>589.32070676429817</v>
      </c>
      <c r="D261" s="96">
        <v>1.4021999999999999</v>
      </c>
      <c r="E261" s="95">
        <f t="shared" si="31"/>
        <v>3.6871971747999943</v>
      </c>
      <c r="F261" s="159">
        <f t="shared" si="26"/>
        <v>7.8985467056756242</v>
      </c>
      <c r="G261" s="98">
        <f t="shared" si="23"/>
        <v>1.2612597247621886</v>
      </c>
      <c r="H261" s="191"/>
      <c r="I261" s="193"/>
      <c r="J261" s="190"/>
    </row>
    <row r="262" spans="1:10" x14ac:dyDescent="0.25">
      <c r="A262" s="93">
        <f>2015</f>
        <v>2015</v>
      </c>
      <c r="B262" s="94" t="s">
        <v>15</v>
      </c>
      <c r="C262" s="95">
        <f t="shared" si="30"/>
        <v>596.74143310387421</v>
      </c>
      <c r="D262" s="96">
        <v>1.2592000000000001</v>
      </c>
      <c r="E262" s="95">
        <f t="shared" si="31"/>
        <v>4.9928263616250801</v>
      </c>
      <c r="F262" s="159">
        <f t="shared" si="26"/>
        <v>8.3766449654492305</v>
      </c>
      <c r="G262" s="98">
        <f t="shared" si="23"/>
        <v>1.2455754388363613</v>
      </c>
      <c r="H262" s="191"/>
      <c r="I262" s="193"/>
      <c r="J262" s="190"/>
    </row>
    <row r="263" spans="1:10" x14ac:dyDescent="0.25">
      <c r="A263" s="93">
        <f>2015</f>
        <v>2015</v>
      </c>
      <c r="B263" s="94" t="s">
        <v>16</v>
      </c>
      <c r="C263" s="95">
        <f t="shared" si="30"/>
        <v>600.01635008874825</v>
      </c>
      <c r="D263" s="96">
        <v>0.54879999999999995</v>
      </c>
      <c r="E263" s="95">
        <f t="shared" si="31"/>
        <v>5.5690269926976788</v>
      </c>
      <c r="F263" s="159">
        <f t="shared" si="26"/>
        <v>8.3590788385032191</v>
      </c>
      <c r="G263" s="98">
        <f t="shared" ref="G263:G321" si="32">+$C$321/C263</f>
        <v>1.2387770304930157</v>
      </c>
      <c r="H263" s="191"/>
      <c r="I263" s="193"/>
      <c r="J263" s="190"/>
    </row>
    <row r="264" spans="1:10" x14ac:dyDescent="0.25">
      <c r="A264" s="93">
        <f>2015</f>
        <v>2015</v>
      </c>
      <c r="B264" s="94" t="s">
        <v>17</v>
      </c>
      <c r="C264" s="95">
        <f t="shared" si="30"/>
        <v>603.42564298995251</v>
      </c>
      <c r="D264" s="96">
        <v>0.56820000000000004</v>
      </c>
      <c r="E264" s="95">
        <f t="shared" si="31"/>
        <v>6.1688702040701759</v>
      </c>
      <c r="F264" s="159">
        <f t="shared" si="26"/>
        <v>8.8220977213605334</v>
      </c>
      <c r="G264" s="98">
        <f t="shared" si="32"/>
        <v>1.2317780675134045</v>
      </c>
      <c r="H264" s="191"/>
      <c r="I264" s="193"/>
      <c r="J264" s="190"/>
    </row>
    <row r="265" spans="1:10" x14ac:dyDescent="0.25">
      <c r="A265" s="93">
        <f>2015</f>
        <v>2015</v>
      </c>
      <c r="B265" s="94" t="s">
        <v>18</v>
      </c>
      <c r="C265" s="95">
        <f t="shared" si="30"/>
        <v>608.34235512903467</v>
      </c>
      <c r="D265" s="96">
        <v>0.81479999999999997</v>
      </c>
      <c r="E265" s="95">
        <f t="shared" si="31"/>
        <v>7.0339341584929604</v>
      </c>
      <c r="F265" s="159">
        <f t="shared" si="26"/>
        <v>9.7066957463749937</v>
      </c>
      <c r="G265" s="98">
        <f t="shared" si="32"/>
        <v>1.2218226565081758</v>
      </c>
      <c r="H265" s="191"/>
      <c r="I265" s="193"/>
      <c r="J265" s="190"/>
    </row>
    <row r="266" spans="1:10" x14ac:dyDescent="0.25">
      <c r="A266" s="93">
        <f>2015</f>
        <v>2015</v>
      </c>
      <c r="B266" s="94" t="s">
        <v>19</v>
      </c>
      <c r="C266" s="95">
        <f t="shared" si="30"/>
        <v>614.12039081805028</v>
      </c>
      <c r="D266" s="96">
        <v>0.94979999999999998</v>
      </c>
      <c r="E266" s="95">
        <f t="shared" si="31"/>
        <v>8.0505424651303272</v>
      </c>
      <c r="F266" s="159">
        <f t="shared" si="26"/>
        <v>9.9976261512135789</v>
      </c>
      <c r="G266" s="98">
        <f t="shared" si="32"/>
        <v>1.2103269709382047</v>
      </c>
      <c r="H266" s="191"/>
      <c r="I266" s="193"/>
      <c r="J266" s="190"/>
    </row>
    <row r="267" spans="1:10" x14ac:dyDescent="0.25">
      <c r="A267" s="93">
        <f>2015</f>
        <v>2015</v>
      </c>
      <c r="B267" s="94" t="s">
        <v>20</v>
      </c>
      <c r="C267" s="95">
        <f t="shared" si="30"/>
        <v>614.49561837684007</v>
      </c>
      <c r="D267" s="96">
        <v>6.1100000000000002E-2</v>
      </c>
      <c r="E267" s="95">
        <f t="shared" si="31"/>
        <v>8.116561346576523</v>
      </c>
      <c r="F267" s="159">
        <f t="shared" si="26"/>
        <v>10.0461268592259</v>
      </c>
      <c r="G267" s="98">
        <f t="shared" si="32"/>
        <v>1.2095879127235307</v>
      </c>
      <c r="H267" s="191"/>
      <c r="I267" s="193"/>
      <c r="J267" s="190"/>
    </row>
    <row r="268" spans="1:10" x14ac:dyDescent="0.25">
      <c r="A268" s="93">
        <f>2015</f>
        <v>2015</v>
      </c>
      <c r="B268" s="94" t="s">
        <v>21</v>
      </c>
      <c r="C268" s="95">
        <f t="shared" si="30"/>
        <v>617.47469313473096</v>
      </c>
      <c r="D268" s="96">
        <v>0.48480000000000001</v>
      </c>
      <c r="E268" s="95">
        <f t="shared" si="31"/>
        <v>8.6407104359847118</v>
      </c>
      <c r="F268" s="159">
        <f t="shared" si="26"/>
        <v>10.329293315706067</v>
      </c>
      <c r="G268" s="98">
        <f t="shared" si="32"/>
        <v>1.2037521224339709</v>
      </c>
      <c r="H268" s="191"/>
      <c r="I268" s="193"/>
      <c r="J268" s="190"/>
    </row>
    <row r="269" spans="1:10" x14ac:dyDescent="0.25">
      <c r="A269" s="93">
        <f>2015</f>
        <v>2015</v>
      </c>
      <c r="B269" s="94" t="s">
        <v>22</v>
      </c>
      <c r="C269" s="95">
        <f t="shared" si="30"/>
        <v>622.31939957706606</v>
      </c>
      <c r="D269" s="96">
        <v>0.78459999999999996</v>
      </c>
      <c r="E269" s="95">
        <f t="shared" si="31"/>
        <v>9.4931054500654533</v>
      </c>
      <c r="F269" s="159">
        <f t="shared" si="26"/>
        <v>10.642388861088836</v>
      </c>
      <c r="G269" s="98">
        <f t="shared" si="32"/>
        <v>1.1943810090370659</v>
      </c>
      <c r="H269" s="191"/>
      <c r="I269" s="193"/>
      <c r="J269" s="190"/>
    </row>
    <row r="270" spans="1:10" x14ac:dyDescent="0.25">
      <c r="A270" s="93">
        <f>2015</f>
        <v>2015</v>
      </c>
      <c r="B270" s="94" t="s">
        <v>23</v>
      </c>
      <c r="C270" s="95">
        <f t="shared" si="30"/>
        <v>628.68012616014323</v>
      </c>
      <c r="D270" s="96">
        <v>1.0221</v>
      </c>
      <c r="E270" s="95">
        <f t="shared" si="31"/>
        <v>10.612234480870564</v>
      </c>
      <c r="F270" s="159">
        <f t="shared" si="26"/>
        <v>11.189740957095173</v>
      </c>
      <c r="G270" s="98">
        <f t="shared" si="32"/>
        <v>1.1822967539152978</v>
      </c>
      <c r="H270" s="191"/>
      <c r="I270" s="193"/>
      <c r="J270" s="190"/>
    </row>
    <row r="271" spans="1:10" x14ac:dyDescent="0.25">
      <c r="A271" s="93">
        <f>2015</f>
        <v>2015</v>
      </c>
      <c r="B271" s="94" t="s">
        <v>12</v>
      </c>
      <c r="C271" s="95">
        <f t="shared" si="30"/>
        <v>633.50461744829613</v>
      </c>
      <c r="D271" s="96">
        <v>0.76739999999999997</v>
      </c>
      <c r="E271" s="95">
        <f t="shared" si="31"/>
        <v>11.46107276827677</v>
      </c>
      <c r="F271" s="159">
        <f t="shared" si="26"/>
        <v>11.46107276827677</v>
      </c>
      <c r="G271" s="98">
        <f t="shared" si="32"/>
        <v>1.1732929041687072</v>
      </c>
      <c r="H271" s="191"/>
      <c r="I271" s="193"/>
      <c r="J271" s="190"/>
    </row>
    <row r="272" spans="1:10" x14ac:dyDescent="0.25">
      <c r="A272" s="93">
        <f>2016</f>
        <v>2016</v>
      </c>
      <c r="B272" s="94" t="s">
        <v>13</v>
      </c>
      <c r="C272" s="95">
        <f t="shared" si="30"/>
        <v>644.89566397463398</v>
      </c>
      <c r="D272" s="96">
        <v>1.7981</v>
      </c>
      <c r="E272" s="95">
        <f t="shared" ref="E272:E283" si="33">100*((C272/$C$271)-1)</f>
        <v>1.7981000000000025</v>
      </c>
      <c r="F272" s="159">
        <f t="shared" si="26"/>
        <v>10.964774098194429</v>
      </c>
      <c r="G272" s="98">
        <f t="shared" si="32"/>
        <v>1.1525685687342957</v>
      </c>
      <c r="H272" s="191"/>
      <c r="I272" s="193"/>
      <c r="J272" s="190"/>
    </row>
    <row r="273" spans="1:10" x14ac:dyDescent="0.25">
      <c r="A273" s="93">
        <f>2016</f>
        <v>2016</v>
      </c>
      <c r="B273" s="94" t="s">
        <v>14</v>
      </c>
      <c r="C273" s="95">
        <f t="shared" si="30"/>
        <v>649.44669267530298</v>
      </c>
      <c r="D273" s="96">
        <v>0.70569999999999999</v>
      </c>
      <c r="E273" s="95">
        <f t="shared" si="33"/>
        <v>2.5164891916999999</v>
      </c>
      <c r="F273" s="159">
        <f t="shared" si="26"/>
        <v>10.202591767245073</v>
      </c>
      <c r="G273" s="98">
        <f t="shared" si="32"/>
        <v>1.1444918894703038</v>
      </c>
      <c r="H273" s="191"/>
      <c r="I273" s="193"/>
      <c r="J273" s="190"/>
    </row>
    <row r="274" spans="1:10" x14ac:dyDescent="0.25">
      <c r="A274" s="93">
        <f>2016</f>
        <v>2016</v>
      </c>
      <c r="B274" s="94" t="s">
        <v>15</v>
      </c>
      <c r="C274" s="95">
        <f t="shared" si="30"/>
        <v>652.30555701645972</v>
      </c>
      <c r="D274" s="96">
        <v>0.44019999999999998</v>
      </c>
      <c r="E274" s="95">
        <f t="shared" si="33"/>
        <v>2.9677667771218719</v>
      </c>
      <c r="F274" s="159">
        <f t="shared" si="26"/>
        <v>9.3112562376598937</v>
      </c>
      <c r="G274" s="98">
        <f t="shared" si="32"/>
        <v>1.1394759164859327</v>
      </c>
      <c r="H274" s="191"/>
      <c r="I274" s="193"/>
      <c r="J274" s="190"/>
    </row>
    <row r="275" spans="1:10" x14ac:dyDescent="0.25">
      <c r="A275" s="93">
        <f>2016</f>
        <v>2016</v>
      </c>
      <c r="B275" s="94" t="s">
        <v>16</v>
      </c>
      <c r="C275" s="95">
        <f t="shared" si="30"/>
        <v>656.03609249703686</v>
      </c>
      <c r="D275" s="96">
        <v>0.57189999999999996</v>
      </c>
      <c r="E275" s="95">
        <f t="shared" si="33"/>
        <v>3.5566394353202302</v>
      </c>
      <c r="F275" s="159">
        <f t="shared" si="26"/>
        <v>9.3363693172698881</v>
      </c>
      <c r="G275" s="98">
        <f t="shared" si="32"/>
        <v>1.1329963105856931</v>
      </c>
      <c r="H275" s="191"/>
      <c r="I275" s="193"/>
      <c r="J275" s="190"/>
    </row>
    <row r="276" spans="1:10" x14ac:dyDescent="0.25">
      <c r="A276" s="93">
        <f>2016</f>
        <v>2016</v>
      </c>
      <c r="B276" s="94" t="s">
        <v>17</v>
      </c>
      <c r="C276" s="95">
        <f t="shared" si="30"/>
        <v>660.40857305352961</v>
      </c>
      <c r="D276" s="96">
        <v>0.66649999999999998</v>
      </c>
      <c r="E276" s="95">
        <f t="shared" si="33"/>
        <v>4.2468444371566605</v>
      </c>
      <c r="F276" s="159">
        <f t="shared" si="26"/>
        <v>9.4432397306201121</v>
      </c>
      <c r="G276" s="98">
        <f t="shared" si="32"/>
        <v>1.1254948871627533</v>
      </c>
      <c r="H276" s="191"/>
      <c r="I276" s="193"/>
      <c r="J276" s="190"/>
    </row>
    <row r="277" spans="1:10" x14ac:dyDescent="0.25">
      <c r="A277" s="93">
        <f>2016</f>
        <v>2016</v>
      </c>
      <c r="B277" s="94" t="s">
        <v>18</v>
      </c>
      <c r="C277" s="95">
        <f t="shared" si="30"/>
        <v>663.40286552375437</v>
      </c>
      <c r="D277" s="96">
        <v>0.45340000000000003</v>
      </c>
      <c r="E277" s="95">
        <f t="shared" si="33"/>
        <v>4.7194996298347336</v>
      </c>
      <c r="F277" s="159">
        <f t="shared" si="26"/>
        <v>9.050908576477612</v>
      </c>
      <c r="G277" s="98">
        <f t="shared" si="32"/>
        <v>1.1204149258887734</v>
      </c>
      <c r="H277" s="191"/>
      <c r="I277" s="193"/>
      <c r="J277" s="190"/>
    </row>
    <row r="278" spans="1:10" x14ac:dyDescent="0.25">
      <c r="A278" s="93">
        <f>2016</f>
        <v>2016</v>
      </c>
      <c r="B278" s="94" t="s">
        <v>19</v>
      </c>
      <c r="C278" s="95">
        <f t="shared" si="30"/>
        <v>664.80861619579923</v>
      </c>
      <c r="D278" s="96">
        <v>0.21190000000000001</v>
      </c>
      <c r="E278" s="95">
        <f t="shared" si="33"/>
        <v>4.9414002495503428</v>
      </c>
      <c r="F278" s="159">
        <f t="shared" ref="F278:F318" si="34">100*((C278/C266)-1)</f>
        <v>8.2537929265349419</v>
      </c>
      <c r="G278" s="98">
        <f t="shared" si="32"/>
        <v>1.1180457868664035</v>
      </c>
      <c r="H278" s="191"/>
      <c r="I278" s="193"/>
      <c r="J278" s="190"/>
    </row>
    <row r="279" spans="1:10" x14ac:dyDescent="0.25">
      <c r="A279" s="93">
        <f>2016</f>
        <v>2016</v>
      </c>
      <c r="B279" s="94" t="s">
        <v>20</v>
      </c>
      <c r="C279" s="95">
        <f t="shared" si="30"/>
        <v>667.17334044360769</v>
      </c>
      <c r="D279" s="96">
        <v>0.35570000000000002</v>
      </c>
      <c r="E279" s="95">
        <f t="shared" si="33"/>
        <v>5.314676810238006</v>
      </c>
      <c r="F279" s="159">
        <f t="shared" si="34"/>
        <v>8.5725138620049499</v>
      </c>
      <c r="G279" s="98">
        <f t="shared" si="32"/>
        <v>1.1140829936579622</v>
      </c>
      <c r="H279" s="191"/>
      <c r="J279" s="190"/>
    </row>
    <row r="280" spans="1:10" x14ac:dyDescent="0.25">
      <c r="A280" s="93">
        <f>2016</f>
        <v>2016</v>
      </c>
      <c r="B280" s="94" t="s">
        <v>21</v>
      </c>
      <c r="C280" s="95">
        <f t="shared" si="30"/>
        <v>667.36682071233622</v>
      </c>
      <c r="D280" s="96">
        <v>2.9000000000000001E-2</v>
      </c>
      <c r="E280" s="95">
        <f t="shared" si="33"/>
        <v>5.3452180665129578</v>
      </c>
      <c r="F280" s="159">
        <f t="shared" si="34"/>
        <v>8.080027915689648</v>
      </c>
      <c r="G280" s="98">
        <f t="shared" si="32"/>
        <v>1.1137600032570178</v>
      </c>
      <c r="H280" s="191"/>
      <c r="J280" s="190"/>
    </row>
    <row r="281" spans="1:10" x14ac:dyDescent="0.25">
      <c r="A281" s="93">
        <f>2016</f>
        <v>2016</v>
      </c>
      <c r="B281" s="94" t="s">
        <v>22</v>
      </c>
      <c r="C281" s="95">
        <f t="shared" si="30"/>
        <v>669.82006114527474</v>
      </c>
      <c r="D281" s="96">
        <v>0.36759999999999998</v>
      </c>
      <c r="E281" s="95">
        <f t="shared" si="33"/>
        <v>5.732467088125448</v>
      </c>
      <c r="F281" s="159">
        <f t="shared" si="34"/>
        <v>7.6328428135922666</v>
      </c>
      <c r="G281" s="98">
        <f t="shared" si="32"/>
        <v>1.1096808165752872</v>
      </c>
      <c r="H281" s="191"/>
      <c r="J281" s="190"/>
    </row>
    <row r="282" spans="1:10" x14ac:dyDescent="0.25">
      <c r="A282" s="93">
        <f>2016</f>
        <v>2016</v>
      </c>
      <c r="B282" s="94" t="s">
        <v>23</v>
      </c>
      <c r="C282" s="95">
        <f t="shared" si="30"/>
        <v>671.68149109519754</v>
      </c>
      <c r="D282" s="96">
        <v>0.27789999999999998</v>
      </c>
      <c r="E282" s="95">
        <f t="shared" si="33"/>
        <v>6.0262976141633562</v>
      </c>
      <c r="F282" s="159">
        <f t="shared" si="34"/>
        <v>6.8399434220544508</v>
      </c>
      <c r="G282" s="98">
        <f t="shared" si="32"/>
        <v>1.1066055597248117</v>
      </c>
      <c r="H282" s="191"/>
      <c r="I282" s="194"/>
      <c r="J282" s="190"/>
    </row>
    <row r="283" spans="1:10" x14ac:dyDescent="0.25">
      <c r="A283" s="93">
        <f>2016</f>
        <v>2016</v>
      </c>
      <c r="B283" s="94" t="s">
        <v>12</v>
      </c>
      <c r="C283" s="95">
        <f t="shared" si="30"/>
        <v>672.48952392898514</v>
      </c>
      <c r="D283" s="96">
        <v>0.1203</v>
      </c>
      <c r="E283" s="95">
        <f t="shared" si="33"/>
        <v>6.1538472501932118</v>
      </c>
      <c r="F283" s="159">
        <f t="shared" si="34"/>
        <v>6.1538472501932118</v>
      </c>
      <c r="G283" s="98">
        <f t="shared" si="32"/>
        <v>1.1052759128017111</v>
      </c>
      <c r="H283" s="195"/>
      <c r="I283" s="194"/>
      <c r="J283" s="190"/>
    </row>
    <row r="284" spans="1:10" x14ac:dyDescent="0.25">
      <c r="A284" s="93">
        <f>2017</f>
        <v>2017</v>
      </c>
      <c r="B284" s="94" t="s">
        <v>13</v>
      </c>
      <c r="C284" s="95">
        <f t="shared" si="30"/>
        <v>679.4975372578491</v>
      </c>
      <c r="D284" s="96">
        <v>1.0421</v>
      </c>
      <c r="E284" s="95">
        <f t="shared" ref="E284:E295" si="35">100*((C284/$C$283)-1)</f>
        <v>1.0421000000000014</v>
      </c>
      <c r="F284" s="159">
        <f t="shared" si="34"/>
        <v>5.3654994468339545</v>
      </c>
      <c r="G284" s="98">
        <f t="shared" si="32"/>
        <v>1.0938766244978193</v>
      </c>
      <c r="H284" s="195"/>
      <c r="I284" s="194"/>
      <c r="J284" s="190"/>
    </row>
    <row r="285" spans="1:10" x14ac:dyDescent="0.25">
      <c r="A285" s="93">
        <f>2017</f>
        <v>2017</v>
      </c>
      <c r="B285" s="94" t="s">
        <v>14</v>
      </c>
      <c r="C285" s="95">
        <f t="shared" si="30"/>
        <v>678.54624070568809</v>
      </c>
      <c r="D285" s="96">
        <v>-0.14000000000000001</v>
      </c>
      <c r="E285" s="95">
        <f t="shared" si="35"/>
        <v>0.90064106000000699</v>
      </c>
      <c r="F285" s="159">
        <f t="shared" si="34"/>
        <v>4.4806676758201158</v>
      </c>
      <c r="G285" s="98">
        <f t="shared" si="32"/>
        <v>1.095410198776106</v>
      </c>
      <c r="H285" s="195"/>
      <c r="I285" s="194"/>
      <c r="J285" s="190"/>
    </row>
    <row r="286" spans="1:10" x14ac:dyDescent="0.25">
      <c r="A286" s="93">
        <f>2017</f>
        <v>2017</v>
      </c>
      <c r="B286" s="94" t="s">
        <v>15</v>
      </c>
      <c r="C286" s="95">
        <f t="shared" si="30"/>
        <v>678.59170330381539</v>
      </c>
      <c r="D286" s="96">
        <v>6.7000000000000002E-3</v>
      </c>
      <c r="E286" s="95">
        <f t="shared" si="35"/>
        <v>0.90740140295102467</v>
      </c>
      <c r="F286" s="159">
        <f t="shared" si="34"/>
        <v>4.0297290134372332</v>
      </c>
      <c r="G286" s="98">
        <f t="shared" si="32"/>
        <v>1.0953368112097548</v>
      </c>
      <c r="H286" s="195"/>
      <c r="I286" s="194"/>
      <c r="J286" s="190"/>
    </row>
    <row r="287" spans="1:10" x14ac:dyDescent="0.25">
      <c r="A287" s="93">
        <f>2017</f>
        <v>2017</v>
      </c>
      <c r="B287" s="94" t="s">
        <v>16</v>
      </c>
      <c r="C287" s="95">
        <f t="shared" si="30"/>
        <v>677.40348923133047</v>
      </c>
      <c r="D287" s="96">
        <v>-0.17510000000000001</v>
      </c>
      <c r="E287" s="95">
        <f t="shared" si="35"/>
        <v>0.73071254309446942</v>
      </c>
      <c r="F287" s="159">
        <f t="shared" si="34"/>
        <v>3.2570459123619111</v>
      </c>
      <c r="G287" s="98">
        <f t="shared" si="32"/>
        <v>1.097258110160646</v>
      </c>
      <c r="H287" s="195"/>
      <c r="I287" s="194"/>
      <c r="J287" s="190"/>
    </row>
    <row r="288" spans="1:10" x14ac:dyDescent="0.25">
      <c r="A288" s="93">
        <f>2017</f>
        <v>2017</v>
      </c>
      <c r="B288" s="94" t="s">
        <v>17</v>
      </c>
      <c r="C288" s="95">
        <f t="shared" si="30"/>
        <v>679.87804417749248</v>
      </c>
      <c r="D288" s="96">
        <v>0.36530000000000001</v>
      </c>
      <c r="E288" s="95">
        <f t="shared" si="35"/>
        <v>1.0986818360143813</v>
      </c>
      <c r="F288" s="159">
        <f t="shared" si="34"/>
        <v>2.9480948489117864</v>
      </c>
      <c r="G288" s="98">
        <f t="shared" si="32"/>
        <v>1.0932644152517315</v>
      </c>
      <c r="H288" s="195"/>
      <c r="I288" s="194"/>
      <c r="J288" s="190"/>
    </row>
    <row r="289" spans="1:10" x14ac:dyDescent="0.25">
      <c r="A289" s="93">
        <f>2017</f>
        <v>2017</v>
      </c>
      <c r="B289" s="94" t="s">
        <v>18</v>
      </c>
      <c r="C289" s="95">
        <f t="shared" si="30"/>
        <v>677.76022406987965</v>
      </c>
      <c r="D289" s="96">
        <v>-0.3115</v>
      </c>
      <c r="E289" s="95">
        <f t="shared" si="35"/>
        <v>0.78375944209521098</v>
      </c>
      <c r="F289" s="159">
        <f t="shared" si="34"/>
        <v>2.1641990549423173</v>
      </c>
      <c r="G289" s="98">
        <f t="shared" si="32"/>
        <v>1.0966805752436153</v>
      </c>
      <c r="H289" s="195"/>
      <c r="I289" s="194"/>
      <c r="J289" s="190"/>
    </row>
    <row r="290" spans="1:10" x14ac:dyDescent="0.25">
      <c r="A290" s="93">
        <f>2017</f>
        <v>2017</v>
      </c>
      <c r="B290" s="94" t="s">
        <v>19</v>
      </c>
      <c r="C290" s="95">
        <f t="shared" si="30"/>
        <v>678.67452261214999</v>
      </c>
      <c r="D290" s="96">
        <v>0.13489999999999999</v>
      </c>
      <c r="E290" s="95">
        <f t="shared" si="35"/>
        <v>0.91971673358259842</v>
      </c>
      <c r="F290" s="159">
        <f t="shared" si="34"/>
        <v>2.0856989633640577</v>
      </c>
      <c r="G290" s="98">
        <f t="shared" si="32"/>
        <v>1.0952031461993923</v>
      </c>
      <c r="H290" s="195"/>
      <c r="I290" s="194"/>
      <c r="J290" s="190"/>
    </row>
    <row r="291" spans="1:10" x14ac:dyDescent="0.25">
      <c r="A291" s="93">
        <f>2017</f>
        <v>2017</v>
      </c>
      <c r="B291" s="94" t="s">
        <v>20</v>
      </c>
      <c r="C291" s="95">
        <f t="shared" si="30"/>
        <v>678.60122576370793</v>
      </c>
      <c r="D291" s="96">
        <v>-1.0800000000000001E-2</v>
      </c>
      <c r="E291" s="95">
        <f t="shared" si="35"/>
        <v>0.90881740417538825</v>
      </c>
      <c r="F291" s="159">
        <f t="shared" si="34"/>
        <v>1.7128809901939102</v>
      </c>
      <c r="G291" s="98">
        <f t="shared" si="32"/>
        <v>1.0953214409150109</v>
      </c>
      <c r="H291" s="195"/>
      <c r="I291" s="194"/>
      <c r="J291" s="190"/>
    </row>
    <row r="292" spans="1:10" x14ac:dyDescent="0.25">
      <c r="A292" s="93">
        <f>2017</f>
        <v>2017</v>
      </c>
      <c r="B292" s="94" t="s">
        <v>21</v>
      </c>
      <c r="C292" s="95">
        <f t="shared" si="30"/>
        <v>679.98896527039471</v>
      </c>
      <c r="D292" s="96">
        <v>0.20449999999999999</v>
      </c>
      <c r="E292" s="95">
        <f t="shared" si="35"/>
        <v>1.1151759357669322</v>
      </c>
      <c r="F292" s="159">
        <f t="shared" si="34"/>
        <v>1.8913353445689562</v>
      </c>
      <c r="G292" s="98">
        <f t="shared" si="32"/>
        <v>1.0930860798816531</v>
      </c>
      <c r="H292" s="195"/>
      <c r="I292" s="194"/>
      <c r="J292" s="190"/>
    </row>
    <row r="293" spans="1:10" x14ac:dyDescent="0.25">
      <c r="A293" s="93">
        <f>2017</f>
        <v>2017</v>
      </c>
      <c r="B293" s="94" t="s">
        <v>22</v>
      </c>
      <c r="C293" s="95">
        <f t="shared" si="30"/>
        <v>685.98238801028799</v>
      </c>
      <c r="D293" s="96">
        <v>0.88139999999999996</v>
      </c>
      <c r="E293" s="95">
        <f t="shared" si="35"/>
        <v>2.0064050964647695</v>
      </c>
      <c r="F293" s="159">
        <f t="shared" si="34"/>
        <v>2.4129356229460441</v>
      </c>
      <c r="G293" s="98">
        <f t="shared" si="32"/>
        <v>1.0835357953811633</v>
      </c>
      <c r="H293" s="195"/>
      <c r="I293" s="194"/>
      <c r="J293" s="190"/>
    </row>
    <row r="294" spans="1:10" x14ac:dyDescent="0.25">
      <c r="A294" s="93">
        <f>2017</f>
        <v>2017</v>
      </c>
      <c r="B294" s="94" t="s">
        <v>23</v>
      </c>
      <c r="C294" s="95">
        <f t="shared" si="30"/>
        <v>687.03125508155563</v>
      </c>
      <c r="D294" s="96">
        <v>0.15290000000000001</v>
      </c>
      <c r="E294" s="95">
        <f t="shared" si="35"/>
        <v>2.1623728898572558</v>
      </c>
      <c r="F294" s="159">
        <f t="shared" si="34"/>
        <v>2.2852742244437563</v>
      </c>
      <c r="G294" s="98">
        <f t="shared" si="32"/>
        <v>1.0818815984171837</v>
      </c>
      <c r="H294" s="195"/>
      <c r="I294" s="194"/>
      <c r="J294" s="190"/>
    </row>
    <row r="295" spans="1:10" x14ac:dyDescent="0.25">
      <c r="A295" s="93">
        <f>2017</f>
        <v>2017</v>
      </c>
      <c r="B295" s="94" t="s">
        <v>12</v>
      </c>
      <c r="C295" s="95">
        <f t="shared" si="30"/>
        <v>688.92196509554014</v>
      </c>
      <c r="D295" s="96">
        <v>0.2752</v>
      </c>
      <c r="E295" s="95">
        <f t="shared" si="35"/>
        <v>2.4435237400501464</v>
      </c>
      <c r="F295" s="159">
        <f t="shared" si="34"/>
        <v>2.4435237400501464</v>
      </c>
      <c r="G295" s="98">
        <f t="shared" si="32"/>
        <v>1.0789124314059544</v>
      </c>
      <c r="H295" s="195"/>
      <c r="I295" s="194"/>
      <c r="J295" s="190"/>
    </row>
    <row r="296" spans="1:10" x14ac:dyDescent="0.25">
      <c r="A296" s="93">
        <f>2018</f>
        <v>2018</v>
      </c>
      <c r="B296" s="94" t="s">
        <v>13</v>
      </c>
      <c r="C296" s="95">
        <f t="shared" si="30"/>
        <v>695.49772525237699</v>
      </c>
      <c r="D296" s="96">
        <v>0.95450000000000002</v>
      </c>
      <c r="E296" s="95">
        <f t="shared" ref="E296:E307" si="36">100*((C296/$C$295)-1)</f>
        <v>0.95449999999999147</v>
      </c>
      <c r="F296" s="159">
        <f t="shared" si="34"/>
        <v>2.3547087542211687</v>
      </c>
      <c r="G296" s="98">
        <f t="shared" si="32"/>
        <v>1.0687115793807651</v>
      </c>
      <c r="H296" s="195"/>
      <c r="J296" s="190"/>
    </row>
    <row r="297" spans="1:10" x14ac:dyDescent="0.25">
      <c r="A297" s="93">
        <f>2018</f>
        <v>2018</v>
      </c>
      <c r="B297" s="94" t="s">
        <v>14</v>
      </c>
      <c r="C297" s="95">
        <f t="shared" si="30"/>
        <v>695.84547411500319</v>
      </c>
      <c r="D297" s="96">
        <v>0.05</v>
      </c>
      <c r="E297" s="95">
        <f t="shared" si="36"/>
        <v>1.0049772499999943</v>
      </c>
      <c r="F297" s="159">
        <f t="shared" si="34"/>
        <v>2.5494553460828184</v>
      </c>
      <c r="G297" s="98">
        <f t="shared" si="32"/>
        <v>1.0681774906354473</v>
      </c>
      <c r="H297" s="195"/>
      <c r="I297" s="196"/>
      <c r="J297" s="190"/>
    </row>
    <row r="298" spans="1:10" x14ac:dyDescent="0.25">
      <c r="A298" s="93">
        <f>2018</f>
        <v>2018</v>
      </c>
      <c r="B298" s="94" t="s">
        <v>15</v>
      </c>
      <c r="C298" s="95">
        <f t="shared" si="30"/>
        <v>696.05422775723764</v>
      </c>
      <c r="D298" s="96">
        <v>0.03</v>
      </c>
      <c r="E298" s="95">
        <f t="shared" si="36"/>
        <v>1.0352787431749721</v>
      </c>
      <c r="F298" s="159">
        <f t="shared" si="34"/>
        <v>2.5733477683861361</v>
      </c>
      <c r="G298" s="98">
        <f t="shared" si="32"/>
        <v>1.0678571334953988</v>
      </c>
      <c r="H298" s="195"/>
      <c r="I298" s="196"/>
      <c r="J298" s="190"/>
    </row>
    <row r="299" spans="1:10" x14ac:dyDescent="0.25">
      <c r="A299" s="93">
        <f>2018</f>
        <v>2018</v>
      </c>
      <c r="B299" s="94" t="s">
        <v>16</v>
      </c>
      <c r="C299" s="95">
        <f t="shared" si="30"/>
        <v>696.33264816001986</v>
      </c>
      <c r="D299" s="96">
        <v>3.9999814910873788E-2</v>
      </c>
      <c r="E299" s="95">
        <f t="shared" si="36"/>
        <v>1.0756926676669387</v>
      </c>
      <c r="F299" s="159">
        <f t="shared" si="34"/>
        <v>2.7943698592649557</v>
      </c>
      <c r="G299" s="98">
        <f t="shared" si="32"/>
        <v>1.0674301634057337</v>
      </c>
      <c r="H299" s="195"/>
      <c r="I299" s="196"/>
      <c r="J299" s="190"/>
    </row>
    <row r="300" spans="1:10" x14ac:dyDescent="0.25">
      <c r="A300" s="93">
        <f>2018</f>
        <v>2018</v>
      </c>
      <c r="B300" s="94" t="s">
        <v>17</v>
      </c>
      <c r="C300" s="95">
        <f t="shared" si="30"/>
        <v>696.82008101373185</v>
      </c>
      <c r="D300" s="96">
        <v>7.0000000000000007E-2</v>
      </c>
      <c r="E300" s="95">
        <f t="shared" si="36"/>
        <v>1.1464456525343003</v>
      </c>
      <c r="F300" s="159">
        <f t="shared" si="34"/>
        <v>2.4919229237260643</v>
      </c>
      <c r="G300" s="98">
        <f t="shared" si="32"/>
        <v>1.0666834849662572</v>
      </c>
      <c r="H300" s="195"/>
      <c r="I300" s="196"/>
      <c r="J300" s="190"/>
    </row>
    <row r="301" spans="1:10" x14ac:dyDescent="0.25">
      <c r="A301" s="93">
        <f>2018</f>
        <v>2018</v>
      </c>
      <c r="B301" s="94" t="s">
        <v>18</v>
      </c>
      <c r="C301" s="95">
        <f t="shared" si="30"/>
        <v>706.43619813172143</v>
      </c>
      <c r="D301" s="96">
        <v>1.38</v>
      </c>
      <c r="E301" s="95">
        <f t="shared" si="36"/>
        <v>2.5422666025392893</v>
      </c>
      <c r="F301" s="159">
        <f t="shared" si="34"/>
        <v>4.2309909970292381</v>
      </c>
      <c r="G301" s="98">
        <f t="shared" si="32"/>
        <v>1.0521636269148325</v>
      </c>
      <c r="H301" s="195"/>
      <c r="I301" s="196"/>
      <c r="J301" s="190"/>
    </row>
    <row r="302" spans="1:10" x14ac:dyDescent="0.25">
      <c r="A302" s="93">
        <f>2018</f>
        <v>2018</v>
      </c>
      <c r="B302" s="94" t="s">
        <v>19</v>
      </c>
      <c r="C302" s="95">
        <f t="shared" si="30"/>
        <v>707.42520880910592</v>
      </c>
      <c r="D302" s="96">
        <v>0.14000000000000001</v>
      </c>
      <c r="E302" s="95">
        <f t="shared" si="36"/>
        <v>2.6858257757828463</v>
      </c>
      <c r="F302" s="159">
        <f t="shared" si="34"/>
        <v>4.2362996162427669</v>
      </c>
      <c r="G302" s="98">
        <f t="shared" si="32"/>
        <v>1.0506926571947597</v>
      </c>
      <c r="H302" s="195"/>
      <c r="I302" s="196"/>
      <c r="J302" s="190"/>
    </row>
    <row r="303" spans="1:10" x14ac:dyDescent="0.25">
      <c r="A303" s="93">
        <f>2018</f>
        <v>2018</v>
      </c>
      <c r="B303" s="94" t="s">
        <v>20</v>
      </c>
      <c r="C303" s="95">
        <f t="shared" si="30"/>
        <v>706.78852612117771</v>
      </c>
      <c r="D303" s="96">
        <v>-0.09</v>
      </c>
      <c r="E303" s="95">
        <f t="shared" si="36"/>
        <v>2.5934085325846512</v>
      </c>
      <c r="F303" s="159">
        <f t="shared" si="34"/>
        <v>4.1537355500275375</v>
      </c>
      <c r="G303" s="98">
        <f t="shared" si="32"/>
        <v>1.0516391324139323</v>
      </c>
      <c r="H303" s="195"/>
      <c r="I303" s="196"/>
      <c r="J303" s="190"/>
    </row>
    <row r="304" spans="1:10" x14ac:dyDescent="0.25">
      <c r="A304" s="93">
        <f>2018</f>
        <v>2018</v>
      </c>
      <c r="B304" s="94" t="s">
        <v>21</v>
      </c>
      <c r="C304" s="95">
        <f t="shared" si="30"/>
        <v>710.67586301484425</v>
      </c>
      <c r="D304" s="96">
        <v>0.55000000000000004</v>
      </c>
      <c r="E304" s="95">
        <f t="shared" si="36"/>
        <v>3.1576722795138679</v>
      </c>
      <c r="F304" s="159">
        <f t="shared" si="34"/>
        <v>4.5128523125734787</v>
      </c>
      <c r="G304" s="98">
        <f t="shared" si="32"/>
        <v>1.0458867552600022</v>
      </c>
      <c r="H304" s="195"/>
      <c r="I304" s="196"/>
      <c r="J304" s="190"/>
    </row>
    <row r="305" spans="1:10" x14ac:dyDescent="0.25">
      <c r="A305" s="93">
        <f>2018</f>
        <v>2018</v>
      </c>
      <c r="B305" s="94" t="s">
        <v>22</v>
      </c>
      <c r="C305" s="95">
        <f t="shared" si="30"/>
        <v>714.79778302033037</v>
      </c>
      <c r="D305" s="96">
        <v>0.57999999999999996</v>
      </c>
      <c r="E305" s="95">
        <f t="shared" si="36"/>
        <v>3.7559867787350543</v>
      </c>
      <c r="F305" s="159">
        <f t="shared" si="34"/>
        <v>4.2006027434060345</v>
      </c>
      <c r="G305" s="98">
        <f t="shared" si="32"/>
        <v>1.0398555928216366</v>
      </c>
      <c r="H305" s="195"/>
      <c r="I305" s="196"/>
      <c r="J305" s="190"/>
    </row>
    <row r="306" spans="1:10" x14ac:dyDescent="0.25">
      <c r="A306" s="93">
        <f>2018</f>
        <v>2018</v>
      </c>
      <c r="B306" s="94" t="s">
        <v>23</v>
      </c>
      <c r="C306" s="95">
        <f t="shared" si="30"/>
        <v>717.08513592599547</v>
      </c>
      <c r="D306" s="96">
        <v>0.32</v>
      </c>
      <c r="E306" s="95">
        <f t="shared" si="36"/>
        <v>4.0880059364270194</v>
      </c>
      <c r="F306" s="159">
        <f t="shared" si="34"/>
        <v>4.3744561287640815</v>
      </c>
      <c r="G306" s="98">
        <f t="shared" si="32"/>
        <v>1.0365386690805787</v>
      </c>
      <c r="H306" s="195"/>
      <c r="I306" s="196"/>
      <c r="J306" s="190"/>
    </row>
    <row r="307" spans="1:10" x14ac:dyDescent="0.25">
      <c r="A307" s="93">
        <f>2018</f>
        <v>2018</v>
      </c>
      <c r="B307" s="94" t="s">
        <v>12</v>
      </c>
      <c r="C307" s="95">
        <f t="shared" si="30"/>
        <v>715.57925714055091</v>
      </c>
      <c r="D307" s="96">
        <v>-0.21</v>
      </c>
      <c r="E307" s="95">
        <f t="shared" si="36"/>
        <v>3.8694211239605147</v>
      </c>
      <c r="F307" s="159">
        <f t="shared" si="34"/>
        <v>3.8694211239605147</v>
      </c>
      <c r="G307" s="98">
        <f t="shared" si="32"/>
        <v>1.0387199810407644</v>
      </c>
      <c r="H307" s="195"/>
      <c r="I307" s="196"/>
      <c r="J307" s="190"/>
    </row>
    <row r="308" spans="1:10" x14ac:dyDescent="0.25">
      <c r="A308" s="93">
        <f>2019</f>
        <v>2019</v>
      </c>
      <c r="B308" s="94" t="s">
        <v>13</v>
      </c>
      <c r="C308" s="95">
        <f t="shared" si="30"/>
        <v>718.65624794625523</v>
      </c>
      <c r="D308" s="96">
        <v>0.43</v>
      </c>
      <c r="E308" s="95">
        <f t="shared" ref="E308:E319" si="37">100*((C308/$C$307)-1)</f>
        <v>0.42999999999999705</v>
      </c>
      <c r="F308" s="159">
        <f t="shared" si="34"/>
        <v>3.3297769141480194</v>
      </c>
      <c r="G308" s="98">
        <f t="shared" si="32"/>
        <v>1.0342726088228262</v>
      </c>
      <c r="H308" s="195"/>
      <c r="I308" s="196"/>
      <c r="J308" s="190"/>
    </row>
    <row r="309" spans="1:10" x14ac:dyDescent="0.25">
      <c r="A309" s="99">
        <f>2019</f>
        <v>2019</v>
      </c>
      <c r="B309" s="100" t="s">
        <v>14</v>
      </c>
      <c r="C309" s="101">
        <f t="shared" si="30"/>
        <v>721.17154481406715</v>
      </c>
      <c r="D309" s="102">
        <v>0.35</v>
      </c>
      <c r="E309" s="101">
        <f t="shared" si="37"/>
        <v>0.78150500000000456</v>
      </c>
      <c r="F309" s="160">
        <f t="shared" si="34"/>
        <v>3.6396113276836894</v>
      </c>
      <c r="G309" s="98">
        <f t="shared" si="32"/>
        <v>1.0306652803416305</v>
      </c>
      <c r="H309" s="195"/>
      <c r="I309" s="196"/>
      <c r="J309" s="190"/>
    </row>
    <row r="310" spans="1:10" x14ac:dyDescent="0.25">
      <c r="A310" s="99">
        <f>2019</f>
        <v>2019</v>
      </c>
      <c r="B310" s="100" t="s">
        <v>15</v>
      </c>
      <c r="C310" s="101">
        <f t="shared" si="30"/>
        <v>725.06587115606317</v>
      </c>
      <c r="D310" s="102">
        <v>0.54</v>
      </c>
      <c r="E310" s="101">
        <f t="shared" si="37"/>
        <v>1.3257251269999992</v>
      </c>
      <c r="F310" s="160">
        <f t="shared" si="34"/>
        <v>4.1680148244058746</v>
      </c>
      <c r="G310" s="98">
        <f t="shared" si="32"/>
        <v>1.0251295806063561</v>
      </c>
      <c r="H310" s="195"/>
      <c r="I310" s="196"/>
      <c r="J310" s="190"/>
    </row>
    <row r="311" spans="1:10" x14ac:dyDescent="0.25">
      <c r="A311" s="99">
        <f>2019</f>
        <v>2019</v>
      </c>
      <c r="B311" s="100" t="s">
        <v>16</v>
      </c>
      <c r="C311" s="101">
        <f t="shared" si="30"/>
        <v>727.38608194376263</v>
      </c>
      <c r="D311" s="102">
        <v>0.32</v>
      </c>
      <c r="E311" s="101">
        <f t="shared" si="37"/>
        <v>1.6499674474064197</v>
      </c>
      <c r="F311" s="160">
        <f t="shared" si="34"/>
        <v>4.4595688376522169</v>
      </c>
      <c r="G311" s="98">
        <f t="shared" si="32"/>
        <v>1.0218596297910247</v>
      </c>
      <c r="H311" s="195"/>
      <c r="I311" s="196"/>
      <c r="J311" s="190"/>
    </row>
    <row r="312" spans="1:10" x14ac:dyDescent="0.25">
      <c r="A312" s="99">
        <f>2019</f>
        <v>2019</v>
      </c>
      <c r="B312" s="100" t="s">
        <v>17</v>
      </c>
      <c r="C312" s="101">
        <f t="shared" si="30"/>
        <v>728.84085410765022</v>
      </c>
      <c r="D312" s="102">
        <v>0.2</v>
      </c>
      <c r="E312" s="101">
        <f t="shared" si="37"/>
        <v>1.8532673823012269</v>
      </c>
      <c r="F312" s="160">
        <f t="shared" si="34"/>
        <v>4.5952712854277378</v>
      </c>
      <c r="G312" s="98">
        <f t="shared" si="32"/>
        <v>1.0198199898114018</v>
      </c>
      <c r="H312" s="195"/>
      <c r="I312" s="196"/>
      <c r="J312" s="190"/>
    </row>
    <row r="313" spans="1:10" x14ac:dyDescent="0.25">
      <c r="A313" s="99">
        <f>2019</f>
        <v>2019</v>
      </c>
      <c r="B313" s="100" t="s">
        <v>18</v>
      </c>
      <c r="C313" s="101">
        <f t="shared" si="30"/>
        <v>727.31028831402421</v>
      </c>
      <c r="D313" s="102">
        <v>-0.21</v>
      </c>
      <c r="E313" s="101">
        <f t="shared" si="37"/>
        <v>1.6393755207984029</v>
      </c>
      <c r="F313" s="160">
        <f t="shared" si="34"/>
        <v>2.9548443635118771</v>
      </c>
      <c r="G313" s="98">
        <f t="shared" si="32"/>
        <v>1.0219661186605891</v>
      </c>
      <c r="H313" s="195"/>
      <c r="I313" s="196"/>
      <c r="J313" s="190"/>
    </row>
    <row r="314" spans="1:10" x14ac:dyDescent="0.25">
      <c r="A314" s="99">
        <f>2019</f>
        <v>2019</v>
      </c>
      <c r="B314" s="100" t="s">
        <v>19</v>
      </c>
      <c r="C314" s="101">
        <f t="shared" si="30"/>
        <v>728.54671580415811</v>
      </c>
      <c r="D314" s="102">
        <v>0.17</v>
      </c>
      <c r="E314" s="101">
        <f t="shared" si="37"/>
        <v>1.8121624591837859</v>
      </c>
      <c r="F314" s="160">
        <f t="shared" si="34"/>
        <v>2.9856876362391205</v>
      </c>
      <c r="G314" s="98">
        <f t="shared" si="32"/>
        <v>1.0202317247285504</v>
      </c>
      <c r="H314" s="195"/>
      <c r="I314" s="196"/>
      <c r="J314" s="190"/>
    </row>
    <row r="315" spans="1:10" x14ac:dyDescent="0.25">
      <c r="A315" s="99">
        <f>2019</f>
        <v>2019</v>
      </c>
      <c r="B315" s="100" t="s">
        <v>20</v>
      </c>
      <c r="C315" s="101">
        <f t="shared" si="30"/>
        <v>729.05669850522099</v>
      </c>
      <c r="D315" s="102">
        <v>7.0000000000000007E-2</v>
      </c>
      <c r="E315" s="101">
        <f t="shared" si="37"/>
        <v>1.8834309729051979</v>
      </c>
      <c r="F315" s="160">
        <f t="shared" si="34"/>
        <v>3.1506131694369666</v>
      </c>
      <c r="G315" s="98">
        <f t="shared" si="32"/>
        <v>1.0195180620850908</v>
      </c>
      <c r="H315" s="195"/>
      <c r="I315" s="196"/>
      <c r="J315" s="190"/>
    </row>
    <row r="316" spans="1:10" x14ac:dyDescent="0.25">
      <c r="A316" s="99">
        <f>2019</f>
        <v>2019</v>
      </c>
      <c r="B316" s="100" t="s">
        <v>21</v>
      </c>
      <c r="C316" s="101">
        <f t="shared" si="30"/>
        <v>728.25473613686529</v>
      </c>
      <c r="D316" s="102">
        <v>-0.11</v>
      </c>
      <c r="E316" s="101">
        <f t="shared" si="37"/>
        <v>1.7713591988350208</v>
      </c>
      <c r="F316" s="160">
        <f t="shared" si="34"/>
        <v>2.4735430084043664</v>
      </c>
      <c r="G316" s="98">
        <f t="shared" si="32"/>
        <v>1.0206407669287123</v>
      </c>
      <c r="H316" s="195"/>
    </row>
    <row r="317" spans="1:10" x14ac:dyDescent="0.25">
      <c r="A317" s="93">
        <f>2019</f>
        <v>2019</v>
      </c>
      <c r="B317" s="94" t="s">
        <v>22</v>
      </c>
      <c r="C317" s="95">
        <f t="shared" si="30"/>
        <v>727.96343424241059</v>
      </c>
      <c r="D317" s="96">
        <v>-0.04</v>
      </c>
      <c r="E317" s="95">
        <f t="shared" si="37"/>
        <v>1.7306506551554746</v>
      </c>
      <c r="F317" s="159">
        <f t="shared" si="34"/>
        <v>1.8418707409037616</v>
      </c>
      <c r="G317" s="98">
        <f t="shared" si="32"/>
        <v>1.0210491866033535</v>
      </c>
      <c r="H317" s="195"/>
    </row>
    <row r="318" spans="1:10" x14ac:dyDescent="0.25">
      <c r="A318" s="93">
        <f>2019</f>
        <v>2019</v>
      </c>
      <c r="B318" s="94" t="s">
        <v>23</v>
      </c>
      <c r="C318" s="95">
        <f t="shared" si="30"/>
        <v>731.31206603992564</v>
      </c>
      <c r="D318" s="96">
        <v>0.46</v>
      </c>
      <c r="E318" s="95">
        <f t="shared" si="37"/>
        <v>2.1986116481691909</v>
      </c>
      <c r="F318" s="159">
        <f t="shared" si="34"/>
        <v>1.9839945637080358</v>
      </c>
      <c r="G318" s="98">
        <f t="shared" si="32"/>
        <v>1.0163738668160001</v>
      </c>
      <c r="H318" s="195"/>
      <c r="I318" s="197"/>
      <c r="J318" s="198"/>
    </row>
    <row r="319" spans="1:10" x14ac:dyDescent="0.25">
      <c r="A319" s="99">
        <f>2019</f>
        <v>2019</v>
      </c>
      <c r="B319" s="100" t="s">
        <v>12</v>
      </c>
      <c r="C319" s="101">
        <f>+C318*(1+D319/100)</f>
        <v>737.67448101447292</v>
      </c>
      <c r="D319" s="102">
        <v>0.87</v>
      </c>
      <c r="E319" s="101">
        <f t="shared" si="37"/>
        <v>3.0877395695082521</v>
      </c>
      <c r="F319" s="160">
        <f>100*((C319/C307)-1)</f>
        <v>3.0877395695082521</v>
      </c>
      <c r="G319" s="98">
        <f t="shared" si="32"/>
        <v>1.0076076800000002</v>
      </c>
      <c r="H319" s="195"/>
      <c r="I319" s="197"/>
      <c r="J319" s="198"/>
    </row>
    <row r="320" spans="1:10" x14ac:dyDescent="0.25">
      <c r="A320" s="99">
        <f>2020</f>
        <v>2020</v>
      </c>
      <c r="B320" s="100" t="s">
        <v>13</v>
      </c>
      <c r="C320" s="101">
        <f>+C319*(1+D320/100)</f>
        <v>742.39559769296557</v>
      </c>
      <c r="D320" s="102">
        <v>0.64</v>
      </c>
      <c r="E320" s="101">
        <f>100*((C320/$C$319)-1)</f>
        <v>0.63999999999999613</v>
      </c>
      <c r="F320" s="160">
        <f>100*((C320/C308)-1)</f>
        <v>3.303296925971444</v>
      </c>
      <c r="G320" s="104">
        <f t="shared" si="32"/>
        <v>1.0012000000000001</v>
      </c>
      <c r="H320" s="195"/>
      <c r="I320" s="197"/>
      <c r="J320" s="198"/>
    </row>
    <row r="321" spans="1:10" ht="16.5" thickBot="1" x14ac:dyDescent="0.3">
      <c r="A321" s="105">
        <f>2020</f>
        <v>2020</v>
      </c>
      <c r="B321" s="106" t="s">
        <v>14</v>
      </c>
      <c r="C321" s="107">
        <f>+C320*(1+D321/100)</f>
        <v>743.28647241019723</v>
      </c>
      <c r="D321" s="108">
        <v>0.12</v>
      </c>
      <c r="E321" s="107">
        <f>100*((C321/$C$319)-1)</f>
        <v>0.76076800000002276</v>
      </c>
      <c r="F321" s="161">
        <f>100*((C321/C309)-1)</f>
        <v>3.0665280341630519</v>
      </c>
      <c r="G321" s="110">
        <f t="shared" si="32"/>
        <v>1</v>
      </c>
      <c r="H321" s="195"/>
      <c r="I321" s="196"/>
      <c r="J321" s="190"/>
    </row>
    <row r="322" spans="1:10" x14ac:dyDescent="0.25">
      <c r="A322" s="199" t="s">
        <v>70</v>
      </c>
      <c r="D322" s="166"/>
      <c r="G322" s="200" t="s">
        <v>71</v>
      </c>
    </row>
    <row r="323" spans="1:10" x14ac:dyDescent="0.25">
      <c r="A323" s="681" t="s">
        <v>38</v>
      </c>
      <c r="B323" s="681"/>
      <c r="C323" s="681"/>
      <c r="D323" s="681"/>
      <c r="E323" s="681"/>
      <c r="F323" s="681"/>
      <c r="G323" s="168"/>
    </row>
    <row r="324" spans="1:10" x14ac:dyDescent="0.25">
      <c r="A324" s="681"/>
      <c r="B324" s="681"/>
      <c r="C324" s="681"/>
      <c r="D324" s="681"/>
      <c r="E324" s="681"/>
      <c r="F324" s="681"/>
      <c r="G324" s="168"/>
    </row>
    <row r="325" spans="1:10" x14ac:dyDescent="0.25">
      <c r="A325" s="201"/>
      <c r="B325" s="187"/>
      <c r="D325" s="166"/>
      <c r="E325" s="166"/>
      <c r="F325" s="166"/>
      <c r="G325" s="168"/>
    </row>
    <row r="326" spans="1:10" x14ac:dyDescent="0.25">
      <c r="A326" s="201" t="s">
        <v>65</v>
      </c>
      <c r="D326" s="166"/>
      <c r="E326" s="166"/>
      <c r="F326" s="166"/>
      <c r="G326" s="168"/>
      <c r="H326" s="168"/>
    </row>
    <row r="327" spans="1:10" x14ac:dyDescent="0.25">
      <c r="D327" s="166"/>
      <c r="E327" s="166"/>
      <c r="F327" s="166"/>
      <c r="G327" s="168"/>
    </row>
    <row r="328" spans="1:10" x14ac:dyDescent="0.25">
      <c r="A328" s="113" t="s">
        <v>72</v>
      </c>
      <c r="D328" s="166"/>
      <c r="E328" s="166"/>
      <c r="F328" s="166"/>
    </row>
    <row r="329" spans="1:10" x14ac:dyDescent="0.25">
      <c r="D329" s="166"/>
      <c r="E329" s="166"/>
      <c r="F329" s="166"/>
    </row>
  </sheetData>
  <mergeCells count="7">
    <mergeCell ref="A323:F324"/>
    <mergeCell ref="A1:G3"/>
    <mergeCell ref="A4:C4"/>
    <mergeCell ref="D4:G4"/>
    <mergeCell ref="A5:C5"/>
    <mergeCell ref="D5:F5"/>
    <mergeCell ref="G5:G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B3E5-8CD5-47D9-98C8-86EDB31452B9}">
  <dimension ref="A1:G392"/>
  <sheetViews>
    <sheetView showGridLines="0" workbookViewId="0">
      <pane ySplit="2610" topLeftCell="A372" activePane="bottomLeft"/>
      <selection activeCell="I1" sqref="I1:K1048576"/>
      <selection pane="bottomLeft" activeCell="H388" sqref="H388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714" t="s">
        <v>88</v>
      </c>
      <c r="B1" s="714"/>
      <c r="C1" s="714"/>
      <c r="D1" s="714"/>
      <c r="E1" s="714"/>
      <c r="F1" s="714"/>
      <c r="G1" s="714"/>
    </row>
    <row r="2" spans="1:7" ht="15.75" customHeight="1" x14ac:dyDescent="0.25">
      <c r="A2" s="714"/>
      <c r="B2" s="714"/>
      <c r="C2" s="714"/>
      <c r="D2" s="714"/>
      <c r="E2" s="714"/>
      <c r="F2" s="714"/>
      <c r="G2" s="714"/>
    </row>
    <row r="3" spans="1:7" ht="15" customHeight="1" thickBot="1" x14ac:dyDescent="0.3">
      <c r="A3" s="715"/>
      <c r="B3" s="715"/>
      <c r="C3" s="715"/>
      <c r="D3" s="715"/>
      <c r="E3" s="715"/>
      <c r="F3" s="715"/>
      <c r="G3" s="715"/>
    </row>
    <row r="4" spans="1:7" ht="17.25" customHeight="1" thickBot="1" x14ac:dyDescent="0.3">
      <c r="A4" s="684" t="s">
        <v>43</v>
      </c>
      <c r="B4" s="685"/>
      <c r="C4" s="686"/>
      <c r="D4" s="687" t="s">
        <v>74</v>
      </c>
      <c r="E4" s="688"/>
      <c r="F4" s="688"/>
      <c r="G4" s="717"/>
    </row>
    <row r="5" spans="1:7" ht="15" customHeight="1" thickBot="1" x14ac:dyDescent="0.3">
      <c r="A5" s="689" t="s">
        <v>3</v>
      </c>
      <c r="B5" s="690"/>
      <c r="C5" s="691"/>
      <c r="D5" s="718" t="s">
        <v>4</v>
      </c>
      <c r="E5" s="719"/>
      <c r="F5" s="720"/>
      <c r="G5" s="721" t="s">
        <v>51</v>
      </c>
    </row>
    <row r="6" spans="1:7" ht="15.75" customHeight="1" thickBot="1" x14ac:dyDescent="0.3">
      <c r="A6" s="202" t="s">
        <v>6</v>
      </c>
      <c r="B6" s="203" t="s">
        <v>7</v>
      </c>
      <c r="C6" s="203" t="s">
        <v>8</v>
      </c>
      <c r="D6" s="204" t="s">
        <v>9</v>
      </c>
      <c r="E6" s="204" t="s">
        <v>10</v>
      </c>
      <c r="F6" s="204" t="s">
        <v>11</v>
      </c>
      <c r="G6" s="722"/>
    </row>
    <row r="7" spans="1:7" ht="16.5" hidden="1" thickBot="1" x14ac:dyDescent="0.3">
      <c r="A7" s="69">
        <v>1994</v>
      </c>
      <c r="B7" s="70" t="s">
        <v>75</v>
      </c>
      <c r="C7" s="71">
        <v>100</v>
      </c>
      <c r="D7" s="171"/>
      <c r="E7" s="171"/>
      <c r="F7" s="172"/>
      <c r="G7" s="74">
        <f>C$387/C7</f>
        <v>7.1999713579500622</v>
      </c>
    </row>
    <row r="8" spans="1:7" ht="16.5" hidden="1" thickBot="1" x14ac:dyDescent="0.3">
      <c r="A8" s="75">
        <v>1994</v>
      </c>
      <c r="B8" s="76" t="s">
        <v>76</v>
      </c>
      <c r="C8" s="77">
        <v>106.95</v>
      </c>
      <c r="D8" s="83">
        <f>100*(C8/C7-1)</f>
        <v>6.9500000000000117</v>
      </c>
      <c r="E8" s="83"/>
      <c r="F8" s="84"/>
      <c r="G8" s="80">
        <f>C$387/C8</f>
        <v>6.7320910312763553</v>
      </c>
    </row>
    <row r="9" spans="1:7" ht="16.5" hidden="1" thickBot="1" x14ac:dyDescent="0.3">
      <c r="A9" s="75">
        <v>1994</v>
      </c>
      <c r="B9" s="76" t="s">
        <v>77</v>
      </c>
      <c r="C9" s="77">
        <v>109.0355</v>
      </c>
      <c r="D9" s="83">
        <f t="shared" ref="D9:D77" si="0">100*(C9/C8-1)</f>
        <v>1.9499766245909322</v>
      </c>
      <c r="E9" s="83"/>
      <c r="F9" s="84"/>
      <c r="G9" s="80">
        <f>C$387/C9</f>
        <v>6.6033276849742171</v>
      </c>
    </row>
    <row r="10" spans="1:7" ht="16.5" hidden="1" thickBot="1" x14ac:dyDescent="0.3">
      <c r="A10" s="75">
        <v>1994</v>
      </c>
      <c r="B10" s="76" t="s">
        <v>78</v>
      </c>
      <c r="C10" s="77">
        <v>109.92959999999999</v>
      </c>
      <c r="D10" s="83">
        <f t="shared" si="0"/>
        <v>0.82000816247917996</v>
      </c>
      <c r="E10" s="83"/>
      <c r="F10" s="84"/>
      <c r="G10" s="80">
        <f>C$387/C10</f>
        <v>6.549620264196415</v>
      </c>
    </row>
    <row r="11" spans="1:7" ht="16.5" hidden="1" thickBot="1" x14ac:dyDescent="0.3">
      <c r="A11" s="75">
        <v>1994</v>
      </c>
      <c r="B11" s="76" t="s">
        <v>79</v>
      </c>
      <c r="C11" s="77">
        <v>113.4144</v>
      </c>
      <c r="D11" s="83">
        <f t="shared" si="0"/>
        <v>3.1700288184438152</v>
      </c>
      <c r="E11" s="83"/>
      <c r="F11" s="84"/>
      <c r="G11" s="80">
        <f>C$387/C11</f>
        <v>6.3483749488160779</v>
      </c>
    </row>
    <row r="12" spans="1:7" ht="16.5" hidden="1" thickBot="1" x14ac:dyDescent="0.3">
      <c r="A12" s="75">
        <v>1994</v>
      </c>
      <c r="B12" s="76" t="s">
        <v>80</v>
      </c>
      <c r="C12" s="77">
        <v>116.8395</v>
      </c>
      <c r="D12" s="83">
        <f t="shared" si="0"/>
        <v>3.0199868799729135</v>
      </c>
      <c r="E12" s="83"/>
      <c r="F12" s="84"/>
      <c r="G12" s="80">
        <f>C$387/C12</f>
        <v>6.1622750507748343</v>
      </c>
    </row>
    <row r="13" spans="1:7" ht="16.5" hidden="1" thickBot="1" x14ac:dyDescent="0.3">
      <c r="A13" s="75">
        <v>1994</v>
      </c>
      <c r="B13" s="76" t="s">
        <v>64</v>
      </c>
      <c r="C13" s="77">
        <v>118.3</v>
      </c>
      <c r="D13" s="83">
        <f t="shared" si="0"/>
        <v>1.2500053492183749</v>
      </c>
      <c r="E13" s="83"/>
      <c r="F13" s="84"/>
      <c r="G13" s="80">
        <f>C$387/C13</f>
        <v>6.0861972594675082</v>
      </c>
    </row>
    <row r="14" spans="1:7" ht="16.5" hidden="1" thickBot="1" x14ac:dyDescent="0.3">
      <c r="A14" s="75"/>
      <c r="B14" s="76"/>
      <c r="C14" s="77"/>
      <c r="D14" s="83"/>
      <c r="E14" s="83"/>
      <c r="F14" s="84"/>
      <c r="G14" s="80"/>
    </row>
    <row r="15" spans="1:7" ht="16.5" hidden="1" thickBot="1" x14ac:dyDescent="0.3">
      <c r="A15" s="75">
        <v>1995</v>
      </c>
      <c r="B15" s="76" t="s">
        <v>81</v>
      </c>
      <c r="C15" s="77">
        <v>119.24639999999999</v>
      </c>
      <c r="D15" s="83">
        <f>100*(C15/C13-1)</f>
        <v>0.80000000000000071</v>
      </c>
      <c r="E15" s="83">
        <f>100*(C15/C$13-1)</f>
        <v>0.80000000000000071</v>
      </c>
      <c r="F15" s="84"/>
      <c r="G15" s="80">
        <f>C$387/C15</f>
        <v>6.0378941066145915</v>
      </c>
    </row>
    <row r="16" spans="1:7" ht="16.5" hidden="1" thickBot="1" x14ac:dyDescent="0.3">
      <c r="A16" s="75">
        <v>1995</v>
      </c>
      <c r="B16" s="76" t="s">
        <v>82</v>
      </c>
      <c r="C16" s="77">
        <v>120.82040000000001</v>
      </c>
      <c r="D16" s="83">
        <f t="shared" si="0"/>
        <v>1.3199559902856706</v>
      </c>
      <c r="E16" s="83">
        <f t="shared" ref="E16:E26" si="1">100*(C16/C$13-1)</f>
        <v>2.1305156382079637</v>
      </c>
      <c r="F16" s="84"/>
      <c r="G16" s="80">
        <f>C$387/C16</f>
        <v>5.9592348295073201</v>
      </c>
    </row>
    <row r="17" spans="1:7" ht="16.5" hidden="1" thickBot="1" x14ac:dyDescent="0.3">
      <c r="A17" s="75">
        <v>1995</v>
      </c>
      <c r="B17" s="76" t="s">
        <v>83</v>
      </c>
      <c r="C17" s="77">
        <v>123.14019999999999</v>
      </c>
      <c r="D17" s="83">
        <f t="shared" si="0"/>
        <v>1.9200399932461698</v>
      </c>
      <c r="E17" s="83">
        <f t="shared" si="1"/>
        <v>4.0914623837700725</v>
      </c>
      <c r="F17" s="84"/>
      <c r="G17" s="80">
        <f>C$387/C17</f>
        <v>5.8469706545466567</v>
      </c>
    </row>
    <row r="18" spans="1:7" ht="16.5" hidden="1" thickBot="1" x14ac:dyDescent="0.3">
      <c r="A18" s="75">
        <v>1995</v>
      </c>
      <c r="B18" s="76" t="s">
        <v>84</v>
      </c>
      <c r="C18" s="77">
        <v>126.39109999999999</v>
      </c>
      <c r="D18" s="83">
        <f t="shared" si="0"/>
        <v>2.6399989605344176</v>
      </c>
      <c r="E18" s="83">
        <f t="shared" si="1"/>
        <v>6.8394759087066825</v>
      </c>
      <c r="F18" s="84"/>
      <c r="G18" s="80">
        <f>C$387/C18</f>
        <v>5.6965809759944035</v>
      </c>
    </row>
    <row r="19" spans="1:7" ht="16.5" hidden="1" thickBot="1" x14ac:dyDescent="0.3">
      <c r="A19" s="75">
        <v>1995</v>
      </c>
      <c r="B19" s="76" t="s">
        <v>85</v>
      </c>
      <c r="C19" s="77">
        <v>128.881</v>
      </c>
      <c r="D19" s="83">
        <f t="shared" si="0"/>
        <v>1.9699963051195812</v>
      </c>
      <c r="E19" s="83">
        <f t="shared" si="1"/>
        <v>8.9442096365173427</v>
      </c>
      <c r="F19" s="84"/>
      <c r="G19" s="80">
        <f>C$387/C19</f>
        <v>5.5865266082277936</v>
      </c>
    </row>
    <row r="20" spans="1:7" ht="16.5" hidden="1" thickBot="1" x14ac:dyDescent="0.3">
      <c r="A20" s="75">
        <v>1995</v>
      </c>
      <c r="B20" s="76" t="s">
        <v>75</v>
      </c>
      <c r="C20" s="77">
        <v>132.3092</v>
      </c>
      <c r="D20" s="83">
        <f t="shared" si="0"/>
        <v>2.6599731535292381</v>
      </c>
      <c r="E20" s="83">
        <f t="shared" si="1"/>
        <v>11.842096365173305</v>
      </c>
      <c r="F20" s="84">
        <f t="shared" ref="F20:F26" si="2">100*(C20/C7-1)</f>
        <v>32.30919999999999</v>
      </c>
      <c r="G20" s="80">
        <f>C$387/C20</f>
        <v>5.4417768061102798</v>
      </c>
    </row>
    <row r="21" spans="1:7" ht="16.5" hidden="1" thickBot="1" x14ac:dyDescent="0.3">
      <c r="A21" s="75">
        <v>1995</v>
      </c>
      <c r="B21" s="76" t="s">
        <v>76</v>
      </c>
      <c r="C21" s="77">
        <v>137.2311</v>
      </c>
      <c r="D21" s="83">
        <f t="shared" si="0"/>
        <v>3.7199983069960307</v>
      </c>
      <c r="E21" s="83">
        <f t="shared" si="1"/>
        <v>16.002620456466609</v>
      </c>
      <c r="F21" s="84">
        <f t="shared" si="2"/>
        <v>28.313323983169703</v>
      </c>
      <c r="G21" s="80">
        <f>C$387/C21</f>
        <v>5.2466032538907452</v>
      </c>
    </row>
    <row r="22" spans="1:7" ht="16.5" hidden="1" thickBot="1" x14ac:dyDescent="0.3">
      <c r="A22" s="75">
        <v>1995</v>
      </c>
      <c r="B22" s="76" t="s">
        <v>77</v>
      </c>
      <c r="C22" s="77">
        <v>139.1935</v>
      </c>
      <c r="D22" s="83">
        <f t="shared" si="0"/>
        <v>1.4299965532594383</v>
      </c>
      <c r="E22" s="83">
        <f t="shared" si="1"/>
        <v>17.661453930684701</v>
      </c>
      <c r="F22" s="84">
        <f t="shared" si="2"/>
        <v>27.658881740350626</v>
      </c>
      <c r="G22" s="80">
        <f>C$387/C22</f>
        <v>5.1726347551789864</v>
      </c>
    </row>
    <row r="23" spans="1:7" ht="16.5" hidden="1" thickBot="1" x14ac:dyDescent="0.3">
      <c r="A23" s="75">
        <v>1995</v>
      </c>
      <c r="B23" s="76" t="s">
        <v>78</v>
      </c>
      <c r="C23" s="77">
        <v>140.2236</v>
      </c>
      <c r="D23" s="83">
        <f t="shared" si="0"/>
        <v>0.74004892469834438</v>
      </c>
      <c r="E23" s="83">
        <f t="shared" si="1"/>
        <v>18.532206255283178</v>
      </c>
      <c r="F23" s="84">
        <f t="shared" si="2"/>
        <v>27.557636887608083</v>
      </c>
      <c r="G23" s="80">
        <f>C$387/C23</f>
        <v>5.1346359371390138</v>
      </c>
    </row>
    <row r="24" spans="1:7" ht="16.5" hidden="1" thickBot="1" x14ac:dyDescent="0.3">
      <c r="A24" s="75">
        <v>1995</v>
      </c>
      <c r="B24" s="76" t="s">
        <v>79</v>
      </c>
      <c r="C24" s="77">
        <v>142.2989</v>
      </c>
      <c r="D24" s="83">
        <f t="shared" si="0"/>
        <v>1.4799933819984679</v>
      </c>
      <c r="E24" s="83">
        <f t="shared" si="1"/>
        <v>20.286475063398136</v>
      </c>
      <c r="F24" s="84">
        <f t="shared" si="2"/>
        <v>25.468106342757181</v>
      </c>
      <c r="G24" s="80">
        <f>C$387/C24</f>
        <v>5.0597519432336178</v>
      </c>
    </row>
    <row r="25" spans="1:7" ht="16.5" hidden="1" thickBot="1" x14ac:dyDescent="0.3">
      <c r="A25" s="75">
        <v>1995</v>
      </c>
      <c r="B25" s="76" t="s">
        <v>80</v>
      </c>
      <c r="C25" s="77">
        <v>143.96379999999999</v>
      </c>
      <c r="D25" s="83">
        <f t="shared" si="0"/>
        <v>1.1700020168813552</v>
      </c>
      <c r="E25" s="83">
        <f t="shared" si="1"/>
        <v>21.693829247675399</v>
      </c>
      <c r="F25" s="84">
        <f t="shared" si="2"/>
        <v>23.215008622940015</v>
      </c>
      <c r="G25" s="80">
        <f>C$387/C25</f>
        <v>5.0012373651918489</v>
      </c>
    </row>
    <row r="26" spans="1:7" ht="16.5" hidden="1" thickBot="1" x14ac:dyDescent="0.3">
      <c r="A26" s="75">
        <v>1995</v>
      </c>
      <c r="B26" s="76" t="s">
        <v>64</v>
      </c>
      <c r="C26" s="77">
        <v>145.70570000000001</v>
      </c>
      <c r="D26" s="83">
        <f t="shared" si="0"/>
        <v>1.2099569475104266</v>
      </c>
      <c r="E26" s="83">
        <f t="shared" si="1"/>
        <v>23.166272189349122</v>
      </c>
      <c r="F26" s="84">
        <f t="shared" si="2"/>
        <v>23.166272189349122</v>
      </c>
      <c r="G26" s="80">
        <f>C$387/C26</f>
        <v>4.941447972145264</v>
      </c>
    </row>
    <row r="27" spans="1:7" ht="16.5" hidden="1" thickBot="1" x14ac:dyDescent="0.3">
      <c r="A27" s="75"/>
      <c r="B27" s="76"/>
      <c r="C27" s="77"/>
      <c r="D27" s="83"/>
      <c r="E27" s="83"/>
      <c r="F27" s="84"/>
      <c r="G27" s="80"/>
    </row>
    <row r="28" spans="1:7" ht="16.5" hidden="1" thickBot="1" x14ac:dyDescent="0.3">
      <c r="A28" s="75">
        <v>1996</v>
      </c>
      <c r="B28" s="76" t="s">
        <v>81</v>
      </c>
      <c r="C28" s="77">
        <v>148.35759999999999</v>
      </c>
      <c r="D28" s="83">
        <f>100*(C28/C26-1)</f>
        <v>1.8200386120790002</v>
      </c>
      <c r="E28" s="83">
        <f>100*(C28/C$26-1)</f>
        <v>1.8200386120790002</v>
      </c>
      <c r="F28" s="84">
        <f t="shared" ref="F28:F39" si="3">100*(C28/C15-1)</f>
        <v>24.412644742315059</v>
      </c>
      <c r="G28" s="80">
        <f>C$387/C28</f>
        <v>4.853119326512469</v>
      </c>
    </row>
    <row r="29" spans="1:7" ht="16.5" hidden="1" thickBot="1" x14ac:dyDescent="0.3">
      <c r="A29" s="75">
        <v>1996</v>
      </c>
      <c r="B29" s="76" t="s">
        <v>82</v>
      </c>
      <c r="C29" s="77">
        <v>148.95099999999999</v>
      </c>
      <c r="D29" s="83">
        <f t="shared" si="0"/>
        <v>0.39997950897021628</v>
      </c>
      <c r="E29" s="83">
        <f t="shared" ref="E29:E38" si="4">100*(C29/C$26-1)</f>
        <v>2.2272979025528716</v>
      </c>
      <c r="F29" s="84">
        <f t="shared" si="3"/>
        <v>23.282988634369683</v>
      </c>
      <c r="G29" s="80">
        <f>C$387/C29</f>
        <v>4.8337851762996307</v>
      </c>
    </row>
    <row r="30" spans="1:7" ht="16.5" hidden="1" thickBot="1" x14ac:dyDescent="0.3">
      <c r="A30" s="75">
        <v>1996</v>
      </c>
      <c r="B30" s="76" t="s">
        <v>83</v>
      </c>
      <c r="C30" s="77">
        <v>149.2936</v>
      </c>
      <c r="D30" s="83">
        <f t="shared" si="0"/>
        <v>0.23000852629389001</v>
      </c>
      <c r="E30" s="83">
        <f t="shared" si="4"/>
        <v>2.462429403928601</v>
      </c>
      <c r="F30" s="84">
        <f t="shared" si="3"/>
        <v>21.238718144034195</v>
      </c>
      <c r="G30" s="80">
        <f>C$387/C30</f>
        <v>4.8226925721866589</v>
      </c>
    </row>
    <row r="31" spans="1:7" ht="16.5" hidden="1" thickBot="1" x14ac:dyDescent="0.3">
      <c r="A31" s="75">
        <v>1996</v>
      </c>
      <c r="B31" s="76" t="s">
        <v>84</v>
      </c>
      <c r="C31" s="77">
        <v>151.7122</v>
      </c>
      <c r="D31" s="83">
        <f t="shared" si="0"/>
        <v>1.6200292577846609</v>
      </c>
      <c r="E31" s="83">
        <f t="shared" si="4"/>
        <v>4.1223507385091951</v>
      </c>
      <c r="F31" s="84">
        <f t="shared" si="3"/>
        <v>20.033926439440751</v>
      </c>
      <c r="G31" s="80">
        <f>C$387/C31</f>
        <v>4.7458090766267063</v>
      </c>
    </row>
    <row r="32" spans="1:7" ht="16.5" hidden="1" thickBot="1" x14ac:dyDescent="0.3">
      <c r="A32" s="75">
        <v>1996</v>
      </c>
      <c r="B32" s="76" t="s">
        <v>85</v>
      </c>
      <c r="C32" s="77">
        <v>153.74510000000001</v>
      </c>
      <c r="D32" s="83">
        <f t="shared" si="0"/>
        <v>1.3399713404723013</v>
      </c>
      <c r="E32" s="83">
        <f t="shared" si="4"/>
        <v>5.5175603974312537</v>
      </c>
      <c r="F32" s="84">
        <f t="shared" si="3"/>
        <v>19.292292890340711</v>
      </c>
      <c r="G32" s="80">
        <f>C$387/C32</f>
        <v>4.6830574489528844</v>
      </c>
    </row>
    <row r="33" spans="1:7" ht="16.5" hidden="1" thickBot="1" x14ac:dyDescent="0.3">
      <c r="A33" s="75">
        <v>1996</v>
      </c>
      <c r="B33" s="76" t="s">
        <v>75</v>
      </c>
      <c r="C33" s="77">
        <v>155.91290000000001</v>
      </c>
      <c r="D33" s="83">
        <f t="shared" si="0"/>
        <v>1.4099961559750573</v>
      </c>
      <c r="E33" s="83">
        <f t="shared" si="4"/>
        <v>7.0053539429137057</v>
      </c>
      <c r="F33" s="84">
        <f t="shared" si="3"/>
        <v>17.839802523180559</v>
      </c>
      <c r="G33" s="80">
        <f>C$387/C33</f>
        <v>4.6179446075020492</v>
      </c>
    </row>
    <row r="34" spans="1:7" ht="16.5" hidden="1" thickBot="1" x14ac:dyDescent="0.3">
      <c r="A34" s="75">
        <v>1996</v>
      </c>
      <c r="B34" s="76" t="s">
        <v>76</v>
      </c>
      <c r="C34" s="77">
        <v>157.9554</v>
      </c>
      <c r="D34" s="83">
        <f t="shared" si="0"/>
        <v>1.3100263031474491</v>
      </c>
      <c r="E34" s="83">
        <f t="shared" si="4"/>
        <v>8.4071522253418962</v>
      </c>
      <c r="F34" s="84">
        <f t="shared" si="3"/>
        <v>15.101751716629842</v>
      </c>
      <c r="G34" s="80">
        <f>C$387/C34</f>
        <v>4.5582305878431901</v>
      </c>
    </row>
    <row r="35" spans="1:7" ht="16.5" hidden="1" thickBot="1" x14ac:dyDescent="0.3">
      <c r="A35" s="75">
        <v>1996</v>
      </c>
      <c r="B35" s="76" t="s">
        <v>77</v>
      </c>
      <c r="C35" s="77">
        <v>158.4924</v>
      </c>
      <c r="D35" s="83">
        <f t="shared" si="0"/>
        <v>0.33996938376277264</v>
      </c>
      <c r="E35" s="83">
        <f t="shared" si="4"/>
        <v>8.7757033527171568</v>
      </c>
      <c r="F35" s="84">
        <f t="shared" si="3"/>
        <v>13.864799721251364</v>
      </c>
      <c r="G35" s="80">
        <f>C$387/C35</f>
        <v>4.542786504557986</v>
      </c>
    </row>
    <row r="36" spans="1:7" ht="16.5" hidden="1" thickBot="1" x14ac:dyDescent="0.3">
      <c r="A36" s="75">
        <v>1996</v>
      </c>
      <c r="B36" s="76" t="s">
        <v>78</v>
      </c>
      <c r="C36" s="81">
        <v>158.60339999999999</v>
      </c>
      <c r="D36" s="83">
        <f t="shared" si="0"/>
        <v>7.0034903881821542E-2</v>
      </c>
      <c r="E36" s="83">
        <f t="shared" si="4"/>
        <v>8.8518843120070088</v>
      </c>
      <c r="F36" s="84">
        <f t="shared" si="3"/>
        <v>13.107494030961963</v>
      </c>
      <c r="G36" s="80">
        <f>C$387/C36</f>
        <v>4.5396071950223407</v>
      </c>
    </row>
    <row r="37" spans="1:7" ht="16.5" hidden="1" thickBot="1" x14ac:dyDescent="0.3">
      <c r="A37" s="75">
        <v>1996</v>
      </c>
      <c r="B37" s="76" t="s">
        <v>79</v>
      </c>
      <c r="C37" s="81">
        <v>159.52330000000001</v>
      </c>
      <c r="D37" s="83">
        <f t="shared" si="0"/>
        <v>0.58000017654098457</v>
      </c>
      <c r="E37" s="83">
        <f t="shared" si="4"/>
        <v>9.4832254331848276</v>
      </c>
      <c r="F37" s="84">
        <f t="shared" si="3"/>
        <v>12.104380286846904</v>
      </c>
      <c r="G37" s="80">
        <f>C$387/C37</f>
        <v>4.5134292971309282</v>
      </c>
    </row>
    <row r="38" spans="1:7" ht="16.5" hidden="1" thickBot="1" x14ac:dyDescent="0.3">
      <c r="A38" s="75">
        <v>1996</v>
      </c>
      <c r="B38" s="76" t="s">
        <v>80</v>
      </c>
      <c r="C38" s="81">
        <v>160.06559999999999</v>
      </c>
      <c r="D38" s="83">
        <f t="shared" si="0"/>
        <v>0.33995033954286047</v>
      </c>
      <c r="E38" s="83">
        <f t="shared" si="4"/>
        <v>9.8554140297874238</v>
      </c>
      <c r="F38" s="84">
        <f t="shared" si="3"/>
        <v>11.184617244057193</v>
      </c>
      <c r="G38" s="80">
        <f>C$387/C38</f>
        <v>4.4981378621952892</v>
      </c>
    </row>
    <row r="39" spans="1:7" ht="16.5" hidden="1" thickBot="1" x14ac:dyDescent="0.3">
      <c r="A39" s="75">
        <v>1996</v>
      </c>
      <c r="B39" s="76" t="s">
        <v>64</v>
      </c>
      <c r="C39" s="81">
        <v>160.33779999999999</v>
      </c>
      <c r="D39" s="83">
        <f t="shared" si="0"/>
        <v>0.17005527733628956</v>
      </c>
      <c r="E39" s="83">
        <f>100*(C39/C$26-1)</f>
        <v>10.042228958784705</v>
      </c>
      <c r="F39" s="84">
        <f t="shared" si="3"/>
        <v>10.042228958784705</v>
      </c>
      <c r="G39" s="80">
        <f>C$387/C39</f>
        <v>4.4905015273691316</v>
      </c>
    </row>
    <row r="40" spans="1:7" ht="16.5" hidden="1" thickBot="1" x14ac:dyDescent="0.3">
      <c r="A40" s="75"/>
      <c r="B40" s="76"/>
      <c r="C40" s="81"/>
      <c r="D40" s="83"/>
      <c r="E40" s="83"/>
      <c r="F40" s="84"/>
      <c r="G40" s="80"/>
    </row>
    <row r="41" spans="1:7" ht="16.5" hidden="1" thickBot="1" x14ac:dyDescent="0.3">
      <c r="A41" s="75">
        <v>1997</v>
      </c>
      <c r="B41" s="76" t="s">
        <v>81</v>
      </c>
      <c r="C41" s="81">
        <v>162.3099</v>
      </c>
      <c r="D41" s="83">
        <f>100*(C41/C39-1)</f>
        <v>1.229965734842331</v>
      </c>
      <c r="E41" s="83">
        <f>100*(C41/C$39-1)</f>
        <v>1.229965734842331</v>
      </c>
      <c r="F41" s="84">
        <f t="shared" ref="F41:F52" si="5">100*(C41/C28-1)</f>
        <v>9.4045064088391861</v>
      </c>
      <c r="G41" s="80">
        <f>C$387/C41</f>
        <v>4.4359409733787416</v>
      </c>
    </row>
    <row r="42" spans="1:7" ht="16.5" hidden="1" thickBot="1" x14ac:dyDescent="0.3">
      <c r="A42" s="75">
        <v>1997</v>
      </c>
      <c r="B42" s="76" t="s">
        <v>82</v>
      </c>
      <c r="C42" s="81">
        <v>162.3261</v>
      </c>
      <c r="D42" s="83">
        <f t="shared" si="0"/>
        <v>9.9809068947687152E-3</v>
      </c>
      <c r="E42" s="83">
        <f t="shared" ref="E42:E52" si="6">100*(C42/C$39-1)</f>
        <v>1.2400694034719217</v>
      </c>
      <c r="F42" s="84">
        <f t="shared" si="5"/>
        <v>8.9795301810662522</v>
      </c>
      <c r="G42" s="80">
        <f>C$387/C42</f>
        <v>4.4354982704260513</v>
      </c>
    </row>
    <row r="43" spans="1:7" ht="16.5" hidden="1" thickBot="1" x14ac:dyDescent="0.3">
      <c r="A43" s="75">
        <v>1997</v>
      </c>
      <c r="B43" s="76" t="s">
        <v>83</v>
      </c>
      <c r="C43" s="77">
        <v>162.667</v>
      </c>
      <c r="D43" s="83">
        <f t="shared" si="0"/>
        <v>0.21000935770649765</v>
      </c>
      <c r="E43" s="83">
        <f t="shared" si="6"/>
        <v>1.4526830229677712</v>
      </c>
      <c r="F43" s="84">
        <f t="shared" si="5"/>
        <v>8.9577851964183441</v>
      </c>
      <c r="G43" s="80">
        <f>C$387/C43</f>
        <v>4.4262028302913698</v>
      </c>
    </row>
    <row r="44" spans="1:7" ht="16.5" hidden="1" thickBot="1" x14ac:dyDescent="0.3">
      <c r="A44" s="75">
        <v>1997</v>
      </c>
      <c r="B44" s="76" t="s">
        <v>84</v>
      </c>
      <c r="C44" s="77">
        <v>163.7081</v>
      </c>
      <c r="D44" s="83">
        <f t="shared" si="0"/>
        <v>0.64001918028857574</v>
      </c>
      <c r="E44" s="83">
        <f t="shared" si="6"/>
        <v>2.1019996532321228</v>
      </c>
      <c r="F44" s="84">
        <f t="shared" si="5"/>
        <v>7.9070107743477447</v>
      </c>
      <c r="G44" s="80">
        <f>C$387/C44</f>
        <v>4.3980544383265467</v>
      </c>
    </row>
    <row r="45" spans="1:7" ht="16.5" hidden="1" thickBot="1" x14ac:dyDescent="0.3">
      <c r="A45" s="75">
        <v>1997</v>
      </c>
      <c r="B45" s="76" t="s">
        <v>85</v>
      </c>
      <c r="C45" s="77">
        <v>164.60849999999999</v>
      </c>
      <c r="D45" s="83">
        <f t="shared" si="0"/>
        <v>0.55000332909611593</v>
      </c>
      <c r="E45" s="83">
        <f t="shared" si="6"/>
        <v>2.6635640503986036</v>
      </c>
      <c r="F45" s="84">
        <f t="shared" si="5"/>
        <v>7.0658512043635824</v>
      </c>
      <c r="G45" s="80">
        <f>C$387/C45</f>
        <v>4.3739973075206091</v>
      </c>
    </row>
    <row r="46" spans="1:7" ht="16.5" hidden="1" thickBot="1" x14ac:dyDescent="0.3">
      <c r="A46" s="75">
        <v>1997</v>
      </c>
      <c r="B46" s="76" t="s">
        <v>75</v>
      </c>
      <c r="C46" s="77">
        <v>166.94589999999999</v>
      </c>
      <c r="D46" s="83">
        <f t="shared" si="0"/>
        <v>1.4199752746668626</v>
      </c>
      <c r="E46" s="83">
        <f t="shared" si="6"/>
        <v>4.1213612760060414</v>
      </c>
      <c r="F46" s="84">
        <f t="shared" si="5"/>
        <v>7.0763868801106078</v>
      </c>
      <c r="G46" s="80">
        <f>C$387/C46</f>
        <v>4.3127572213214354</v>
      </c>
    </row>
    <row r="47" spans="1:7" ht="16.5" hidden="1" thickBot="1" x14ac:dyDescent="0.3">
      <c r="A47" s="75">
        <v>1997</v>
      </c>
      <c r="B47" s="76" t="s">
        <v>76</v>
      </c>
      <c r="C47" s="77">
        <v>167.12960000000001</v>
      </c>
      <c r="D47" s="83">
        <f t="shared" si="0"/>
        <v>0.11003564627822815</v>
      </c>
      <c r="E47" s="83">
        <f t="shared" si="6"/>
        <v>4.2359318887997821</v>
      </c>
      <c r="F47" s="84">
        <f t="shared" si="5"/>
        <v>5.8080951964921912</v>
      </c>
      <c r="G47" s="80">
        <f>C$387/C47</f>
        <v>4.3080168671199246</v>
      </c>
    </row>
    <row r="48" spans="1:7" ht="16.5" hidden="1" thickBot="1" x14ac:dyDescent="0.3">
      <c r="A48" s="75">
        <v>1997</v>
      </c>
      <c r="B48" s="76" t="s">
        <v>77</v>
      </c>
      <c r="C48" s="77">
        <v>165.85939999999999</v>
      </c>
      <c r="D48" s="83">
        <f t="shared" si="0"/>
        <v>-0.76000899900438013</v>
      </c>
      <c r="E48" s="83">
        <f t="shared" si="6"/>
        <v>3.4437294262488427</v>
      </c>
      <c r="F48" s="84">
        <f t="shared" si="5"/>
        <v>4.6481724044812101</v>
      </c>
      <c r="G48" s="80">
        <f>C$387/C48</f>
        <v>4.3410089256020834</v>
      </c>
    </row>
    <row r="49" spans="1:7" ht="16.5" hidden="1" thickBot="1" x14ac:dyDescent="0.3">
      <c r="A49" s="75">
        <v>1997</v>
      </c>
      <c r="B49" s="76" t="s">
        <v>78</v>
      </c>
      <c r="C49" s="77">
        <v>165.876</v>
      </c>
      <c r="D49" s="83">
        <f t="shared" si="0"/>
        <v>1.00084770594977E-2</v>
      </c>
      <c r="E49" s="83">
        <f t="shared" si="6"/>
        <v>3.4540825681779408</v>
      </c>
      <c r="F49" s="84">
        <f t="shared" si="5"/>
        <v>4.5853998085791492</v>
      </c>
      <c r="G49" s="80">
        <f>C$387/C49</f>
        <v>4.3405745001989811</v>
      </c>
    </row>
    <row r="50" spans="1:7" ht="16.5" hidden="1" thickBot="1" x14ac:dyDescent="0.3">
      <c r="A50" s="75">
        <v>1997</v>
      </c>
      <c r="B50" s="76" t="s">
        <v>79</v>
      </c>
      <c r="C50" s="77">
        <v>166.24090000000001</v>
      </c>
      <c r="D50" s="83">
        <f t="shared" si="0"/>
        <v>0.21998360220887303</v>
      </c>
      <c r="E50" s="83">
        <f t="shared" si="6"/>
        <v>3.6816645856435848</v>
      </c>
      <c r="F50" s="84">
        <f t="shared" si="5"/>
        <v>4.2110462860284414</v>
      </c>
      <c r="G50" s="80">
        <f>C$387/C50</f>
        <v>4.331046907199168</v>
      </c>
    </row>
    <row r="51" spans="1:7" ht="16.5" hidden="1" thickBot="1" x14ac:dyDescent="0.3">
      <c r="A51" s="75">
        <v>1997</v>
      </c>
      <c r="B51" s="76" t="s">
        <v>80</v>
      </c>
      <c r="C51" s="77">
        <v>167.12200000000001</v>
      </c>
      <c r="D51" s="83">
        <f t="shared" si="0"/>
        <v>0.5300139736972076</v>
      </c>
      <c r="E51" s="83">
        <f t="shared" si="6"/>
        <v>4.2311918961093653</v>
      </c>
      <c r="F51" s="84">
        <f t="shared" si="5"/>
        <v>4.4084425385592096</v>
      </c>
      <c r="G51" s="80">
        <f>C$387/C51</f>
        <v>4.3082127774620105</v>
      </c>
    </row>
    <row r="52" spans="1:7" ht="16.5" hidden="1" thickBot="1" x14ac:dyDescent="0.3">
      <c r="A52" s="75">
        <v>1997</v>
      </c>
      <c r="B52" s="76" t="s">
        <v>64</v>
      </c>
      <c r="C52" s="77">
        <v>168.0746</v>
      </c>
      <c r="D52" s="83">
        <f t="shared" si="0"/>
        <v>0.57000275248022536</v>
      </c>
      <c r="E52" s="83">
        <f t="shared" si="6"/>
        <v>4.8253125588601176</v>
      </c>
      <c r="F52" s="84">
        <f t="shared" si="5"/>
        <v>4.8253125588601176</v>
      </c>
      <c r="G52" s="80">
        <f>C$387/C52</f>
        <v>4.2837950278924133</v>
      </c>
    </row>
    <row r="53" spans="1:7" ht="16.5" hidden="1" thickBot="1" x14ac:dyDescent="0.3">
      <c r="A53" s="75"/>
      <c r="B53" s="76"/>
      <c r="C53" s="77"/>
      <c r="D53" s="83"/>
      <c r="E53" s="83"/>
      <c r="F53" s="84"/>
      <c r="G53" s="80"/>
    </row>
    <row r="54" spans="1:7" ht="16.5" hidden="1" thickBot="1" x14ac:dyDescent="0.3">
      <c r="A54" s="75">
        <v>1998</v>
      </c>
      <c r="B54" s="76" t="s">
        <v>81</v>
      </c>
      <c r="C54" s="77">
        <v>168.47800000000001</v>
      </c>
      <c r="D54" s="83">
        <f>100*(C54/C52-1)</f>
        <v>0.2400124706529061</v>
      </c>
      <c r="E54" s="83">
        <f>100*(C54/C$52-1)</f>
        <v>0.2400124706529061</v>
      </c>
      <c r="F54" s="84">
        <f t="shared" ref="F54:F65" si="7">100*(C54/C41-1)</f>
        <v>3.8001994949168338</v>
      </c>
      <c r="G54" s="80">
        <f>C$387/C54</f>
        <v>4.2735380037453332</v>
      </c>
    </row>
    <row r="55" spans="1:7" ht="16.5" hidden="1" thickBot="1" x14ac:dyDescent="0.3">
      <c r="A55" s="75">
        <v>1998</v>
      </c>
      <c r="B55" s="76" t="s">
        <v>82</v>
      </c>
      <c r="C55" s="77">
        <v>168.20840000000001</v>
      </c>
      <c r="D55" s="83">
        <f t="shared" si="0"/>
        <v>-0.16002089293557509</v>
      </c>
      <c r="E55" s="83">
        <f t="shared" ref="E55:E65" si="8">100*(C55/C$52-1)</f>
        <v>7.9607507618639772E-2</v>
      </c>
      <c r="F55" s="84">
        <f t="shared" si="7"/>
        <v>3.6237548983188761</v>
      </c>
      <c r="G55" s="80">
        <f>C$387/C55</f>
        <v>4.2803875180728559</v>
      </c>
    </row>
    <row r="56" spans="1:7" ht="16.5" hidden="1" thickBot="1" x14ac:dyDescent="0.3">
      <c r="A56" s="75">
        <v>1998</v>
      </c>
      <c r="B56" s="76" t="s">
        <v>83</v>
      </c>
      <c r="C56" s="77">
        <v>167.82149999999999</v>
      </c>
      <c r="D56" s="83">
        <f t="shared" si="0"/>
        <v>-0.23001229427307424</v>
      </c>
      <c r="E56" s="83">
        <f t="shared" si="8"/>
        <v>-0.15058789370910874</v>
      </c>
      <c r="F56" s="84">
        <f t="shared" si="7"/>
        <v>3.1687435066731329</v>
      </c>
      <c r="G56" s="80">
        <f>C$387/C56</f>
        <v>4.2902556334856161</v>
      </c>
    </row>
    <row r="57" spans="1:7" ht="16.5" hidden="1" thickBot="1" x14ac:dyDescent="0.3">
      <c r="A57" s="75">
        <v>1998</v>
      </c>
      <c r="B57" s="76" t="s">
        <v>84</v>
      </c>
      <c r="C57" s="77">
        <v>168.86199999999999</v>
      </c>
      <c r="D57" s="83">
        <f t="shared" si="0"/>
        <v>0.62000399233710368</v>
      </c>
      <c r="E57" s="83">
        <f t="shared" si="8"/>
        <v>0.46848244767501157</v>
      </c>
      <c r="F57" s="84">
        <f t="shared" si="7"/>
        <v>3.148225408516736</v>
      </c>
      <c r="G57" s="80">
        <f>C$387/C57</f>
        <v>4.2638197806197145</v>
      </c>
    </row>
    <row r="58" spans="1:7" ht="16.5" hidden="1" thickBot="1" x14ac:dyDescent="0.3">
      <c r="A58" s="75">
        <v>1998</v>
      </c>
      <c r="B58" s="76" t="s">
        <v>85</v>
      </c>
      <c r="C58" s="77">
        <v>169.74010000000001</v>
      </c>
      <c r="D58" s="83">
        <f t="shared" si="0"/>
        <v>0.52001042271205833</v>
      </c>
      <c r="E58" s="83">
        <f t="shared" si="8"/>
        <v>0.99092902794355453</v>
      </c>
      <c r="F58" s="84">
        <f t="shared" si="7"/>
        <v>3.1174574824508028</v>
      </c>
      <c r="G58" s="80">
        <f>C$387/C58</f>
        <v>4.2417621752020072</v>
      </c>
    </row>
    <row r="59" spans="1:7" ht="16.5" hidden="1" thickBot="1" x14ac:dyDescent="0.3">
      <c r="A59" s="75">
        <v>1998</v>
      </c>
      <c r="B59" s="76" t="s">
        <v>75</v>
      </c>
      <c r="C59" s="77">
        <v>170.0626</v>
      </c>
      <c r="D59" s="83">
        <f t="shared" si="0"/>
        <v>0.18999635324827846</v>
      </c>
      <c r="E59" s="83">
        <f t="shared" si="8"/>
        <v>1.1828081102082111</v>
      </c>
      <c r="F59" s="84">
        <f t="shared" si="7"/>
        <v>1.8668922087933915</v>
      </c>
      <c r="G59" s="80">
        <f>C$387/C59</f>
        <v>4.2337182648919054</v>
      </c>
    </row>
    <row r="60" spans="1:7" ht="16.5" hidden="1" thickBot="1" x14ac:dyDescent="0.3">
      <c r="A60" s="75">
        <v>1998</v>
      </c>
      <c r="B60" s="76" t="s">
        <v>76</v>
      </c>
      <c r="C60" s="77">
        <v>168.75309999999999</v>
      </c>
      <c r="D60" s="83">
        <f t="shared" si="0"/>
        <v>-0.77001057257739536</v>
      </c>
      <c r="E60" s="83">
        <f t="shared" si="8"/>
        <v>0.40368979012890271</v>
      </c>
      <c r="F60" s="84">
        <f t="shared" si="7"/>
        <v>0.97140183426513982</v>
      </c>
      <c r="G60" s="80">
        <f>C$387/C60</f>
        <v>4.2665713151047671</v>
      </c>
    </row>
    <row r="61" spans="1:7" ht="16.5" hidden="1" thickBot="1" x14ac:dyDescent="0.3">
      <c r="A61" s="75">
        <v>1998</v>
      </c>
      <c r="B61" s="76" t="s">
        <v>77</v>
      </c>
      <c r="C61" s="77">
        <v>167.06559999999999</v>
      </c>
      <c r="D61" s="83">
        <f t="shared" si="0"/>
        <v>-0.99998162996709494</v>
      </c>
      <c r="E61" s="83">
        <f t="shared" si="8"/>
        <v>-0.60032866358153969</v>
      </c>
      <c r="F61" s="84">
        <f t="shared" si="7"/>
        <v>0.72724247163560296</v>
      </c>
      <c r="G61" s="80">
        <f>C$387/C61</f>
        <v>4.3096671953711967</v>
      </c>
    </row>
    <row r="62" spans="1:7" ht="16.5" hidden="1" thickBot="1" x14ac:dyDescent="0.3">
      <c r="A62" s="75">
        <v>1998</v>
      </c>
      <c r="B62" s="76" t="s">
        <v>78</v>
      </c>
      <c r="C62" s="77">
        <v>165.96289999999999</v>
      </c>
      <c r="D62" s="83">
        <f t="shared" si="0"/>
        <v>-0.66004012794973477</v>
      </c>
      <c r="E62" s="83">
        <f t="shared" si="8"/>
        <v>-1.2564063814520576</v>
      </c>
      <c r="F62" s="84">
        <f t="shared" si="7"/>
        <v>5.2388531191960297E-2</v>
      </c>
      <c r="G62" s="80">
        <f>C$387/C62</f>
        <v>4.3383017276451925</v>
      </c>
    </row>
    <row r="63" spans="1:7" ht="16.5" hidden="1" thickBot="1" x14ac:dyDescent="0.3">
      <c r="A63" s="75">
        <v>1998</v>
      </c>
      <c r="B63" s="76" t="s">
        <v>79</v>
      </c>
      <c r="C63" s="77">
        <v>165.99610000000001</v>
      </c>
      <c r="D63" s="83">
        <f t="shared" si="0"/>
        <v>2.0004470878753899E-2</v>
      </c>
      <c r="E63" s="83">
        <f t="shared" si="8"/>
        <v>-1.2366532480220016</v>
      </c>
      <c r="F63" s="84">
        <f t="shared" si="7"/>
        <v>-0.14725618063905488</v>
      </c>
      <c r="G63" s="80">
        <f>C$387/C63</f>
        <v>4.3374340469143924</v>
      </c>
    </row>
    <row r="64" spans="1:7" ht="16.5" hidden="1" thickBot="1" x14ac:dyDescent="0.3">
      <c r="A64" s="75">
        <v>1998</v>
      </c>
      <c r="B64" s="76" t="s">
        <v>80</v>
      </c>
      <c r="C64" s="77">
        <v>165.26580000000001</v>
      </c>
      <c r="D64" s="83">
        <f t="shared" si="0"/>
        <v>-0.43995009521308193</v>
      </c>
      <c r="E64" s="83">
        <f t="shared" si="8"/>
        <v>-1.6711626860929529</v>
      </c>
      <c r="F64" s="84">
        <f t="shared" si="7"/>
        <v>-1.1106856069218907</v>
      </c>
      <c r="G64" s="80">
        <f>C$387/C64</f>
        <v>4.3566009167958901</v>
      </c>
    </row>
    <row r="65" spans="1:7" ht="16.5" hidden="1" thickBot="1" x14ac:dyDescent="0.3">
      <c r="A65" s="75">
        <v>1998</v>
      </c>
      <c r="B65" s="76" t="s">
        <v>64</v>
      </c>
      <c r="C65" s="77">
        <v>165.06739999999999</v>
      </c>
      <c r="D65" s="83">
        <f t="shared" si="0"/>
        <v>-0.12004903615873141</v>
      </c>
      <c r="E65" s="83">
        <f t="shared" si="8"/>
        <v>-1.7892055075543922</v>
      </c>
      <c r="F65" s="84">
        <f t="shared" si="7"/>
        <v>-1.7892055075543922</v>
      </c>
      <c r="G65" s="80">
        <f>C$387/C65</f>
        <v>4.3618372603857951</v>
      </c>
    </row>
    <row r="66" spans="1:7" ht="16.5" hidden="1" thickBot="1" x14ac:dyDescent="0.3">
      <c r="A66" s="75"/>
      <c r="B66" s="76"/>
      <c r="C66" s="77"/>
      <c r="D66" s="83"/>
      <c r="E66" s="83"/>
      <c r="F66" s="84"/>
      <c r="G66" s="80"/>
    </row>
    <row r="67" spans="1:7" ht="16.5" hidden="1" thickBot="1" x14ac:dyDescent="0.3">
      <c r="A67" s="75">
        <v>1999</v>
      </c>
      <c r="B67" s="76" t="s">
        <v>81</v>
      </c>
      <c r="C67" s="77">
        <v>165.89279999999999</v>
      </c>
      <c r="D67" s="83">
        <f>100*(C67/C65-1)</f>
        <v>0.50003816622785635</v>
      </c>
      <c r="E67" s="83">
        <f>100*(C67/C$65-1)</f>
        <v>0.50003816622785635</v>
      </c>
      <c r="F67" s="84">
        <f t="shared" ref="F67:F78" si="9">100*(C67/C54-1)</f>
        <v>-1.5344436662353633</v>
      </c>
      <c r="G67" s="80">
        <f>C$387/C67</f>
        <v>4.3401349292736411</v>
      </c>
    </row>
    <row r="68" spans="1:7" ht="16.5" hidden="1" thickBot="1" x14ac:dyDescent="0.3">
      <c r="A68" s="75">
        <v>1999</v>
      </c>
      <c r="B68" s="76" t="s">
        <v>82</v>
      </c>
      <c r="C68" s="77">
        <v>168.2319</v>
      </c>
      <c r="D68" s="83">
        <f t="shared" si="0"/>
        <v>1.4100069442435137</v>
      </c>
      <c r="E68" s="83">
        <f t="shared" ref="E68:E78" si="10">100*(C68/C$65-1)</f>
        <v>1.9170956833390429</v>
      </c>
      <c r="F68" s="84">
        <f t="shared" si="9"/>
        <v>1.3970764836934713E-2</v>
      </c>
      <c r="G68" s="80">
        <f>C$387/C68</f>
        <v>4.279789598732501</v>
      </c>
    </row>
    <row r="69" spans="1:7" ht="16.5" hidden="1" thickBot="1" x14ac:dyDescent="0.3">
      <c r="A69" s="75">
        <v>1999</v>
      </c>
      <c r="B69" s="76" t="s">
        <v>83</v>
      </c>
      <c r="C69" s="77">
        <v>169.17400000000001</v>
      </c>
      <c r="D69" s="83">
        <f t="shared" si="0"/>
        <v>0.56000080840792332</v>
      </c>
      <c r="E69" s="83">
        <f t="shared" si="10"/>
        <v>2.4878322430716304</v>
      </c>
      <c r="F69" s="84">
        <f t="shared" si="9"/>
        <v>0.80591580935698293</v>
      </c>
      <c r="G69" s="80">
        <f>C$387/C69</f>
        <v>4.2559562095535144</v>
      </c>
    </row>
    <row r="70" spans="1:7" ht="16.5" hidden="1" thickBot="1" x14ac:dyDescent="0.3">
      <c r="A70" s="75">
        <v>1999</v>
      </c>
      <c r="B70" s="76" t="s">
        <v>84</v>
      </c>
      <c r="C70" s="77">
        <v>169.9691</v>
      </c>
      <c r="D70" s="83">
        <f t="shared" si="0"/>
        <v>0.46998947828862381</v>
      </c>
      <c r="E70" s="83">
        <f t="shared" si="10"/>
        <v>2.9695142711401612</v>
      </c>
      <c r="F70" s="84">
        <f t="shared" si="9"/>
        <v>0.65562411910318197</v>
      </c>
      <c r="G70" s="80">
        <f>C$387/C70</f>
        <v>4.2360472332618473</v>
      </c>
    </row>
    <row r="71" spans="1:7" ht="16.5" hidden="1" thickBot="1" x14ac:dyDescent="0.3">
      <c r="A71" s="75">
        <v>1999</v>
      </c>
      <c r="B71" s="76" t="s">
        <v>85</v>
      </c>
      <c r="C71" s="77">
        <v>169.34020000000001</v>
      </c>
      <c r="D71" s="83">
        <f t="shared" si="0"/>
        <v>-0.37000843094420199</v>
      </c>
      <c r="E71" s="83">
        <f t="shared" si="10"/>
        <v>2.588518387034644</v>
      </c>
      <c r="F71" s="84">
        <f t="shared" si="9"/>
        <v>-0.2355954780278835</v>
      </c>
      <c r="G71" s="80">
        <f>C$387/C71</f>
        <v>4.2517791746732678</v>
      </c>
    </row>
    <row r="72" spans="1:7" ht="16.5" hidden="1" thickBot="1" x14ac:dyDescent="0.3">
      <c r="A72" s="75">
        <v>1999</v>
      </c>
      <c r="B72" s="76" t="s">
        <v>75</v>
      </c>
      <c r="C72" s="77">
        <v>169.2047</v>
      </c>
      <c r="D72" s="83">
        <f t="shared" si="0"/>
        <v>-8.0016440278218859E-2</v>
      </c>
      <c r="E72" s="83">
        <f t="shared" si="10"/>
        <v>2.5064307064871727</v>
      </c>
      <c r="F72" s="84">
        <f t="shared" si="9"/>
        <v>-0.50446129836895226</v>
      </c>
      <c r="G72" s="80">
        <f>C$387/C72</f>
        <v>4.2551840214545233</v>
      </c>
    </row>
    <row r="73" spans="1:7" ht="16.5" hidden="1" thickBot="1" x14ac:dyDescent="0.3">
      <c r="A73" s="75">
        <v>1999</v>
      </c>
      <c r="B73" s="76" t="s">
        <v>76</v>
      </c>
      <c r="C73" s="77">
        <v>171.04910000000001</v>
      </c>
      <c r="D73" s="83">
        <f t="shared" si="0"/>
        <v>1.090040643079071</v>
      </c>
      <c r="E73" s="83">
        <f t="shared" si="10"/>
        <v>3.6237924629575646</v>
      </c>
      <c r="F73" s="84">
        <f t="shared" si="9"/>
        <v>1.3605675984619037</v>
      </c>
      <c r="G73" s="80">
        <f>C$387/C73</f>
        <v>4.2093009305223248</v>
      </c>
    </row>
    <row r="74" spans="1:7" ht="16.5" hidden="1" thickBot="1" x14ac:dyDescent="0.3">
      <c r="A74" s="75">
        <v>1999</v>
      </c>
      <c r="B74" s="76" t="s">
        <v>77</v>
      </c>
      <c r="C74" s="77">
        <v>172.31479999999999</v>
      </c>
      <c r="D74" s="83">
        <f t="shared" si="0"/>
        <v>0.73996296969698339</v>
      </c>
      <c r="E74" s="83">
        <f t="shared" si="10"/>
        <v>4.3905701549791232</v>
      </c>
      <c r="F74" s="84">
        <f t="shared" si="9"/>
        <v>3.1419993104505162</v>
      </c>
      <c r="G74" s="80">
        <f>C$387/C74</f>
        <v>4.1783824476771949</v>
      </c>
    </row>
    <row r="75" spans="1:7" ht="16.5" hidden="1" thickBot="1" x14ac:dyDescent="0.3">
      <c r="A75" s="75">
        <v>1999</v>
      </c>
      <c r="B75" s="76" t="s">
        <v>78</v>
      </c>
      <c r="C75" s="77">
        <v>173.88290000000001</v>
      </c>
      <c r="D75" s="83">
        <f t="shared" si="0"/>
        <v>0.91002049736876867</v>
      </c>
      <c r="E75" s="83">
        <f t="shared" si="10"/>
        <v>5.340545740709568</v>
      </c>
      <c r="F75" s="84">
        <f t="shared" si="9"/>
        <v>4.7721508843241667</v>
      </c>
      <c r="G75" s="80">
        <f>C$387/C75</f>
        <v>4.1407012178598714</v>
      </c>
    </row>
    <row r="76" spans="1:7" ht="16.5" hidden="1" thickBot="1" x14ac:dyDescent="0.3">
      <c r="A76" s="75">
        <v>1999</v>
      </c>
      <c r="B76" s="76" t="s">
        <v>79</v>
      </c>
      <c r="C76" s="77">
        <v>175.84780000000001</v>
      </c>
      <c r="D76" s="83">
        <f t="shared" si="0"/>
        <v>1.1300133595655515</v>
      </c>
      <c r="E76" s="83">
        <f t="shared" si="10"/>
        <v>6.5309079806188386</v>
      </c>
      <c r="F76" s="84">
        <f t="shared" si="9"/>
        <v>5.9348984705062335</v>
      </c>
      <c r="G76" s="80">
        <f>C$387/C76</f>
        <v>4.0944335715033464</v>
      </c>
    </row>
    <row r="77" spans="1:7" ht="16.5" hidden="1" thickBot="1" x14ac:dyDescent="0.3">
      <c r="A77" s="75">
        <v>1999</v>
      </c>
      <c r="B77" s="76" t="s">
        <v>80</v>
      </c>
      <c r="C77" s="77">
        <v>178.4503</v>
      </c>
      <c r="D77" s="83">
        <f t="shared" si="0"/>
        <v>1.4799730221248142</v>
      </c>
      <c r="E77" s="83">
        <f t="shared" si="10"/>
        <v>8.1075366789566061</v>
      </c>
      <c r="F77" s="84">
        <f t="shared" si="9"/>
        <v>7.9777546231585728</v>
      </c>
      <c r="G77" s="80">
        <f>C$387/C77</f>
        <v>4.0347207922598409</v>
      </c>
    </row>
    <row r="78" spans="1:7" ht="16.5" hidden="1" thickBot="1" x14ac:dyDescent="0.3">
      <c r="A78" s="75">
        <v>1999</v>
      </c>
      <c r="B78" s="76" t="s">
        <v>64</v>
      </c>
      <c r="C78" s="77">
        <v>179.32470000000001</v>
      </c>
      <c r="D78" s="83">
        <f t="shared" ref="D78:D116" si="11">100*(C78/C77-1)</f>
        <v>0.48999637434063992</v>
      </c>
      <c r="E78" s="83">
        <f t="shared" si="10"/>
        <v>8.637259689072474</v>
      </c>
      <c r="F78" s="84">
        <f t="shared" si="9"/>
        <v>8.637259689072474</v>
      </c>
      <c r="G78" s="80">
        <f>C$387/C78</f>
        <v>4.0150472065198279</v>
      </c>
    </row>
    <row r="79" spans="1:7" ht="16.5" hidden="1" thickBot="1" x14ac:dyDescent="0.3">
      <c r="A79" s="75"/>
      <c r="B79" s="76"/>
      <c r="C79" s="77"/>
      <c r="D79" s="83"/>
      <c r="E79" s="83"/>
      <c r="F79" s="84"/>
      <c r="G79" s="80"/>
    </row>
    <row r="80" spans="1:7" ht="16.5" hidden="1" thickBot="1" x14ac:dyDescent="0.3">
      <c r="A80" s="75">
        <v>2000</v>
      </c>
      <c r="B80" s="82" t="s">
        <v>81</v>
      </c>
      <c r="C80" s="77">
        <v>180.34690000000001</v>
      </c>
      <c r="D80" s="83">
        <f>100*(C80/C78-1)</f>
        <v>0.57002744184153631</v>
      </c>
      <c r="E80" s="83">
        <f>100*(C80/C$78-1)</f>
        <v>0.57002744184153631</v>
      </c>
      <c r="F80" s="84">
        <f t="shared" ref="F80:F91" si="12">100*(C80/C67-1)</f>
        <v>8.7129158106922233</v>
      </c>
      <c r="G80" s="80">
        <f>C$387/C80</f>
        <v>3.9922900576334066</v>
      </c>
    </row>
    <row r="81" spans="1:7" ht="16.5" hidden="1" thickBot="1" x14ac:dyDescent="0.3">
      <c r="A81" s="75">
        <v>2000</v>
      </c>
      <c r="B81" s="82" t="s">
        <v>82</v>
      </c>
      <c r="C81" s="77">
        <v>179.93209999999999</v>
      </c>
      <c r="D81" s="83">
        <f t="shared" si="11"/>
        <v>-0.23000118105718226</v>
      </c>
      <c r="E81" s="83">
        <f t="shared" ref="E81:E91" si="13">100*(C81/C$78-1)</f>
        <v>0.33871519093575664</v>
      </c>
      <c r="F81" s="84">
        <f t="shared" si="12"/>
        <v>6.9548046476322289</v>
      </c>
      <c r="G81" s="80">
        <f>C$387/C81</f>
        <v>4.0014935400354146</v>
      </c>
    </row>
    <row r="82" spans="1:7" ht="16.5" hidden="1" thickBot="1" x14ac:dyDescent="0.3">
      <c r="A82" s="75">
        <v>2000</v>
      </c>
      <c r="B82" s="82" t="s">
        <v>83</v>
      </c>
      <c r="C82" s="77">
        <v>180.3459</v>
      </c>
      <c r="D82" s="83">
        <f t="shared" si="11"/>
        <v>0.22997564081117527</v>
      </c>
      <c r="E82" s="83">
        <f t="shared" si="13"/>
        <v>0.56946979417782373</v>
      </c>
      <c r="F82" s="84">
        <f t="shared" si="12"/>
        <v>6.6037925449537127</v>
      </c>
      <c r="G82" s="80">
        <f>C$387/C82</f>
        <v>3.9923121944829698</v>
      </c>
    </row>
    <row r="83" spans="1:7" ht="16.5" hidden="1" thickBot="1" x14ac:dyDescent="0.3">
      <c r="A83" s="75">
        <v>2000</v>
      </c>
      <c r="B83" s="82" t="s">
        <v>84</v>
      </c>
      <c r="C83" s="77">
        <v>180.50819999999999</v>
      </c>
      <c r="D83" s="83">
        <f t="shared" si="11"/>
        <v>8.9993728717963073E-2</v>
      </c>
      <c r="E83" s="83">
        <f t="shared" si="13"/>
        <v>0.65997600999749828</v>
      </c>
      <c r="F83" s="84">
        <f t="shared" si="12"/>
        <v>6.2005976380412609</v>
      </c>
      <c r="G83" s="80">
        <f>C$387/C83</f>
        <v>3.9887225942921498</v>
      </c>
    </row>
    <row r="84" spans="1:7" ht="16.5" hidden="1" thickBot="1" x14ac:dyDescent="0.3">
      <c r="A84" s="75">
        <v>2000</v>
      </c>
      <c r="B84" s="82" t="s">
        <v>85</v>
      </c>
      <c r="C84" s="77">
        <v>180.5624</v>
      </c>
      <c r="D84" s="83">
        <f t="shared" si="11"/>
        <v>3.0026336753685712E-2</v>
      </c>
      <c r="E84" s="83">
        <f t="shared" si="13"/>
        <v>0.69020051337043142</v>
      </c>
      <c r="F84" s="84">
        <f t="shared" si="12"/>
        <v>6.627014731292391</v>
      </c>
      <c r="G84" s="80">
        <f>C$387/C84</f>
        <v>3.987525286521481</v>
      </c>
    </row>
    <row r="85" spans="1:7" ht="16.5" hidden="1" thickBot="1" x14ac:dyDescent="0.3">
      <c r="A85" s="75">
        <v>2000</v>
      </c>
      <c r="B85" s="82" t="s">
        <v>75</v>
      </c>
      <c r="C85" s="77">
        <v>180.88740000000001</v>
      </c>
      <c r="D85" s="83">
        <f t="shared" si="11"/>
        <v>0.17999317687404925</v>
      </c>
      <c r="E85" s="83">
        <f t="shared" si="13"/>
        <v>0.87143600407528776</v>
      </c>
      <c r="F85" s="84">
        <f t="shared" si="12"/>
        <v>6.9044772396984255</v>
      </c>
      <c r="G85" s="80">
        <f>C$387/C85</f>
        <v>3.9803609084712708</v>
      </c>
    </row>
    <row r="86" spans="1:7" ht="16.5" hidden="1" thickBot="1" x14ac:dyDescent="0.3">
      <c r="A86" s="75">
        <v>2000</v>
      </c>
      <c r="B86" s="82" t="s">
        <v>76</v>
      </c>
      <c r="C86" s="77">
        <v>183.41980000000001</v>
      </c>
      <c r="D86" s="83">
        <f t="shared" si="11"/>
        <v>1.3999869532095532</v>
      </c>
      <c r="E86" s="83">
        <f t="shared" si="13"/>
        <v>2.283622947647479</v>
      </c>
      <c r="F86" s="84">
        <f t="shared" si="12"/>
        <v>7.2322508566253774</v>
      </c>
      <c r="G86" s="80">
        <f>C$387/C86</f>
        <v>3.9254057402472697</v>
      </c>
    </row>
    <row r="87" spans="1:7" ht="16.5" hidden="1" thickBot="1" x14ac:dyDescent="0.3">
      <c r="A87" s="75">
        <v>2000</v>
      </c>
      <c r="B87" s="82" t="s">
        <v>77</v>
      </c>
      <c r="C87" s="77">
        <v>186.2628</v>
      </c>
      <c r="D87" s="83">
        <f t="shared" si="11"/>
        <v>1.5499962381378518</v>
      </c>
      <c r="E87" s="83">
        <f t="shared" si="13"/>
        <v>3.869015255567132</v>
      </c>
      <c r="F87" s="84">
        <f t="shared" si="12"/>
        <v>8.0944875309607802</v>
      </c>
      <c r="G87" s="80">
        <f>C$387/C87</f>
        <v>3.8654907785935047</v>
      </c>
    </row>
    <row r="88" spans="1:7" ht="16.5" hidden="1" thickBot="1" x14ac:dyDescent="0.3">
      <c r="A88" s="75">
        <v>2000</v>
      </c>
      <c r="B88" s="82" t="s">
        <v>78</v>
      </c>
      <c r="C88" s="77">
        <v>186.76570000000001</v>
      </c>
      <c r="D88" s="83">
        <f t="shared" si="11"/>
        <v>0.26999486746683843</v>
      </c>
      <c r="E88" s="83">
        <f t="shared" si="13"/>
        <v>4.1494562656455125</v>
      </c>
      <c r="F88" s="84">
        <f t="shared" si="12"/>
        <v>7.408894146577949</v>
      </c>
      <c r="G88" s="80">
        <f>C$387/C88</f>
        <v>3.8550822543700809</v>
      </c>
    </row>
    <row r="89" spans="1:7" ht="16.5" hidden="1" thickBot="1" x14ac:dyDescent="0.3">
      <c r="A89" s="75">
        <v>2000</v>
      </c>
      <c r="B89" s="82" t="s">
        <v>79</v>
      </c>
      <c r="C89" s="77">
        <v>186.78440000000001</v>
      </c>
      <c r="D89" s="83">
        <f t="shared" si="11"/>
        <v>1.0012545130066997E-2</v>
      </c>
      <c r="E89" s="83">
        <f t="shared" si="13"/>
        <v>4.1598842769568156</v>
      </c>
      <c r="F89" s="84">
        <f t="shared" si="12"/>
        <v>6.2193556018329543</v>
      </c>
      <c r="G89" s="80">
        <f>C$387/C89</f>
        <v>3.8546963011632993</v>
      </c>
    </row>
    <row r="90" spans="1:7" ht="16.5" hidden="1" thickBot="1" x14ac:dyDescent="0.3">
      <c r="A90" s="75">
        <v>2000</v>
      </c>
      <c r="B90" s="82" t="s">
        <v>80</v>
      </c>
      <c r="C90" s="77">
        <v>186.691</v>
      </c>
      <c r="D90" s="83">
        <f t="shared" si="11"/>
        <v>-5.0004175937601314E-2</v>
      </c>
      <c r="E90" s="83">
        <f t="shared" si="13"/>
        <v>4.1077999851665714</v>
      </c>
      <c r="F90" s="84">
        <f t="shared" si="12"/>
        <v>4.6179244304997091</v>
      </c>
      <c r="G90" s="80">
        <f>C$387/C90</f>
        <v>3.8566247746008444</v>
      </c>
    </row>
    <row r="91" spans="1:7" ht="16.5" hidden="1" thickBot="1" x14ac:dyDescent="0.3">
      <c r="A91" s="75">
        <v>2000</v>
      </c>
      <c r="B91" s="82" t="s">
        <v>64</v>
      </c>
      <c r="C91" s="77">
        <v>187.1764</v>
      </c>
      <c r="D91" s="83">
        <f t="shared" si="11"/>
        <v>0.26000182119116921</v>
      </c>
      <c r="E91" s="83">
        <f t="shared" si="13"/>
        <v>4.3784821611300595</v>
      </c>
      <c r="F91" s="84">
        <f t="shared" si="12"/>
        <v>4.3784821611300595</v>
      </c>
      <c r="G91" s="80">
        <f>C$387/C91</f>
        <v>3.8466234834894046</v>
      </c>
    </row>
    <row r="92" spans="1:7" ht="16.5" hidden="1" thickBot="1" x14ac:dyDescent="0.3">
      <c r="A92" s="75"/>
      <c r="B92" s="82"/>
      <c r="C92" s="77"/>
      <c r="D92" s="83"/>
      <c r="E92" s="83"/>
      <c r="F92" s="84"/>
      <c r="G92" s="80"/>
    </row>
    <row r="93" spans="1:7" ht="16.5" hidden="1" thickBot="1" x14ac:dyDescent="0.3">
      <c r="A93" s="75">
        <v>2001</v>
      </c>
      <c r="B93" s="82" t="s">
        <v>81</v>
      </c>
      <c r="C93" s="77">
        <v>187.8877</v>
      </c>
      <c r="D93" s="83">
        <f>100*(C93/C91-1)</f>
        <v>0.38001585669988902</v>
      </c>
      <c r="E93" s="83">
        <f>100*(C93/C$91-1)</f>
        <v>0.38001585669988902</v>
      </c>
      <c r="F93" s="84">
        <f t="shared" ref="F93:F104" si="14">100*(C93/C80-1)</f>
        <v>4.1812750870683146</v>
      </c>
      <c r="G93" s="80">
        <f>C$387/C93</f>
        <v>3.8320610438842255</v>
      </c>
    </row>
    <row r="94" spans="1:7" ht="16.5" hidden="1" thickBot="1" x14ac:dyDescent="0.3">
      <c r="A94" s="75">
        <v>2001</v>
      </c>
      <c r="B94" s="82" t="s">
        <v>82</v>
      </c>
      <c r="C94" s="77">
        <v>188.0943</v>
      </c>
      <c r="D94" s="83">
        <f t="shared" si="11"/>
        <v>0.10995930015642585</v>
      </c>
      <c r="E94" s="83">
        <f t="shared" ref="E94:E104" si="15">100*(C94/C$91-1)</f>
        <v>0.49039301963282877</v>
      </c>
      <c r="F94" s="84">
        <f t="shared" si="14"/>
        <v>4.5362667361743769</v>
      </c>
      <c r="G94" s="80">
        <f>C$387/C94</f>
        <v>3.8278519646528695</v>
      </c>
    </row>
    <row r="95" spans="1:7" ht="16.5" hidden="1" thickBot="1" x14ac:dyDescent="0.3">
      <c r="A95" s="75">
        <v>2001</v>
      </c>
      <c r="B95" s="82" t="s">
        <v>83</v>
      </c>
      <c r="C95" s="77">
        <v>189.05359999999999</v>
      </c>
      <c r="D95" s="83">
        <f t="shared" si="11"/>
        <v>0.51001013853155808</v>
      </c>
      <c r="E95" s="83">
        <f t="shared" si="15"/>
        <v>1.0029042122831733</v>
      </c>
      <c r="F95" s="84">
        <f t="shared" si="14"/>
        <v>4.8283326651728631</v>
      </c>
      <c r="G95" s="80">
        <f>C$387/C95</f>
        <v>3.8084285927113064</v>
      </c>
    </row>
    <row r="96" spans="1:7" ht="16.5" hidden="1" thickBot="1" x14ac:dyDescent="0.3">
      <c r="A96" s="75">
        <v>2001</v>
      </c>
      <c r="B96" s="82" t="s">
        <v>84</v>
      </c>
      <c r="C96" s="77">
        <v>190.20689999999999</v>
      </c>
      <c r="D96" s="83">
        <f t="shared" si="11"/>
        <v>0.61003863454596186</v>
      </c>
      <c r="E96" s="83">
        <f t="shared" si="15"/>
        <v>1.6190609499915576</v>
      </c>
      <c r="F96" s="84">
        <f t="shared" si="14"/>
        <v>5.3729969054037374</v>
      </c>
      <c r="G96" s="80">
        <f>C$387/C96</f>
        <v>3.7853365771431333</v>
      </c>
    </row>
    <row r="97" spans="1:7" ht="16.5" hidden="1" thickBot="1" x14ac:dyDescent="0.3">
      <c r="A97" s="75">
        <v>2001</v>
      </c>
      <c r="B97" s="82" t="s">
        <v>85</v>
      </c>
      <c r="C97" s="77">
        <v>190.53020000000001</v>
      </c>
      <c r="D97" s="83">
        <f t="shared" si="11"/>
        <v>0.16997280330000031</v>
      </c>
      <c r="E97" s="83">
        <f t="shared" si="15"/>
        <v>1.7917857165753892</v>
      </c>
      <c r="F97" s="84">
        <f t="shared" si="14"/>
        <v>5.5204184259845857</v>
      </c>
      <c r="G97" s="80">
        <f>C$387/C97</f>
        <v>3.7789134520144638</v>
      </c>
    </row>
    <row r="98" spans="1:7" ht="16.5" hidden="1" thickBot="1" x14ac:dyDescent="0.3">
      <c r="A98" s="75">
        <v>2001</v>
      </c>
      <c r="B98" s="82" t="s">
        <v>75</v>
      </c>
      <c r="C98" s="77">
        <v>192.1497</v>
      </c>
      <c r="D98" s="83">
        <f t="shared" si="11"/>
        <v>0.84999648349710633</v>
      </c>
      <c r="E98" s="83">
        <f t="shared" si="15"/>
        <v>2.6570123156551828</v>
      </c>
      <c r="F98" s="84">
        <f t="shared" si="14"/>
        <v>6.2261384706729039</v>
      </c>
      <c r="G98" s="80">
        <f>C$387/C98</f>
        <v>3.7470635436589608</v>
      </c>
    </row>
    <row r="99" spans="1:7" ht="16.5" hidden="1" thickBot="1" x14ac:dyDescent="0.3">
      <c r="A99" s="75">
        <v>2001</v>
      </c>
      <c r="B99" s="82" t="s">
        <v>76</v>
      </c>
      <c r="C99" s="77">
        <v>194.47470000000001</v>
      </c>
      <c r="D99" s="83">
        <f t="shared" si="11"/>
        <v>1.2099940827386302</v>
      </c>
      <c r="E99" s="83">
        <f t="shared" si="15"/>
        <v>3.8991560901908695</v>
      </c>
      <c r="F99" s="84">
        <f t="shared" si="14"/>
        <v>6.0271028536722948</v>
      </c>
      <c r="G99" s="80">
        <f>C$387/C99</f>
        <v>3.7022663400175251</v>
      </c>
    </row>
    <row r="100" spans="1:7" ht="16.5" hidden="1" thickBot="1" x14ac:dyDescent="0.3">
      <c r="A100" s="75">
        <v>2001</v>
      </c>
      <c r="B100" s="82" t="s">
        <v>77</v>
      </c>
      <c r="C100" s="77">
        <v>196.71119999999999</v>
      </c>
      <c r="D100" s="83">
        <f t="shared" si="11"/>
        <v>1.1500210567235714</v>
      </c>
      <c r="E100" s="83">
        <f t="shared" si="15"/>
        <v>5.0940182629861441</v>
      </c>
      <c r="F100" s="84">
        <f t="shared" si="14"/>
        <v>5.6094936831186937</v>
      </c>
      <c r="G100" s="80">
        <f>C$387/C100</f>
        <v>3.660173573212945</v>
      </c>
    </row>
    <row r="101" spans="1:7" ht="16.5" hidden="1" thickBot="1" x14ac:dyDescent="0.3">
      <c r="A101" s="75">
        <v>2001</v>
      </c>
      <c r="B101" s="82" t="s">
        <v>78</v>
      </c>
      <c r="C101" s="77">
        <v>197.3407</v>
      </c>
      <c r="D101" s="83">
        <f t="shared" si="11"/>
        <v>0.32001228196463227</v>
      </c>
      <c r="E101" s="83">
        <f t="shared" si="15"/>
        <v>5.4303320290378432</v>
      </c>
      <c r="F101" s="84">
        <f t="shared" si="14"/>
        <v>5.662174585590396</v>
      </c>
      <c r="G101" s="80">
        <f>C$387/C101</f>
        <v>3.6484979317242021</v>
      </c>
    </row>
    <row r="102" spans="1:7" ht="16.5" hidden="1" thickBot="1" x14ac:dyDescent="0.3">
      <c r="A102" s="75">
        <v>2001</v>
      </c>
      <c r="B102" s="82" t="s">
        <v>79</v>
      </c>
      <c r="C102" s="77">
        <v>198.80099999999999</v>
      </c>
      <c r="D102" s="83">
        <f t="shared" si="11"/>
        <v>0.73998926729255121</v>
      </c>
      <c r="E102" s="83">
        <f t="shared" si="15"/>
        <v>6.2105051705236169</v>
      </c>
      <c r="F102" s="84">
        <f t="shared" si="14"/>
        <v>6.4334066442379489</v>
      </c>
      <c r="G102" s="80">
        <f>C$387/C102</f>
        <v>3.6216977570284166</v>
      </c>
    </row>
    <row r="103" spans="1:7" ht="16.5" hidden="1" thickBot="1" x14ac:dyDescent="0.3">
      <c r="A103" s="75">
        <v>2001</v>
      </c>
      <c r="B103" s="82" t="s">
        <v>80</v>
      </c>
      <c r="C103" s="77">
        <v>200.0137</v>
      </c>
      <c r="D103" s="83">
        <f t="shared" si="11"/>
        <v>0.61000699191655627</v>
      </c>
      <c r="E103" s="83">
        <f t="shared" si="15"/>
        <v>6.8583966782137074</v>
      </c>
      <c r="F103" s="84">
        <f t="shared" si="14"/>
        <v>7.1362304556727318</v>
      </c>
      <c r="G103" s="80">
        <f>C$387/C103</f>
        <v>3.5997390968468972</v>
      </c>
    </row>
    <row r="104" spans="1:7" ht="16.5" hidden="1" thickBot="1" x14ac:dyDescent="0.3">
      <c r="A104" s="75">
        <v>2001</v>
      </c>
      <c r="B104" s="82" t="s">
        <v>64</v>
      </c>
      <c r="C104" s="77">
        <v>200.5137</v>
      </c>
      <c r="D104" s="83">
        <f t="shared" si="11"/>
        <v>0.24998287617297166</v>
      </c>
      <c r="E104" s="83">
        <f t="shared" si="15"/>
        <v>7.1255243716622285</v>
      </c>
      <c r="F104" s="84">
        <f t="shared" si="14"/>
        <v>7.1255243716622285</v>
      </c>
      <c r="G104" s="80">
        <f>C$387/C104</f>
        <v>3.5907628047111304</v>
      </c>
    </row>
    <row r="105" spans="1:7" ht="16.5" hidden="1" thickBot="1" x14ac:dyDescent="0.3">
      <c r="A105" s="75"/>
      <c r="B105" s="82"/>
      <c r="C105" s="77"/>
      <c r="D105" s="83"/>
      <c r="E105" s="83"/>
      <c r="F105" s="84"/>
      <c r="G105" s="80"/>
    </row>
    <row r="106" spans="1:7" ht="16.5" hidden="1" thickBot="1" x14ac:dyDescent="0.3">
      <c r="A106" s="75">
        <v>2002</v>
      </c>
      <c r="B106" s="82" t="s">
        <v>81</v>
      </c>
      <c r="C106" s="77">
        <v>201.6566</v>
      </c>
      <c r="D106" s="83">
        <f>100*(C106/C104-1)</f>
        <v>0.56998599098216918</v>
      </c>
      <c r="E106" s="83">
        <f>100*(C106/C$104-1)</f>
        <v>0.56998599098216918</v>
      </c>
      <c r="F106" s="84">
        <f t="shared" ref="F106:F117" si="16">100*(C106/C93-1)</f>
        <v>7.3282604449359967</v>
      </c>
      <c r="G106" s="80">
        <f>C$387/C106</f>
        <v>3.5704119567373755</v>
      </c>
    </row>
    <row r="107" spans="1:7" ht="16.5" hidden="1" thickBot="1" x14ac:dyDescent="0.3">
      <c r="A107" s="75">
        <v>2002</v>
      </c>
      <c r="B107" s="82" t="s">
        <v>82</v>
      </c>
      <c r="C107" s="77">
        <v>202.18090000000001</v>
      </c>
      <c r="D107" s="83">
        <f t="shared" si="11"/>
        <v>0.25999644940954969</v>
      </c>
      <c r="E107" s="83">
        <f t="shared" ref="E107:E116" si="17">100*(C107/C$104-1)</f>
        <v>0.83146438373038478</v>
      </c>
      <c r="F107" s="84">
        <f t="shared" si="16"/>
        <v>7.4891158317928808</v>
      </c>
      <c r="G107" s="80">
        <f>C$387/C107</f>
        <v>3.5611530851579265</v>
      </c>
    </row>
    <row r="108" spans="1:7" ht="16.5" hidden="1" thickBot="1" x14ac:dyDescent="0.3">
      <c r="A108" s="75">
        <v>2002</v>
      </c>
      <c r="B108" s="82" t="s">
        <v>83</v>
      </c>
      <c r="C108" s="77">
        <v>202.32249999999999</v>
      </c>
      <c r="D108" s="83">
        <f t="shared" si="11"/>
        <v>7.0036289283503805E-2</v>
      </c>
      <c r="E108" s="83">
        <f t="shared" si="17"/>
        <v>0.9020829998149793</v>
      </c>
      <c r="F108" s="84">
        <f t="shared" si="16"/>
        <v>7.018591552871789</v>
      </c>
      <c r="G108" s="80">
        <f>C$387/C108</f>
        <v>3.5586607312335814</v>
      </c>
    </row>
    <row r="109" spans="1:7" ht="16.5" hidden="1" thickBot="1" x14ac:dyDescent="0.3">
      <c r="A109" s="75">
        <v>2002</v>
      </c>
      <c r="B109" s="82" t="s">
        <v>84</v>
      </c>
      <c r="C109" s="77">
        <v>202.44390000000001</v>
      </c>
      <c r="D109" s="83">
        <f t="shared" si="11"/>
        <v>6.0003212692616437E-2</v>
      </c>
      <c r="E109" s="83">
        <f t="shared" si="17"/>
        <v>0.96262749128863678</v>
      </c>
      <c r="F109" s="84">
        <f t="shared" si="16"/>
        <v>6.433520550516314</v>
      </c>
      <c r="G109" s="80">
        <f>C$387/C109</f>
        <v>3.5565267009527388</v>
      </c>
    </row>
    <row r="110" spans="1:7" ht="16.5" hidden="1" thickBot="1" x14ac:dyDescent="0.3">
      <c r="A110" s="75">
        <v>2002</v>
      </c>
      <c r="B110" s="82" t="s">
        <v>85</v>
      </c>
      <c r="C110" s="77">
        <v>202.56530000000001</v>
      </c>
      <c r="D110" s="83">
        <f t="shared" si="11"/>
        <v>5.996723042778207E-2</v>
      </c>
      <c r="E110" s="83">
        <f t="shared" si="17"/>
        <v>1.0231719827622721</v>
      </c>
      <c r="F110" s="84">
        <f t="shared" si="16"/>
        <v>6.3166364177437595</v>
      </c>
      <c r="G110" s="80">
        <f>C$387/C110</f>
        <v>3.5543952285757046</v>
      </c>
    </row>
    <row r="111" spans="1:7" ht="16.5" hidden="1" thickBot="1" x14ac:dyDescent="0.3">
      <c r="A111" s="75">
        <v>2002</v>
      </c>
      <c r="B111" s="82" t="s">
        <v>75</v>
      </c>
      <c r="C111" s="77">
        <v>203.19329999999999</v>
      </c>
      <c r="D111" s="83">
        <f t="shared" si="11"/>
        <v>0.3100234837852156</v>
      </c>
      <c r="E111" s="83">
        <f t="shared" si="17"/>
        <v>1.3363675399735708</v>
      </c>
      <c r="F111" s="84">
        <f t="shared" si="16"/>
        <v>5.7473938288740589</v>
      </c>
      <c r="G111" s="80">
        <f>C$387/C111</f>
        <v>3.5434098259883875</v>
      </c>
    </row>
    <row r="112" spans="1:7" ht="16.5" hidden="1" thickBot="1" x14ac:dyDescent="0.3">
      <c r="A112" s="75">
        <v>2002</v>
      </c>
      <c r="B112" s="82" t="s">
        <v>76</v>
      </c>
      <c r="C112" s="77">
        <v>204.5547</v>
      </c>
      <c r="D112" s="83">
        <f t="shared" si="11"/>
        <v>0.67000240657542065</v>
      </c>
      <c r="E112" s="83">
        <f t="shared" si="17"/>
        <v>2.0153236412274955</v>
      </c>
      <c r="F112" s="84">
        <f t="shared" si="16"/>
        <v>5.1831934950921532</v>
      </c>
      <c r="G112" s="80">
        <f>C$387/C112</f>
        <v>3.5198269010441035</v>
      </c>
    </row>
    <row r="113" spans="1:7" ht="16.5" hidden="1" thickBot="1" x14ac:dyDescent="0.3">
      <c r="A113" s="75">
        <v>2002</v>
      </c>
      <c r="B113" s="82" t="s">
        <v>77</v>
      </c>
      <c r="C113" s="77">
        <v>206.6207</v>
      </c>
      <c r="D113" s="83">
        <f t="shared" si="11"/>
        <v>1.0099987924990339</v>
      </c>
      <c r="E113" s="83">
        <f t="shared" si="17"/>
        <v>3.0456771781678826</v>
      </c>
      <c r="F113" s="84">
        <f t="shared" si="16"/>
        <v>5.0375880986949451</v>
      </c>
      <c r="G113" s="80">
        <f>C$387/C113</f>
        <v>3.4846321583220181</v>
      </c>
    </row>
    <row r="114" spans="1:7" ht="16.5" hidden="1" thickBot="1" x14ac:dyDescent="0.3">
      <c r="A114" s="75">
        <v>2002</v>
      </c>
      <c r="B114" s="82" t="s">
        <v>78</v>
      </c>
      <c r="C114" s="77">
        <v>208.191</v>
      </c>
      <c r="D114" s="83">
        <f t="shared" si="11"/>
        <v>0.75999161749040756</v>
      </c>
      <c r="E114" s="83">
        <f t="shared" si="17"/>
        <v>3.8288156869081824</v>
      </c>
      <c r="F114" s="84">
        <f t="shared" si="16"/>
        <v>5.4982575819382484</v>
      </c>
      <c r="G114" s="80">
        <f>C$387/C114</f>
        <v>3.4583489958499944</v>
      </c>
    </row>
    <row r="115" spans="1:7" ht="16.5" hidden="1" thickBot="1" x14ac:dyDescent="0.3">
      <c r="A115" s="75">
        <v>2002</v>
      </c>
      <c r="B115" s="82" t="s">
        <v>79</v>
      </c>
      <c r="C115" s="77">
        <v>210.85579999999999</v>
      </c>
      <c r="D115" s="83">
        <f t="shared" si="11"/>
        <v>1.2799784812984161</v>
      </c>
      <c r="E115" s="83">
        <f t="shared" si="17"/>
        <v>5.1578021850875899</v>
      </c>
      <c r="F115" s="84">
        <f t="shared" si="16"/>
        <v>6.0637521944054695</v>
      </c>
      <c r="G115" s="80">
        <f>C$387/C115</f>
        <v>3.4146423090804534</v>
      </c>
    </row>
    <row r="116" spans="1:7" ht="16.5" hidden="1" thickBot="1" x14ac:dyDescent="0.3">
      <c r="A116" s="75">
        <v>2002</v>
      </c>
      <c r="B116" s="82" t="s">
        <v>80</v>
      </c>
      <c r="C116" s="77">
        <v>216.4435</v>
      </c>
      <c r="D116" s="83">
        <f t="shared" si="11"/>
        <v>2.6500101016903477</v>
      </c>
      <c r="E116" s="83">
        <f t="shared" si="17"/>
        <v>7.9444945657079824</v>
      </c>
      <c r="F116" s="84">
        <f t="shared" si="16"/>
        <v>8.2143373178937154</v>
      </c>
      <c r="G116" s="80">
        <f>C$387/C116</f>
        <v>3.3264899883572676</v>
      </c>
    </row>
    <row r="117" spans="1:7" ht="16.5" hidden="1" thickBot="1" x14ac:dyDescent="0.3">
      <c r="A117" s="75">
        <v>2002</v>
      </c>
      <c r="B117" s="82" t="s">
        <v>64</v>
      </c>
      <c r="C117" s="77">
        <v>220.40440000000001</v>
      </c>
      <c r="D117" s="83">
        <f>100*(C117/C116-1)</f>
        <v>1.829992584669915</v>
      </c>
      <c r="E117" s="83">
        <f>100*(C117/C$104-1)</f>
        <v>9.9198708118198411</v>
      </c>
      <c r="F117" s="84">
        <f t="shared" si="16"/>
        <v>9.9198708118198411</v>
      </c>
      <c r="G117" s="80">
        <f>C$387/C117</f>
        <v>3.2667094477016168</v>
      </c>
    </row>
    <row r="118" spans="1:7" ht="16.5" hidden="1" thickBot="1" x14ac:dyDescent="0.3">
      <c r="A118" s="75"/>
      <c r="B118" s="82"/>
      <c r="C118" s="77"/>
      <c r="D118" s="83"/>
      <c r="E118" s="83"/>
      <c r="F118" s="84"/>
      <c r="G118" s="80"/>
    </row>
    <row r="119" spans="1:7" ht="16.5" hidden="1" thickBot="1" x14ac:dyDescent="0.3">
      <c r="A119" s="75">
        <v>2003</v>
      </c>
      <c r="B119" s="82" t="s">
        <v>13</v>
      </c>
      <c r="C119" s="77">
        <v>225.2313</v>
      </c>
      <c r="D119" s="83">
        <f>100*(C119/C117-1)</f>
        <v>2.1900197999676907</v>
      </c>
      <c r="E119" s="83">
        <f t="shared" ref="E119:E130" si="18">100*(C119/C$117-1)</f>
        <v>2.1900197999676907</v>
      </c>
      <c r="F119" s="84">
        <f t="shared" ref="F119:F130" si="19">100*(C119/C106-1)</f>
        <v>11.690517444011261</v>
      </c>
      <c r="G119" s="80">
        <f>C$387/C119</f>
        <v>3.1967010615087967</v>
      </c>
    </row>
    <row r="120" spans="1:7" ht="16.5" hidden="1" thickBot="1" x14ac:dyDescent="0.3">
      <c r="A120" s="75">
        <v>2003</v>
      </c>
      <c r="B120" s="82" t="s">
        <v>14</v>
      </c>
      <c r="C120" s="77">
        <v>228.85749999999999</v>
      </c>
      <c r="D120" s="83">
        <f t="shared" ref="D120:D126" si="20">100*(C120/C119-1)</f>
        <v>1.6099893753665606</v>
      </c>
      <c r="E120" s="83">
        <f t="shared" si="18"/>
        <v>3.8352682614321676</v>
      </c>
      <c r="F120" s="84">
        <f t="shared" si="19"/>
        <v>13.194421431500203</v>
      </c>
      <c r="G120" s="80">
        <f>C$387/C120</f>
        <v>3.1460499909114024</v>
      </c>
    </row>
    <row r="121" spans="1:7" ht="16.5" hidden="1" thickBot="1" x14ac:dyDescent="0.3">
      <c r="A121" s="75">
        <v>2003</v>
      </c>
      <c r="B121" s="82" t="s">
        <v>15</v>
      </c>
      <c r="C121" s="77">
        <v>230.39089999999999</v>
      </c>
      <c r="D121" s="83">
        <f t="shared" si="20"/>
        <v>0.67002392318364912</v>
      </c>
      <c r="E121" s="83">
        <f t="shared" si="18"/>
        <v>4.5309893994856631</v>
      </c>
      <c r="F121" s="84">
        <f t="shared" si="19"/>
        <v>13.873098642019555</v>
      </c>
      <c r="G121" s="80">
        <f>C$387/C121</f>
        <v>3.1251109995881183</v>
      </c>
    </row>
    <row r="122" spans="1:7" ht="16.5" hidden="1" thickBot="1" x14ac:dyDescent="0.3">
      <c r="A122" s="75">
        <v>2003</v>
      </c>
      <c r="B122" s="82" t="s">
        <v>16</v>
      </c>
      <c r="C122" s="77">
        <v>231.70410000000001</v>
      </c>
      <c r="D122" s="83">
        <f t="shared" si="20"/>
        <v>0.56998779031638414</v>
      </c>
      <c r="E122" s="83">
        <f t="shared" si="18"/>
        <v>5.1268032761596416</v>
      </c>
      <c r="F122" s="84">
        <f t="shared" si="19"/>
        <v>14.453485632315921</v>
      </c>
      <c r="G122" s="80">
        <f>C$387/C122</f>
        <v>3.1073992035316</v>
      </c>
    </row>
    <row r="123" spans="1:7" ht="16.5" hidden="1" thickBot="1" x14ac:dyDescent="0.3">
      <c r="A123" s="75">
        <v>2003</v>
      </c>
      <c r="B123" s="82" t="s">
        <v>17</v>
      </c>
      <c r="C123" s="77">
        <v>232.42240000000001</v>
      </c>
      <c r="D123" s="83">
        <f t="shared" si="20"/>
        <v>0.31000746210361196</v>
      </c>
      <c r="E123" s="83">
        <f t="shared" si="18"/>
        <v>5.4527042109867141</v>
      </c>
      <c r="F123" s="84">
        <f t="shared" si="19"/>
        <v>14.739493881726041</v>
      </c>
      <c r="G123" s="80">
        <f>C$387/C123</f>
        <v>3.0977958053742074</v>
      </c>
    </row>
    <row r="124" spans="1:7" ht="16.5" hidden="1" thickBot="1" x14ac:dyDescent="0.3">
      <c r="A124" s="75">
        <v>2003</v>
      </c>
      <c r="B124" s="82" t="s">
        <v>18</v>
      </c>
      <c r="C124" s="77">
        <v>232.0505</v>
      </c>
      <c r="D124" s="83">
        <f t="shared" si="20"/>
        <v>-0.16001039486728263</v>
      </c>
      <c r="E124" s="83">
        <f t="shared" si="18"/>
        <v>5.2839689225804953</v>
      </c>
      <c r="F124" s="84">
        <f t="shared" si="19"/>
        <v>14.201846222291792</v>
      </c>
      <c r="G124" s="80">
        <f>C$387/C124</f>
        <v>3.1027605447736861</v>
      </c>
    </row>
    <row r="125" spans="1:7" ht="16.5" hidden="1" thickBot="1" x14ac:dyDescent="0.3">
      <c r="A125" s="75">
        <v>2003</v>
      </c>
      <c r="B125" s="82" t="s">
        <v>19</v>
      </c>
      <c r="C125" s="77">
        <v>231.86490000000001</v>
      </c>
      <c r="D125" s="83">
        <f t="shared" si="20"/>
        <v>-7.9982589996574482E-2</v>
      </c>
      <c r="E125" s="83">
        <f t="shared" si="18"/>
        <v>5.1997600773850294</v>
      </c>
      <c r="F125" s="84">
        <f t="shared" si="19"/>
        <v>13.351049865879405</v>
      </c>
      <c r="G125" s="80">
        <f>C$387/C125</f>
        <v>3.1052441995101727</v>
      </c>
    </row>
    <row r="126" spans="1:7" ht="16.5" hidden="1" thickBot="1" x14ac:dyDescent="0.3">
      <c r="A126" s="75">
        <v>2003</v>
      </c>
      <c r="B126" s="82" t="s">
        <v>20</v>
      </c>
      <c r="C126" s="77">
        <v>233.32560000000001</v>
      </c>
      <c r="D126" s="83">
        <f t="shared" si="20"/>
        <v>0.62997892307115055</v>
      </c>
      <c r="E126" s="83">
        <f t="shared" si="18"/>
        <v>5.8624963929939655</v>
      </c>
      <c r="F126" s="84">
        <f t="shared" si="19"/>
        <v>12.924600487753658</v>
      </c>
      <c r="G126" s="80">
        <f>C$387/C126</f>
        <v>3.0858042829205461</v>
      </c>
    </row>
    <row r="127" spans="1:7" ht="16.5" hidden="1" thickBot="1" x14ac:dyDescent="0.3">
      <c r="A127" s="75">
        <v>2003</v>
      </c>
      <c r="B127" s="82" t="s">
        <v>21</v>
      </c>
      <c r="C127" s="77">
        <v>235.28550000000001</v>
      </c>
      <c r="D127" s="83">
        <f>100*(C127/C126-1)</f>
        <v>0.83998498235942076</v>
      </c>
      <c r="E127" s="83">
        <f t="shared" si="18"/>
        <v>6.7517254646459079</v>
      </c>
      <c r="F127" s="84">
        <f t="shared" si="19"/>
        <v>13.014251336513105</v>
      </c>
      <c r="G127" s="80">
        <f>C$387/C127</f>
        <v>3.0600999032877341</v>
      </c>
    </row>
    <row r="128" spans="1:7" ht="16.5" hidden="1" thickBot="1" x14ac:dyDescent="0.3">
      <c r="A128" s="75">
        <v>2003</v>
      </c>
      <c r="B128" s="82" t="s">
        <v>22</v>
      </c>
      <c r="C128" s="77">
        <v>236.76779999999999</v>
      </c>
      <c r="D128" s="83">
        <f>100*(C128/C127-1)</f>
        <v>0.63000057377100571</v>
      </c>
      <c r="E128" s="83">
        <f t="shared" si="18"/>
        <v>7.4242619475836102</v>
      </c>
      <c r="F128" s="84">
        <f t="shared" si="19"/>
        <v>12.28896715195884</v>
      </c>
      <c r="G128" s="80">
        <f>C$387/C128</f>
        <v>3.0409419515449576</v>
      </c>
    </row>
    <row r="129" spans="1:7" ht="16.5" hidden="1" thickBot="1" x14ac:dyDescent="0.3">
      <c r="A129" s="75">
        <v>2003</v>
      </c>
      <c r="B129" s="82" t="s">
        <v>23</v>
      </c>
      <c r="C129" s="77">
        <v>237.40710000000001</v>
      </c>
      <c r="D129" s="83">
        <f>100*(C129/C128-1)</f>
        <v>0.27001137823641219</v>
      </c>
      <c r="E129" s="83">
        <f t="shared" si="18"/>
        <v>7.714319677828585</v>
      </c>
      <c r="F129" s="84">
        <f t="shared" si="19"/>
        <v>9.6854837405604854</v>
      </c>
      <c r="G129" s="80">
        <f>C$387/C129</f>
        <v>3.0327531729042905</v>
      </c>
    </row>
    <row r="130" spans="1:7" ht="16.5" hidden="1" thickBot="1" x14ac:dyDescent="0.3">
      <c r="A130" s="75">
        <v>2003</v>
      </c>
      <c r="B130" s="82" t="s">
        <v>12</v>
      </c>
      <c r="C130" s="77">
        <v>238.4042</v>
      </c>
      <c r="D130" s="83">
        <f>100*(C130/C129-1)</f>
        <v>0.41999586364518393</v>
      </c>
      <c r="E130" s="83">
        <f t="shared" si="18"/>
        <v>8.166715365028999</v>
      </c>
      <c r="F130" s="84">
        <f t="shared" si="19"/>
        <v>8.166715365028999</v>
      </c>
      <c r="G130" s="80">
        <f>C$387/C130</f>
        <v>3.0200690079914958</v>
      </c>
    </row>
    <row r="131" spans="1:7" ht="16.5" hidden="1" thickBot="1" x14ac:dyDescent="0.3">
      <c r="A131" s="75"/>
      <c r="B131" s="82"/>
      <c r="C131" s="77"/>
      <c r="D131" s="83"/>
      <c r="E131" s="83"/>
      <c r="F131" s="84"/>
      <c r="G131" s="80"/>
    </row>
    <row r="132" spans="1:7" ht="16.5" hidden="1" thickBot="1" x14ac:dyDescent="0.3">
      <c r="A132" s="75">
        <v>2004</v>
      </c>
      <c r="B132" s="82" t="s">
        <v>13</v>
      </c>
      <c r="C132" s="77">
        <v>239.9538</v>
      </c>
      <c r="D132" s="83">
        <f>100*(C132/C130-1)</f>
        <v>0.64998854885944812</v>
      </c>
      <c r="E132" s="83">
        <f t="shared" ref="E132:E143" si="21">100*(C132/C$130-1)</f>
        <v>0.64998854885944812</v>
      </c>
      <c r="F132" s="84">
        <f t="shared" ref="F132:F143" si="22">100*(C132/C119-1)</f>
        <v>6.5366136944554398</v>
      </c>
      <c r="G132" s="80">
        <f>C$387/C132</f>
        <v>3.0005656747049065</v>
      </c>
    </row>
    <row r="133" spans="1:7" ht="16.5" hidden="1" thickBot="1" x14ac:dyDescent="0.3">
      <c r="A133" s="75">
        <v>2004</v>
      </c>
      <c r="B133" s="82" t="s">
        <v>14</v>
      </c>
      <c r="C133" s="77">
        <v>240.40979999999999</v>
      </c>
      <c r="D133" s="83">
        <f t="shared" ref="D133:D169" si="23">100*(C133/C132-1)</f>
        <v>0.19003658204204132</v>
      </c>
      <c r="E133" s="83">
        <f t="shared" si="21"/>
        <v>0.84126034692342255</v>
      </c>
      <c r="F133" s="84">
        <f t="shared" si="22"/>
        <v>5.0478135957965131</v>
      </c>
      <c r="G133" s="80">
        <f>C$387/C133</f>
        <v>2.9948743179146868</v>
      </c>
    </row>
    <row r="134" spans="1:7" ht="16.5" hidden="1" thickBot="1" x14ac:dyDescent="0.3">
      <c r="A134" s="75">
        <v>2004</v>
      </c>
      <c r="B134" s="82" t="s">
        <v>15</v>
      </c>
      <c r="C134" s="77">
        <v>240.69820000000001</v>
      </c>
      <c r="D134" s="83">
        <f t="shared" si="23"/>
        <v>0.11996183183882181</v>
      </c>
      <c r="E134" s="83">
        <f t="shared" si="21"/>
        <v>0.96223137008493165</v>
      </c>
      <c r="F134" s="84">
        <f t="shared" si="22"/>
        <v>4.4738312146877401</v>
      </c>
      <c r="G134" s="80">
        <f>C$387/C134</f>
        <v>2.9912859165336765</v>
      </c>
    </row>
    <row r="135" spans="1:7" ht="16.5" hidden="1" thickBot="1" x14ac:dyDescent="0.3">
      <c r="A135" s="75">
        <v>2004</v>
      </c>
      <c r="B135" s="82" t="s">
        <v>16</v>
      </c>
      <c r="C135" s="77">
        <v>241.3963</v>
      </c>
      <c r="D135" s="83">
        <f t="shared" si="23"/>
        <v>0.29003125075302005</v>
      </c>
      <c r="E135" s="83">
        <f t="shared" si="21"/>
        <v>1.2550533925157259</v>
      </c>
      <c r="F135" s="84">
        <f t="shared" si="22"/>
        <v>4.1830075514416754</v>
      </c>
      <c r="G135" s="80">
        <f>C$387/C135</f>
        <v>2.982635341946029</v>
      </c>
    </row>
    <row r="136" spans="1:7" ht="16.5" hidden="1" thickBot="1" x14ac:dyDescent="0.3">
      <c r="A136" s="75">
        <v>2004</v>
      </c>
      <c r="B136" s="82" t="s">
        <v>17</v>
      </c>
      <c r="C136" s="77">
        <v>242.7722</v>
      </c>
      <c r="D136" s="83">
        <f t="shared" si="23"/>
        <v>0.56997559614624382</v>
      </c>
      <c r="E136" s="83">
        <f t="shared" si="21"/>
        <v>1.8321824867179259</v>
      </c>
      <c r="F136" s="84">
        <f t="shared" si="22"/>
        <v>4.4530131347064517</v>
      </c>
      <c r="G136" s="80">
        <f>C$387/C136</f>
        <v>2.9657313967373784</v>
      </c>
    </row>
    <row r="137" spans="1:7" ht="16.5" hidden="1" thickBot="1" x14ac:dyDescent="0.3">
      <c r="A137" s="75">
        <v>2004</v>
      </c>
      <c r="B137" s="82" t="s">
        <v>18</v>
      </c>
      <c r="C137" s="77">
        <v>245.00569999999999</v>
      </c>
      <c r="D137" s="83">
        <f t="shared" si="23"/>
        <v>0.91999825350679298</v>
      </c>
      <c r="E137" s="83">
        <f t="shared" si="21"/>
        <v>2.7690367871035848</v>
      </c>
      <c r="F137" s="84">
        <f t="shared" si="22"/>
        <v>5.5829226827780909</v>
      </c>
      <c r="G137" s="80">
        <f>C$387/C137</f>
        <v>2.9386954499222111</v>
      </c>
    </row>
    <row r="138" spans="1:7" ht="16.5" hidden="1" thickBot="1" x14ac:dyDescent="0.3">
      <c r="A138" s="75">
        <v>2004</v>
      </c>
      <c r="B138" s="82" t="s">
        <v>19</v>
      </c>
      <c r="C138" s="77">
        <v>246.4513</v>
      </c>
      <c r="D138" s="83">
        <f t="shared" si="23"/>
        <v>0.59002708916569002</v>
      </c>
      <c r="E138" s="83">
        <f t="shared" si="21"/>
        <v>3.3754019434221405</v>
      </c>
      <c r="F138" s="84">
        <f t="shared" si="22"/>
        <v>6.2909047466865431</v>
      </c>
      <c r="G138" s="80">
        <f>C$387/C138</f>
        <v>2.9214580559932375</v>
      </c>
    </row>
    <row r="139" spans="1:7" ht="16.5" hidden="1" thickBot="1" x14ac:dyDescent="0.3">
      <c r="A139" s="75">
        <v>2004</v>
      </c>
      <c r="B139" s="82" t="s">
        <v>20</v>
      </c>
      <c r="C139" s="77">
        <v>248.89109999999999</v>
      </c>
      <c r="D139" s="83">
        <f t="shared" si="23"/>
        <v>0.98997246109069348</v>
      </c>
      <c r="E139" s="83">
        <f t="shared" si="21"/>
        <v>4.3987899542038189</v>
      </c>
      <c r="F139" s="84">
        <f t="shared" si="22"/>
        <v>6.6711496723891317</v>
      </c>
      <c r="G139" s="80">
        <f>C$387/C139</f>
        <v>2.8928199352849751</v>
      </c>
    </row>
    <row r="140" spans="1:7" ht="16.5" hidden="1" thickBot="1" x14ac:dyDescent="0.3">
      <c r="A140" s="75">
        <v>2004</v>
      </c>
      <c r="B140" s="82" t="s">
        <v>21</v>
      </c>
      <c r="C140" s="77">
        <v>249.41380000000001</v>
      </c>
      <c r="D140" s="83">
        <f t="shared" si="23"/>
        <v>0.2100115271297387</v>
      </c>
      <c r="E140" s="83">
        <f t="shared" si="21"/>
        <v>4.618039447291622</v>
      </c>
      <c r="F140" s="84">
        <f t="shared" si="22"/>
        <v>6.0047474238744014</v>
      </c>
      <c r="G140" s="80">
        <f>C$387/C140</f>
        <v>2.8867574119595876</v>
      </c>
    </row>
    <row r="141" spans="1:7" ht="16.5" hidden="1" thickBot="1" x14ac:dyDescent="0.3">
      <c r="A141" s="75">
        <v>2004</v>
      </c>
      <c r="B141" s="82" t="s">
        <v>22</v>
      </c>
      <c r="C141" s="77">
        <v>250.96019999999999</v>
      </c>
      <c r="D141" s="83">
        <f t="shared" si="23"/>
        <v>0.62001380837788389</v>
      </c>
      <c r="E141" s="83">
        <f t="shared" si="21"/>
        <v>5.2666857379190413</v>
      </c>
      <c r="F141" s="84">
        <f t="shared" si="22"/>
        <v>5.9942272555643106</v>
      </c>
      <c r="G141" s="80">
        <f>C$387/C141</f>
        <v>2.8689694054874288</v>
      </c>
    </row>
    <row r="142" spans="1:7" ht="16.5" hidden="1" thickBot="1" x14ac:dyDescent="0.3">
      <c r="A142" s="75">
        <v>2004</v>
      </c>
      <c r="B142" s="82" t="s">
        <v>23</v>
      </c>
      <c r="C142" s="77">
        <v>252.3656</v>
      </c>
      <c r="D142" s="83">
        <f t="shared" si="23"/>
        <v>0.56000911698350642</v>
      </c>
      <c r="E142" s="83">
        <f t="shared" si="21"/>
        <v>5.856188775197757</v>
      </c>
      <c r="F142" s="84">
        <f t="shared" si="22"/>
        <v>6.3007803894660208</v>
      </c>
      <c r="G142" s="80">
        <f>C$387/C142</f>
        <v>2.8529923880077406</v>
      </c>
    </row>
    <row r="143" spans="1:7" ht="16.5" hidden="1" thickBot="1" x14ac:dyDescent="0.3">
      <c r="A143" s="75">
        <v>2004</v>
      </c>
      <c r="B143" s="82" t="s">
        <v>12</v>
      </c>
      <c r="C143" s="77">
        <v>254.0564</v>
      </c>
      <c r="D143" s="83">
        <f t="shared" si="23"/>
        <v>0.66998037767429519</v>
      </c>
      <c r="E143" s="83">
        <f t="shared" si="21"/>
        <v>6.5654044685454327</v>
      </c>
      <c r="F143" s="84">
        <f t="shared" si="22"/>
        <v>6.5654044685454327</v>
      </c>
      <c r="G143" s="80">
        <f>C$387/C143</f>
        <v>2.8340051098693291</v>
      </c>
    </row>
    <row r="144" spans="1:7" ht="16.5" hidden="1" thickBot="1" x14ac:dyDescent="0.3">
      <c r="A144" s="75">
        <v>2005</v>
      </c>
      <c r="B144" s="82" t="s">
        <v>13</v>
      </c>
      <c r="C144" s="77">
        <v>255.47909999999999</v>
      </c>
      <c r="D144" s="83">
        <f t="shared" si="23"/>
        <v>0.55999376516395749</v>
      </c>
      <c r="E144" s="83">
        <f t="shared" ref="E144:E150" si="24">100*(C144/C$143-1)</f>
        <v>0.55999376516395749</v>
      </c>
      <c r="F144" s="84">
        <f t="shared" ref="F144:F207" si="25">100*(C144/C132-1)</f>
        <v>6.4701204981959082</v>
      </c>
      <c r="G144" s="80">
        <f>C$387/C144</f>
        <v>2.8182232354623382</v>
      </c>
    </row>
    <row r="145" spans="1:7" ht="16.5" hidden="1" thickBot="1" x14ac:dyDescent="0.3">
      <c r="A145" s="75">
        <v>2005</v>
      </c>
      <c r="B145" s="82" t="s">
        <v>14</v>
      </c>
      <c r="C145" s="77">
        <v>256.39879999999999</v>
      </c>
      <c r="D145" s="83">
        <f t="shared" si="23"/>
        <v>0.35999030840487833</v>
      </c>
      <c r="E145" s="83">
        <f t="shared" si="24"/>
        <v>0.92199999685109724</v>
      </c>
      <c r="F145" s="84">
        <f t="shared" si="25"/>
        <v>6.6507272166109743</v>
      </c>
      <c r="G145" s="80">
        <f>C$387/C145</f>
        <v>2.8081142961472763</v>
      </c>
    </row>
    <row r="146" spans="1:7" ht="16.5" hidden="1" thickBot="1" x14ac:dyDescent="0.3">
      <c r="A146" s="75">
        <v>2005</v>
      </c>
      <c r="B146" s="82" t="s">
        <v>15</v>
      </c>
      <c r="C146" s="77">
        <v>258.42439999999999</v>
      </c>
      <c r="D146" s="83">
        <f t="shared" si="23"/>
        <v>0.79001929806223892</v>
      </c>
      <c r="E146" s="83">
        <f t="shared" si="24"/>
        <v>1.7193032728165747</v>
      </c>
      <c r="F146" s="84">
        <f t="shared" si="25"/>
        <v>7.3644921316403655</v>
      </c>
      <c r="G146" s="80">
        <f>C$387/C146</f>
        <v>2.7861035405132264</v>
      </c>
    </row>
    <row r="147" spans="1:7" ht="16.5" hidden="1" thickBot="1" x14ac:dyDescent="0.3">
      <c r="A147" s="75">
        <v>2005</v>
      </c>
      <c r="B147" s="82" t="s">
        <v>16</v>
      </c>
      <c r="C147" s="77">
        <v>260.5693</v>
      </c>
      <c r="D147" s="83">
        <f t="shared" si="23"/>
        <v>0.82999128565259817</v>
      </c>
      <c r="E147" s="83">
        <f t="shared" si="24"/>
        <v>2.5635646258074907</v>
      </c>
      <c r="F147" s="84">
        <f t="shared" si="25"/>
        <v>7.9425409585813789</v>
      </c>
      <c r="G147" s="80">
        <f>C$387/C147</f>
        <v>2.7631694746656885</v>
      </c>
    </row>
    <row r="148" spans="1:7" ht="16.5" hidden="1" thickBot="1" x14ac:dyDescent="0.3">
      <c r="A148" s="85">
        <v>2005</v>
      </c>
      <c r="B148" s="82" t="s">
        <v>17</v>
      </c>
      <c r="C148" s="77">
        <v>261.48129999999998</v>
      </c>
      <c r="D148" s="83">
        <f t="shared" si="23"/>
        <v>0.35000285912423212</v>
      </c>
      <c r="E148" s="83">
        <f t="shared" si="24"/>
        <v>2.9225400344175423</v>
      </c>
      <c r="F148" s="84">
        <f t="shared" si="25"/>
        <v>7.7064425004180759</v>
      </c>
      <c r="G148" s="80">
        <f>C$387/C148</f>
        <v>2.7535320338204157</v>
      </c>
    </row>
    <row r="149" spans="1:7" ht="16.5" hidden="1" thickBot="1" x14ac:dyDescent="0.3">
      <c r="A149" s="85">
        <v>2005</v>
      </c>
      <c r="B149" s="82" t="s">
        <v>18</v>
      </c>
      <c r="C149" s="77">
        <v>260.95830000000001</v>
      </c>
      <c r="D149" s="83">
        <f t="shared" si="23"/>
        <v>-0.2000143031260615</v>
      </c>
      <c r="E149" s="83">
        <f t="shared" si="24"/>
        <v>2.7166802332080575</v>
      </c>
      <c r="F149" s="84">
        <f t="shared" si="25"/>
        <v>6.5111138230661725</v>
      </c>
      <c r="G149" s="80">
        <f>C$387/C149</f>
        <v>2.7590505295099108</v>
      </c>
    </row>
    <row r="150" spans="1:7" ht="16.5" hidden="1" thickBot="1" x14ac:dyDescent="0.3">
      <c r="A150" s="85">
        <v>2005</v>
      </c>
      <c r="B150" s="82" t="s">
        <v>19</v>
      </c>
      <c r="C150" s="77">
        <v>261.74119999999999</v>
      </c>
      <c r="D150" s="83">
        <f t="shared" si="23"/>
        <v>0.30000961839495854</v>
      </c>
      <c r="E150" s="83">
        <f t="shared" si="24"/>
        <v>3.0248401536036917</v>
      </c>
      <c r="F150" s="84">
        <f t="shared" si="25"/>
        <v>6.2040248925446795</v>
      </c>
      <c r="G150" s="80">
        <f>C$387/C150</f>
        <v>2.7507978713133667</v>
      </c>
    </row>
    <row r="151" spans="1:7" ht="16.5" hidden="1" thickBot="1" x14ac:dyDescent="0.3">
      <c r="A151" s="85">
        <v>2005</v>
      </c>
      <c r="B151" s="82" t="s">
        <v>20</v>
      </c>
      <c r="C151" s="77">
        <v>261.21769999999998</v>
      </c>
      <c r="D151" s="83">
        <f t="shared" si="23"/>
        <v>-0.20000672419933085</v>
      </c>
      <c r="E151" s="83">
        <f>100*(C151/C$143-1)</f>
        <v>2.8187835457008648</v>
      </c>
      <c r="F151" s="84">
        <f t="shared" si="25"/>
        <v>4.9526077871004492</v>
      </c>
      <c r="G151" s="80">
        <f>C$387/C151</f>
        <v>2.7563106780092093</v>
      </c>
    </row>
    <row r="152" spans="1:7" ht="16.5" hidden="1" thickBot="1" x14ac:dyDescent="0.3">
      <c r="A152" s="85">
        <v>2005</v>
      </c>
      <c r="B152" s="82" t="s">
        <v>21</v>
      </c>
      <c r="C152" s="77">
        <v>262.36709999999999</v>
      </c>
      <c r="D152" s="83">
        <f t="shared" si="23"/>
        <v>0.44001612448161254</v>
      </c>
      <c r="E152" s="83">
        <f>100*(C152/C$143-1)</f>
        <v>3.2712027722977988</v>
      </c>
      <c r="F152" s="84">
        <f t="shared" si="25"/>
        <v>5.1934977134384663</v>
      </c>
      <c r="G152" s="80">
        <f>C$387/C152</f>
        <v>2.7442355988803713</v>
      </c>
    </row>
    <row r="153" spans="1:7" ht="16.5" hidden="1" thickBot="1" x14ac:dyDescent="0.3">
      <c r="A153" s="75">
        <v>2005</v>
      </c>
      <c r="B153" s="82" t="s">
        <v>22</v>
      </c>
      <c r="C153" s="77">
        <v>264.02</v>
      </c>
      <c r="D153" s="83">
        <f t="shared" si="23"/>
        <v>0.62999514801969081</v>
      </c>
      <c r="E153" s="83">
        <f>100*(C153/C$143-1)</f>
        <v>3.9218063390648705</v>
      </c>
      <c r="F153" s="84">
        <f t="shared" si="25"/>
        <v>5.2039327351508291</v>
      </c>
      <c r="G153" s="80">
        <f>C$387/C153</f>
        <v>2.727055282914197</v>
      </c>
    </row>
    <row r="154" spans="1:7" ht="16.5" hidden="1" thickBot="1" x14ac:dyDescent="0.3">
      <c r="A154" s="75">
        <v>2005</v>
      </c>
      <c r="B154" s="82" t="s">
        <v>25</v>
      </c>
      <c r="C154" s="77">
        <v>264.78570000000002</v>
      </c>
      <c r="D154" s="83">
        <f t="shared" si="23"/>
        <v>0.29001590788577669</v>
      </c>
      <c r="E154" s="83">
        <f>100*(C154/C$143-1)</f>
        <v>4.2231961092104031</v>
      </c>
      <c r="F154" s="84">
        <f t="shared" si="25"/>
        <v>4.9214710721271038</v>
      </c>
      <c r="G154" s="80">
        <f>C$387/C154</f>
        <v>2.7191692594993091</v>
      </c>
    </row>
    <row r="155" spans="1:7" ht="16.5" hidden="1" thickBot="1" x14ac:dyDescent="0.3">
      <c r="A155" s="75">
        <v>2005</v>
      </c>
      <c r="B155" s="82" t="s">
        <v>12</v>
      </c>
      <c r="C155" s="77">
        <v>265.55349999999999</v>
      </c>
      <c r="D155" s="83">
        <f t="shared" si="23"/>
        <v>0.28997034205395789</v>
      </c>
      <c r="E155" s="83">
        <f>100*(C155/C$143-1)</f>
        <v>4.5254124674678486</v>
      </c>
      <c r="F155" s="84">
        <f t="shared" si="25"/>
        <v>4.5254124674678486</v>
      </c>
      <c r="G155" s="80">
        <f>C$387/C155</f>
        <v>2.7113072725270286</v>
      </c>
    </row>
    <row r="156" spans="1:7" ht="16.5" hidden="1" thickBot="1" x14ac:dyDescent="0.3">
      <c r="A156" s="75">
        <v>2006</v>
      </c>
      <c r="B156" s="82" t="s">
        <v>13</v>
      </c>
      <c r="C156" s="77">
        <v>266.88130000000001</v>
      </c>
      <c r="D156" s="83">
        <f t="shared" si="23"/>
        <v>0.50001223858846533</v>
      </c>
      <c r="E156" s="83">
        <f t="shared" ref="E156:E167" si="26">100*(C156/C$155-1)</f>
        <v>0.50001223858846533</v>
      </c>
      <c r="F156" s="84">
        <f t="shared" si="25"/>
        <v>4.4630656676025726</v>
      </c>
      <c r="G156" s="80">
        <f>C$387/C156</f>
        <v>2.6978178530867698</v>
      </c>
    </row>
    <row r="157" spans="1:7" ht="16.5" hidden="1" thickBot="1" x14ac:dyDescent="0.3">
      <c r="A157" s="75">
        <v>2006</v>
      </c>
      <c r="B157" s="82" t="s">
        <v>14</v>
      </c>
      <c r="C157" s="77">
        <v>266.80119999999999</v>
      </c>
      <c r="D157" s="83">
        <f t="shared" si="23"/>
        <v>-3.0013343010548699E-2</v>
      </c>
      <c r="E157" s="83">
        <f t="shared" si="26"/>
        <v>0.46984882518965598</v>
      </c>
      <c r="F157" s="84">
        <f t="shared" si="25"/>
        <v>4.0571172719997106</v>
      </c>
      <c r="G157" s="80">
        <f>C$387/C157</f>
        <v>2.6986278015054137</v>
      </c>
    </row>
    <row r="158" spans="1:7" ht="16.5" hidden="1" thickBot="1" x14ac:dyDescent="0.3">
      <c r="A158" s="75">
        <v>2006</v>
      </c>
      <c r="B158" s="82" t="s">
        <v>15</v>
      </c>
      <c r="C158" s="77">
        <v>267.1748</v>
      </c>
      <c r="D158" s="83">
        <f t="shared" si="23"/>
        <v>0.14002935519030757</v>
      </c>
      <c r="E158" s="83">
        <f t="shared" si="26"/>
        <v>0.61053610666024216</v>
      </c>
      <c r="F158" s="84">
        <f t="shared" si="25"/>
        <v>3.3860579728539619</v>
      </c>
      <c r="G158" s="80">
        <f>C$387/C158</f>
        <v>2.694854214525495</v>
      </c>
    </row>
    <row r="159" spans="1:7" ht="16.5" hidden="1" thickBot="1" x14ac:dyDescent="0.3">
      <c r="A159" s="75">
        <v>2006</v>
      </c>
      <c r="B159" s="82" t="s">
        <v>16</v>
      </c>
      <c r="C159" s="77">
        <v>267.20150000000001</v>
      </c>
      <c r="D159" s="83">
        <f t="shared" si="23"/>
        <v>9.9934574667948084E-3</v>
      </c>
      <c r="E159" s="83">
        <f t="shared" si="26"/>
        <v>0.62059057779317861</v>
      </c>
      <c r="F159" s="84">
        <f t="shared" si="25"/>
        <v>2.545272984960234</v>
      </c>
      <c r="G159" s="80">
        <f>C$387/C159</f>
        <v>2.694584932326376</v>
      </c>
    </row>
    <row r="160" spans="1:7" ht="16.5" hidden="1" thickBot="1" x14ac:dyDescent="0.3">
      <c r="A160" s="75">
        <v>2006</v>
      </c>
      <c r="B160" s="82" t="s">
        <v>31</v>
      </c>
      <c r="C160" s="77">
        <v>266.61360000000002</v>
      </c>
      <c r="D160" s="83">
        <f t="shared" si="23"/>
        <v>-0.22002121994075807</v>
      </c>
      <c r="E160" s="83">
        <f t="shared" si="26"/>
        <v>0.39920392689234419</v>
      </c>
      <c r="F160" s="84">
        <f t="shared" si="25"/>
        <v>1.9627789826653252</v>
      </c>
      <c r="G160" s="80">
        <f>C$387/C160</f>
        <v>2.7005266640374166</v>
      </c>
    </row>
    <row r="161" spans="1:7" ht="16.5" hidden="1" thickBot="1" x14ac:dyDescent="0.3">
      <c r="A161" s="75">
        <v>2006</v>
      </c>
      <c r="B161" s="82" t="s">
        <v>32</v>
      </c>
      <c r="C161" s="77">
        <v>265.78710000000001</v>
      </c>
      <c r="D161" s="83">
        <f t="shared" si="23"/>
        <v>-0.30999918983878327</v>
      </c>
      <c r="E161" s="83">
        <f t="shared" si="26"/>
        <v>8.7967208114392292E-2</v>
      </c>
      <c r="F161" s="84">
        <f t="shared" si="25"/>
        <v>1.8504105828402562</v>
      </c>
      <c r="G161" s="80">
        <f>C$387/C161</f>
        <v>2.7089243074438385</v>
      </c>
    </row>
    <row r="162" spans="1:7" ht="16.5" hidden="1" thickBot="1" x14ac:dyDescent="0.3">
      <c r="A162" s="86">
        <v>2006</v>
      </c>
      <c r="B162" s="82" t="s">
        <v>33</v>
      </c>
      <c r="C162" s="77">
        <v>266.35320000000002</v>
      </c>
      <c r="D162" s="83">
        <f t="shared" si="23"/>
        <v>0.21299002096037967</v>
      </c>
      <c r="E162" s="83">
        <f t="shared" si="26"/>
        <v>0.30114459044976449</v>
      </c>
      <c r="F162" s="84">
        <f t="shared" si="25"/>
        <v>1.7620458682087614</v>
      </c>
      <c r="G162" s="80">
        <f>C$387/C162</f>
        <v>2.7031668318421036</v>
      </c>
    </row>
    <row r="163" spans="1:7" ht="16.5" hidden="1" thickBot="1" x14ac:dyDescent="0.3">
      <c r="A163" s="86">
        <v>2006</v>
      </c>
      <c r="B163" s="82" t="s">
        <v>34</v>
      </c>
      <c r="C163" s="77">
        <v>266.6739</v>
      </c>
      <c r="D163" s="83">
        <f t="shared" si="23"/>
        <v>0.12040403494306684</v>
      </c>
      <c r="E163" s="83">
        <f t="shared" si="26"/>
        <v>0.42191121563075473</v>
      </c>
      <c r="F163" s="84">
        <f t="shared" si="25"/>
        <v>2.0887558538338125</v>
      </c>
      <c r="G163" s="80">
        <f>C$387/C163</f>
        <v>2.6999160240091222</v>
      </c>
    </row>
    <row r="164" spans="1:7" ht="16.5" hidden="1" thickBot="1" x14ac:dyDescent="0.3">
      <c r="A164" s="75">
        <v>2006</v>
      </c>
      <c r="B164" s="82" t="s">
        <v>36</v>
      </c>
      <c r="C164" s="77">
        <v>267.33530000000002</v>
      </c>
      <c r="D164" s="83">
        <f t="shared" si="23"/>
        <v>0.24801827250435782</v>
      </c>
      <c r="E164" s="83">
        <f t="shared" si="26"/>
        <v>0.67097590504363591</v>
      </c>
      <c r="F164" s="84">
        <f t="shared" si="25"/>
        <v>1.8936063248784052</v>
      </c>
      <c r="G164" s="80">
        <f>C$387/C164</f>
        <v>2.6932363058488953</v>
      </c>
    </row>
    <row r="165" spans="1:7" ht="16.5" hidden="1" thickBot="1" x14ac:dyDescent="0.3">
      <c r="A165" s="75">
        <v>2006</v>
      </c>
      <c r="B165" s="82" t="s">
        <v>35</v>
      </c>
      <c r="C165" s="77">
        <v>268.36739999999998</v>
      </c>
      <c r="D165" s="83">
        <f t="shared" si="23"/>
        <v>0.38606947903998545</v>
      </c>
      <c r="E165" s="83">
        <f t="shared" si="26"/>
        <v>1.0596358172646925</v>
      </c>
      <c r="F165" s="84">
        <f t="shared" si="25"/>
        <v>1.6466176804787569</v>
      </c>
      <c r="G165" s="80">
        <f>C$387/C165</f>
        <v>2.6828785306822152</v>
      </c>
    </row>
    <row r="166" spans="1:7" ht="16.5" hidden="1" thickBot="1" x14ac:dyDescent="0.3">
      <c r="A166" s="75">
        <v>2006</v>
      </c>
      <c r="B166" s="82" t="s">
        <v>25</v>
      </c>
      <c r="C166" s="77">
        <v>269.48759999999999</v>
      </c>
      <c r="D166" s="83">
        <f t="shared" si="23"/>
        <v>0.41741284522636146</v>
      </c>
      <c r="E166" s="83">
        <f t="shared" si="26"/>
        <v>1.4814717185049453</v>
      </c>
      <c r="F166" s="84">
        <f t="shared" si="25"/>
        <v>1.7757378891684716</v>
      </c>
      <c r="G166" s="80">
        <f>C$387/C166</f>
        <v>2.6717264014930788</v>
      </c>
    </row>
    <row r="167" spans="1:7" ht="16.5" hidden="1" thickBot="1" x14ac:dyDescent="0.3">
      <c r="A167" s="75">
        <v>2006</v>
      </c>
      <c r="B167" s="82" t="s">
        <v>12</v>
      </c>
      <c r="C167" s="77">
        <v>272.29489999999998</v>
      </c>
      <c r="D167" s="83">
        <f t="shared" si="23"/>
        <v>1.04171768942245</v>
      </c>
      <c r="E167" s="83">
        <f t="shared" si="26"/>
        <v>2.5386221608828308</v>
      </c>
      <c r="F167" s="84">
        <f t="shared" si="25"/>
        <v>2.5386221608828308</v>
      </c>
      <c r="G167" s="80">
        <f>C$387/C167</f>
        <v>2.644181495118</v>
      </c>
    </row>
    <row r="168" spans="1:7" ht="16.5" hidden="1" thickBot="1" x14ac:dyDescent="0.3">
      <c r="A168" s="75">
        <v>2007</v>
      </c>
      <c r="B168" s="82" t="s">
        <v>27</v>
      </c>
      <c r="C168" s="77">
        <v>274.10539999999997</v>
      </c>
      <c r="D168" s="83">
        <f t="shared" si="23"/>
        <v>0.66490411682333939</v>
      </c>
      <c r="E168" s="83">
        <f t="shared" ref="E168:E179" si="27">100*(C168/C$167-1)</f>
        <v>0.66490411682333939</v>
      </c>
      <c r="F168" s="84">
        <f t="shared" si="25"/>
        <v>2.7068588170096497</v>
      </c>
      <c r="G168" s="80">
        <f>C$387/C168</f>
        <v>2.626716349969779</v>
      </c>
    </row>
    <row r="169" spans="1:7" ht="16.5" hidden="1" thickBot="1" x14ac:dyDescent="0.3">
      <c r="A169" s="75">
        <v>2007</v>
      </c>
      <c r="B169" s="82" t="s">
        <v>28</v>
      </c>
      <c r="C169" s="77">
        <v>275.0206</v>
      </c>
      <c r="D169" s="83">
        <f t="shared" si="23"/>
        <v>0.33388616203839927</v>
      </c>
      <c r="E169" s="83">
        <f t="shared" si="27"/>
        <v>1.0010103016986349</v>
      </c>
      <c r="F169" s="84">
        <f t="shared" si="25"/>
        <v>3.0807207763683175</v>
      </c>
      <c r="G169" s="80">
        <f>C$387/C169</f>
        <v>2.6179752927417299</v>
      </c>
    </row>
    <row r="170" spans="1:7" ht="16.5" hidden="1" thickBot="1" x14ac:dyDescent="0.3">
      <c r="A170" s="75">
        <v>2007</v>
      </c>
      <c r="B170" s="82" t="s">
        <v>29</v>
      </c>
      <c r="C170" s="77">
        <v>275.32889999999998</v>
      </c>
      <c r="D170" s="83">
        <f>100*(C170/C169-1)</f>
        <v>0.11210069354803398</v>
      </c>
      <c r="E170" s="83">
        <f t="shared" si="27"/>
        <v>1.1142331347373746</v>
      </c>
      <c r="F170" s="84">
        <f t="shared" si="25"/>
        <v>3.0519719674160672</v>
      </c>
      <c r="G170" s="80">
        <f>C$387/C170</f>
        <v>2.6150438104935816</v>
      </c>
    </row>
    <row r="171" spans="1:7" ht="16.5" hidden="1" thickBot="1" x14ac:dyDescent="0.3">
      <c r="A171" s="75">
        <v>2007</v>
      </c>
      <c r="B171" s="82" t="s">
        <v>30</v>
      </c>
      <c r="C171" s="77">
        <v>276.2287</v>
      </c>
      <c r="D171" s="83">
        <f>100*(C171/C170-1)</f>
        <v>0.32680913627303187</v>
      </c>
      <c r="E171" s="83">
        <f t="shared" si="27"/>
        <v>1.4446836866941037</v>
      </c>
      <c r="F171" s="84">
        <f t="shared" si="25"/>
        <v>3.3784241480680377</v>
      </c>
      <c r="G171" s="80">
        <f>C$387/C171</f>
        <v>2.6065254471928738</v>
      </c>
    </row>
    <row r="172" spans="1:7" ht="16.5" hidden="1" thickBot="1" x14ac:dyDescent="0.3">
      <c r="A172" s="75">
        <v>2007</v>
      </c>
      <c r="B172" s="82" t="s">
        <v>31</v>
      </c>
      <c r="C172" s="77">
        <v>277.2319</v>
      </c>
      <c r="D172" s="83">
        <f>100*(C172/C171-1)</f>
        <v>0.36317732371762279</v>
      </c>
      <c r="E172" s="83">
        <f t="shared" si="27"/>
        <v>1.8131077739612422</v>
      </c>
      <c r="F172" s="84">
        <f t="shared" si="25"/>
        <v>3.9826550483546219</v>
      </c>
      <c r="G172" s="80">
        <f>C$387/C172</f>
        <v>2.5970933929140414</v>
      </c>
    </row>
    <row r="173" spans="1:7" ht="16.5" hidden="1" thickBot="1" x14ac:dyDescent="0.3">
      <c r="A173" s="75">
        <v>2007</v>
      </c>
      <c r="B173" s="82" t="s">
        <v>32</v>
      </c>
      <c r="C173" s="77">
        <f t="shared" ref="C173:C236" si="28">+C172*(1+D173/100)</f>
        <v>278.75667544999999</v>
      </c>
      <c r="D173" s="83">
        <v>0.55000000000000004</v>
      </c>
      <c r="E173" s="83">
        <f t="shared" si="27"/>
        <v>2.3730798667180419</v>
      </c>
      <c r="F173" s="84">
        <f t="shared" si="25"/>
        <v>4.8796858274912536</v>
      </c>
      <c r="G173" s="80">
        <f>C$387/C173</f>
        <v>2.5828875116002403</v>
      </c>
    </row>
    <row r="174" spans="1:7" ht="16.5" hidden="1" thickBot="1" x14ac:dyDescent="0.3">
      <c r="A174" s="75">
        <v>2007</v>
      </c>
      <c r="B174" s="82" t="s">
        <v>33</v>
      </c>
      <c r="C174" s="77">
        <f t="shared" si="28"/>
        <v>279.50931847371498</v>
      </c>
      <c r="D174" s="83">
        <v>0.27</v>
      </c>
      <c r="E174" s="83">
        <f t="shared" si="27"/>
        <v>2.6494871823581789</v>
      </c>
      <c r="F174" s="84">
        <f t="shared" si="25"/>
        <v>4.9393506343137439</v>
      </c>
      <c r="G174" s="80">
        <f>C$387/C174</f>
        <v>2.5759324938667998</v>
      </c>
    </row>
    <row r="175" spans="1:7" ht="16.5" hidden="1" thickBot="1" x14ac:dyDescent="0.3">
      <c r="A175" s="75">
        <v>2007</v>
      </c>
      <c r="B175" s="82" t="s">
        <v>34</v>
      </c>
      <c r="C175" s="77">
        <f t="shared" si="28"/>
        <v>279.70497499664657</v>
      </c>
      <c r="D175" s="83">
        <v>7.0000000000000007E-2</v>
      </c>
      <c r="E175" s="83">
        <f t="shared" si="27"/>
        <v>2.7213418233858144</v>
      </c>
      <c r="F175" s="84">
        <f t="shared" si="25"/>
        <v>4.8865205768718223</v>
      </c>
      <c r="G175" s="80">
        <f>C$387/C175</f>
        <v>2.5741306024450883</v>
      </c>
    </row>
    <row r="176" spans="1:7" ht="16.5" hidden="1" thickBot="1" x14ac:dyDescent="0.3">
      <c r="A176" s="75">
        <v>2007</v>
      </c>
      <c r="B176" s="82" t="s">
        <v>36</v>
      </c>
      <c r="C176" s="77">
        <f t="shared" si="28"/>
        <v>280.3762669366385</v>
      </c>
      <c r="D176" s="83">
        <v>0.24</v>
      </c>
      <c r="E176" s="83">
        <f t="shared" si="27"/>
        <v>2.9678730437619372</v>
      </c>
      <c r="F176" s="84">
        <f t="shared" si="25"/>
        <v>4.8781312967791646</v>
      </c>
      <c r="G176" s="80">
        <f>C$387/C176</f>
        <v>2.5679674804919079</v>
      </c>
    </row>
    <row r="177" spans="1:7" ht="16.5" hidden="1" thickBot="1" x14ac:dyDescent="0.3">
      <c r="A177" s="75">
        <v>2007</v>
      </c>
      <c r="B177" s="82" t="s">
        <v>35</v>
      </c>
      <c r="C177" s="77">
        <f t="shared" si="28"/>
        <v>280.60056795018778</v>
      </c>
      <c r="D177" s="83">
        <v>0.08</v>
      </c>
      <c r="E177" s="83">
        <f t="shared" si="27"/>
        <v>3.0502473421969434</v>
      </c>
      <c r="F177" s="84">
        <f t="shared" si="25"/>
        <v>4.5583658634348989</v>
      </c>
      <c r="G177" s="80">
        <f>C$387/C177</f>
        <v>2.5659147486929541</v>
      </c>
    </row>
    <row r="178" spans="1:7" ht="16.5" hidden="1" thickBot="1" x14ac:dyDescent="0.3">
      <c r="A178" s="75">
        <v>2007</v>
      </c>
      <c r="B178" s="82" t="s">
        <v>25</v>
      </c>
      <c r="C178" s="77">
        <f t="shared" si="28"/>
        <v>281.91939061955367</v>
      </c>
      <c r="D178" s="83">
        <v>0.47</v>
      </c>
      <c r="E178" s="83">
        <f t="shared" si="27"/>
        <v>3.5345835047052576</v>
      </c>
      <c r="F178" s="84">
        <f t="shared" si="25"/>
        <v>4.6131215757436284</v>
      </c>
      <c r="G178" s="80">
        <f>C$387/C178</f>
        <v>2.5539113652761558</v>
      </c>
    </row>
    <row r="179" spans="1:7" ht="16.5" hidden="1" thickBot="1" x14ac:dyDescent="0.3">
      <c r="A179" s="75">
        <v>2007</v>
      </c>
      <c r="B179" s="82" t="s">
        <v>26</v>
      </c>
      <c r="C179" s="77">
        <f t="shared" si="28"/>
        <v>284.231129622634</v>
      </c>
      <c r="D179" s="83">
        <v>0.82</v>
      </c>
      <c r="E179" s="83">
        <f t="shared" si="27"/>
        <v>4.3835670894438516</v>
      </c>
      <c r="F179" s="84">
        <f t="shared" si="25"/>
        <v>4.3835670894438516</v>
      </c>
      <c r="G179" s="80">
        <f>C$387/C179</f>
        <v>2.5331396203889667</v>
      </c>
    </row>
    <row r="180" spans="1:7" ht="16.5" hidden="1" thickBot="1" x14ac:dyDescent="0.3">
      <c r="A180" s="75">
        <v>2008</v>
      </c>
      <c r="B180" s="82" t="s">
        <v>27</v>
      </c>
      <c r="C180" s="77">
        <f t="shared" si="28"/>
        <v>285.70913149667172</v>
      </c>
      <c r="D180" s="83">
        <v>0.52</v>
      </c>
      <c r="E180" s="83">
        <f t="shared" ref="E180:E186" si="29">100*(C180/C$179-1)</f>
        <v>0.52000000000000934</v>
      </c>
      <c r="F180" s="84">
        <f t="shared" si="25"/>
        <v>4.2333100685618463</v>
      </c>
      <c r="G180" s="80">
        <f>C$387/C180</f>
        <v>2.5200354361211366</v>
      </c>
    </row>
    <row r="181" spans="1:7" ht="16.5" hidden="1" thickBot="1" x14ac:dyDescent="0.3">
      <c r="A181" s="75">
        <v>2008</v>
      </c>
      <c r="B181" s="82" t="s">
        <v>28</v>
      </c>
      <c r="C181" s="77">
        <f t="shared" si="28"/>
        <v>286.25197884651539</v>
      </c>
      <c r="D181" s="83">
        <v>0.19</v>
      </c>
      <c r="E181" s="83">
        <f t="shared" si="29"/>
        <v>0.71098800000000129</v>
      </c>
      <c r="F181" s="84">
        <f t="shared" si="25"/>
        <v>4.0838318462381951</v>
      </c>
      <c r="G181" s="80">
        <f>C$387/C181</f>
        <v>2.5152564488682869</v>
      </c>
    </row>
    <row r="182" spans="1:7" ht="16.5" hidden="1" thickBot="1" x14ac:dyDescent="0.3">
      <c r="A182" s="75">
        <v>2008</v>
      </c>
      <c r="B182" s="82" t="s">
        <v>29</v>
      </c>
      <c r="C182" s="77">
        <f t="shared" si="28"/>
        <v>287.13935998093962</v>
      </c>
      <c r="D182" s="83">
        <v>0.31</v>
      </c>
      <c r="E182" s="83">
        <f t="shared" si="29"/>
        <v>1.0231920628000157</v>
      </c>
      <c r="F182" s="84">
        <f t="shared" si="25"/>
        <v>4.2895823798154264</v>
      </c>
      <c r="G182" s="80">
        <f>C$387/C182</f>
        <v>2.5074832507908349</v>
      </c>
    </row>
    <row r="183" spans="1:7" ht="16.5" hidden="1" thickBot="1" x14ac:dyDescent="0.3">
      <c r="A183" s="75">
        <v>2008</v>
      </c>
      <c r="B183" s="82" t="s">
        <v>30</v>
      </c>
      <c r="C183" s="77">
        <f t="shared" si="28"/>
        <v>288.6899125248367</v>
      </c>
      <c r="D183" s="83">
        <v>0.54</v>
      </c>
      <c r="E183" s="83">
        <f t="shared" si="29"/>
        <v>1.5687172999391485</v>
      </c>
      <c r="F183" s="84">
        <f t="shared" si="25"/>
        <v>4.5111939942651391</v>
      </c>
      <c r="G183" s="80">
        <f>C$387/C183</f>
        <v>2.4940155667304902</v>
      </c>
    </row>
    <row r="184" spans="1:7" ht="16.5" hidden="1" thickBot="1" x14ac:dyDescent="0.3">
      <c r="A184" s="75">
        <v>2008</v>
      </c>
      <c r="B184" s="82" t="s">
        <v>31</v>
      </c>
      <c r="C184" s="77">
        <f t="shared" si="28"/>
        <v>292.24079844889218</v>
      </c>
      <c r="D184" s="83">
        <v>1.23</v>
      </c>
      <c r="E184" s="83">
        <f t="shared" si="29"/>
        <v>2.818012522728397</v>
      </c>
      <c r="F184" s="84">
        <f t="shared" si="25"/>
        <v>5.4138425083448904</v>
      </c>
      <c r="G184" s="80">
        <f>C$387/C184</f>
        <v>2.4637119102346046</v>
      </c>
    </row>
    <row r="185" spans="1:7" ht="16.5" hidden="1" thickBot="1" x14ac:dyDescent="0.3">
      <c r="A185" s="75">
        <v>2008</v>
      </c>
      <c r="B185" s="82" t="s">
        <v>32</v>
      </c>
      <c r="C185" s="77">
        <f t="shared" si="28"/>
        <v>295.04631011400159</v>
      </c>
      <c r="D185" s="83">
        <v>0.96</v>
      </c>
      <c r="E185" s="83">
        <f t="shared" si="29"/>
        <v>3.8050654429465869</v>
      </c>
      <c r="F185" s="84">
        <f t="shared" si="25"/>
        <v>5.8436751829189504</v>
      </c>
      <c r="G185" s="80">
        <f>C$387/C185</f>
        <v>2.4402851725778567</v>
      </c>
    </row>
    <row r="186" spans="1:7" ht="16.5" hidden="1" thickBot="1" x14ac:dyDescent="0.3">
      <c r="A186" s="75">
        <v>2008</v>
      </c>
      <c r="B186" s="82" t="s">
        <v>33</v>
      </c>
      <c r="C186" s="77">
        <f t="shared" si="28"/>
        <v>296.3740185095146</v>
      </c>
      <c r="D186" s="83">
        <v>0.45</v>
      </c>
      <c r="E186" s="83">
        <f t="shared" si="29"/>
        <v>4.2721882374398445</v>
      </c>
      <c r="F186" s="84">
        <f t="shared" si="25"/>
        <v>6.0336807831276484</v>
      </c>
      <c r="G186" s="80">
        <f>C$387/C186</f>
        <v>2.4293530837012014</v>
      </c>
    </row>
    <row r="187" spans="1:7" ht="16.5" hidden="1" thickBot="1" x14ac:dyDescent="0.3">
      <c r="A187" s="75">
        <v>2008</v>
      </c>
      <c r="B187" s="82" t="s">
        <v>34</v>
      </c>
      <c r="C187" s="77">
        <f t="shared" si="28"/>
        <v>297.50023977985074</v>
      </c>
      <c r="D187" s="83">
        <v>0.38</v>
      </c>
      <c r="E187" s="83">
        <f>100*(C187/C$179-1)</f>
        <v>4.668422552742113</v>
      </c>
      <c r="F187" s="84">
        <f t="shared" si="25"/>
        <v>6.3621552614205434</v>
      </c>
      <c r="G187" s="80">
        <f>C$387/C187</f>
        <v>2.4201564890428386</v>
      </c>
    </row>
    <row r="188" spans="1:7" ht="16.5" hidden="1" thickBot="1" x14ac:dyDescent="0.3">
      <c r="A188" s="75">
        <v>2008</v>
      </c>
      <c r="B188" s="82" t="s">
        <v>36</v>
      </c>
      <c r="C188" s="77">
        <f t="shared" si="28"/>
        <v>298.63074069101418</v>
      </c>
      <c r="D188" s="83">
        <v>0.38</v>
      </c>
      <c r="E188" s="83">
        <f>100*(C188/C$179-1)</f>
        <v>5.066162558442544</v>
      </c>
      <c r="F188" s="84">
        <f t="shared" si="25"/>
        <v>6.5107057575957139</v>
      </c>
      <c r="G188" s="80">
        <f>C$387/C188</f>
        <v>2.4109947091480759</v>
      </c>
    </row>
    <row r="189" spans="1:7" ht="16.5" hidden="1" thickBot="1" x14ac:dyDescent="0.3">
      <c r="A189" s="75">
        <v>2008</v>
      </c>
      <c r="B189" s="82" t="s">
        <v>35</v>
      </c>
      <c r="C189" s="77">
        <f t="shared" si="28"/>
        <v>300.12389439446923</v>
      </c>
      <c r="D189" s="83">
        <v>0.5</v>
      </c>
      <c r="E189" s="83">
        <f>100*(C189/C$179-1)</f>
        <v>5.5914933712347459</v>
      </c>
      <c r="F189" s="84">
        <f t="shared" si="25"/>
        <v>6.9576931318781954</v>
      </c>
      <c r="G189" s="80">
        <f>C$387/C189</f>
        <v>2.3989997105951004</v>
      </c>
    </row>
    <row r="190" spans="1:7" ht="16.5" hidden="1" thickBot="1" x14ac:dyDescent="0.3">
      <c r="A190" s="75">
        <v>2008</v>
      </c>
      <c r="B190" s="82" t="s">
        <v>25</v>
      </c>
      <c r="C190" s="77">
        <f t="shared" si="28"/>
        <v>301.29437758260769</v>
      </c>
      <c r="D190" s="83">
        <v>0.39</v>
      </c>
      <c r="E190" s="83">
        <f>100*(C190/C$179-1)</f>
        <v>6.0033001953825771</v>
      </c>
      <c r="F190" s="84">
        <f t="shared" si="25"/>
        <v>6.8725272569847062</v>
      </c>
      <c r="G190" s="80">
        <f>C$387/C190</f>
        <v>2.3896799587559521</v>
      </c>
    </row>
    <row r="191" spans="1:7" ht="16.5" hidden="1" thickBot="1" x14ac:dyDescent="0.3">
      <c r="A191" s="75">
        <v>2008</v>
      </c>
      <c r="B191" s="82" t="s">
        <v>26</v>
      </c>
      <c r="C191" s="77">
        <f t="shared" si="28"/>
        <v>301.77644858673989</v>
      </c>
      <c r="D191" s="83">
        <v>0.16</v>
      </c>
      <c r="E191" s="83">
        <f>100*(C191/C$179-1)</f>
        <v>6.1729054756952006</v>
      </c>
      <c r="F191" s="84">
        <f t="shared" si="25"/>
        <v>6.1729054756952006</v>
      </c>
      <c r="G191" s="80">
        <f>C$387/C191</f>
        <v>2.3858625786301437</v>
      </c>
    </row>
    <row r="192" spans="1:7" ht="16.5" hidden="1" thickBot="1" x14ac:dyDescent="0.3">
      <c r="A192" s="75">
        <v>2009</v>
      </c>
      <c r="B192" s="82" t="s">
        <v>27</v>
      </c>
      <c r="C192" s="77">
        <f t="shared" si="28"/>
        <v>303.1646202502389</v>
      </c>
      <c r="D192" s="83">
        <v>0.46</v>
      </c>
      <c r="E192" s="83">
        <f t="shared" ref="E192:E203" si="30">100*(C192/C$191-1)</f>
        <v>0.45999999999999375</v>
      </c>
      <c r="F192" s="84">
        <f t="shared" si="25"/>
        <v>6.1095312782365685</v>
      </c>
      <c r="G192" s="80">
        <f>C$387/C192</f>
        <v>2.3749378644536567</v>
      </c>
    </row>
    <row r="193" spans="1:7" ht="16.5" hidden="1" thickBot="1" x14ac:dyDescent="0.3">
      <c r="A193" s="75">
        <v>2009</v>
      </c>
      <c r="B193" s="82" t="s">
        <v>28</v>
      </c>
      <c r="C193" s="77">
        <f t="shared" si="28"/>
        <v>303.9831647249145</v>
      </c>
      <c r="D193" s="83">
        <v>0.27</v>
      </c>
      <c r="E193" s="83">
        <f t="shared" si="30"/>
        <v>0.73124199999998751</v>
      </c>
      <c r="F193" s="84">
        <f t="shared" si="25"/>
        <v>6.1942579226347716</v>
      </c>
      <c r="G193" s="80">
        <f>C$387/C193</f>
        <v>2.3685427988966361</v>
      </c>
    </row>
    <row r="194" spans="1:7" ht="16.5" hidden="1" thickBot="1" x14ac:dyDescent="0.3">
      <c r="A194" s="75">
        <v>2009</v>
      </c>
      <c r="B194" s="82" t="s">
        <v>29</v>
      </c>
      <c r="C194" s="77">
        <f t="shared" si="28"/>
        <v>305.19909738381415</v>
      </c>
      <c r="D194" s="83">
        <v>0.4</v>
      </c>
      <c r="E194" s="83">
        <f t="shared" si="30"/>
        <v>1.1341669679999944</v>
      </c>
      <c r="F194" s="84">
        <f t="shared" si="25"/>
        <v>6.2895373884211958</v>
      </c>
      <c r="G194" s="80">
        <f>C$387/C194</f>
        <v>2.3591063734030242</v>
      </c>
    </row>
    <row r="195" spans="1:7" ht="16.5" hidden="1" thickBot="1" x14ac:dyDescent="0.3">
      <c r="A195" s="75">
        <v>2009</v>
      </c>
      <c r="B195" s="82" t="s">
        <v>30</v>
      </c>
      <c r="C195" s="77">
        <f t="shared" si="28"/>
        <v>306.14521458570403</v>
      </c>
      <c r="D195" s="83">
        <v>0.31</v>
      </c>
      <c r="E195" s="83">
        <f t="shared" si="30"/>
        <v>1.4476828856007984</v>
      </c>
      <c r="F195" s="84">
        <f t="shared" si="25"/>
        <v>6.0463844781433407</v>
      </c>
      <c r="G195" s="80">
        <f>C$387/C195</f>
        <v>2.3518157445947798</v>
      </c>
    </row>
    <row r="196" spans="1:7" ht="16.5" hidden="1" thickBot="1" x14ac:dyDescent="0.3">
      <c r="A196" s="75">
        <v>2009</v>
      </c>
      <c r="B196" s="82" t="s">
        <v>31</v>
      </c>
      <c r="C196" s="77">
        <f t="shared" si="28"/>
        <v>307.15549379383685</v>
      </c>
      <c r="D196" s="83">
        <v>0.33</v>
      </c>
      <c r="E196" s="83">
        <f t="shared" si="30"/>
        <v>1.7824602391232958</v>
      </c>
      <c r="F196" s="84">
        <f t="shared" si="25"/>
        <v>5.1035637132482714</v>
      </c>
      <c r="G196" s="80">
        <f>C$387/C196</f>
        <v>2.3440802796718629</v>
      </c>
    </row>
    <row r="197" spans="1:7" ht="16.5" hidden="1" thickBot="1" x14ac:dyDescent="0.3">
      <c r="A197" s="75">
        <v>2009</v>
      </c>
      <c r="B197" s="82" t="s">
        <v>32</v>
      </c>
      <c r="C197" s="77">
        <f t="shared" si="28"/>
        <v>307.55479593576888</v>
      </c>
      <c r="D197" s="83">
        <v>0.13</v>
      </c>
      <c r="E197" s="83">
        <f t="shared" si="30"/>
        <v>1.9147774374341564</v>
      </c>
      <c r="F197" s="84">
        <f t="shared" si="25"/>
        <v>4.2394991541952143</v>
      </c>
      <c r="G197" s="80">
        <f>C$387/C197</f>
        <v>2.3410369316607036</v>
      </c>
    </row>
    <row r="198" spans="1:7" ht="16.5" hidden="1" thickBot="1" x14ac:dyDescent="0.3">
      <c r="A198" s="75">
        <v>2009</v>
      </c>
      <c r="B198" s="82" t="s">
        <v>33</v>
      </c>
      <c r="C198" s="77">
        <f t="shared" si="28"/>
        <v>308.56972676235694</v>
      </c>
      <c r="D198" s="83">
        <v>0.33</v>
      </c>
      <c r="E198" s="83">
        <f t="shared" si="30"/>
        <v>2.2510962029776982</v>
      </c>
      <c r="F198" s="84">
        <f t="shared" si="25"/>
        <v>4.1149721268333161</v>
      </c>
      <c r="G198" s="80">
        <f>C$387/C198</f>
        <v>2.33333691982528</v>
      </c>
    </row>
    <row r="199" spans="1:7" ht="16.5" hidden="1" thickBot="1" x14ac:dyDescent="0.3">
      <c r="A199" s="75">
        <v>2009</v>
      </c>
      <c r="B199" s="82" t="s">
        <v>34</v>
      </c>
      <c r="C199" s="77">
        <f t="shared" si="28"/>
        <v>310.05086145081623</v>
      </c>
      <c r="D199" s="83">
        <v>0.48</v>
      </c>
      <c r="E199" s="83">
        <f t="shared" si="30"/>
        <v>2.7419014647519946</v>
      </c>
      <c r="F199" s="84">
        <f t="shared" si="25"/>
        <v>4.2186929597948897</v>
      </c>
      <c r="G199" s="80">
        <f>C$387/C199</f>
        <v>2.3221904058770702</v>
      </c>
    </row>
    <row r="200" spans="1:7" ht="16.5" hidden="1" thickBot="1" x14ac:dyDescent="0.3">
      <c r="A200" s="75">
        <v>2009</v>
      </c>
      <c r="B200" s="82" t="s">
        <v>36</v>
      </c>
      <c r="C200" s="77">
        <f t="shared" si="28"/>
        <v>310.54694282913755</v>
      </c>
      <c r="D200" s="83">
        <v>0.16</v>
      </c>
      <c r="E200" s="83">
        <f t="shared" si="30"/>
        <v>2.9062885070956002</v>
      </c>
      <c r="F200" s="84">
        <f t="shared" si="25"/>
        <v>3.9902798052705357</v>
      </c>
      <c r="G200" s="80">
        <f>C$387/C200</f>
        <v>2.3184808365386083</v>
      </c>
    </row>
    <row r="201" spans="1:7" ht="16.5" hidden="1" thickBot="1" x14ac:dyDescent="0.3">
      <c r="A201" s="75">
        <v>2009</v>
      </c>
      <c r="B201" s="82" t="s">
        <v>35</v>
      </c>
      <c r="C201" s="77">
        <f t="shared" si="28"/>
        <v>311.32331018621039</v>
      </c>
      <c r="D201" s="83">
        <v>0.25</v>
      </c>
      <c r="E201" s="83">
        <f t="shared" si="30"/>
        <v>3.1635542283633411</v>
      </c>
      <c r="F201" s="84">
        <f t="shared" si="25"/>
        <v>3.7315975171977378</v>
      </c>
      <c r="G201" s="80">
        <f>C$387/C201</f>
        <v>2.3126990888165668</v>
      </c>
    </row>
    <row r="202" spans="1:7" ht="16.5" hidden="1" thickBot="1" x14ac:dyDescent="0.3">
      <c r="A202" s="75">
        <v>2009</v>
      </c>
      <c r="B202" s="82" t="s">
        <v>25</v>
      </c>
      <c r="C202" s="77">
        <f t="shared" si="28"/>
        <v>312.22614778575036</v>
      </c>
      <c r="D202" s="83">
        <v>0.28999999999999998</v>
      </c>
      <c r="E202" s="83">
        <f t="shared" si="30"/>
        <v>3.4627285356255699</v>
      </c>
      <c r="F202" s="84">
        <f t="shared" si="25"/>
        <v>3.6282689012825831</v>
      </c>
      <c r="G202" s="80">
        <f>C$387/C202</f>
        <v>2.3060116550170178</v>
      </c>
    </row>
    <row r="203" spans="1:7" ht="16.5" hidden="1" thickBot="1" x14ac:dyDescent="0.3">
      <c r="A203" s="75">
        <v>2009</v>
      </c>
      <c r="B203" s="82" t="s">
        <v>26</v>
      </c>
      <c r="C203" s="77">
        <f t="shared" si="28"/>
        <v>312.78815485176472</v>
      </c>
      <c r="D203" s="83">
        <v>0.18</v>
      </c>
      <c r="E203" s="83">
        <f t="shared" si="30"/>
        <v>3.6489614469896958</v>
      </c>
      <c r="F203" s="84">
        <f t="shared" si="25"/>
        <v>3.6489614469896958</v>
      </c>
      <c r="G203" s="80">
        <f>C$387/C203</f>
        <v>2.3018682920912537</v>
      </c>
    </row>
    <row r="204" spans="1:7" ht="16.5" hidden="1" thickBot="1" x14ac:dyDescent="0.3">
      <c r="A204" s="75">
        <v>2010</v>
      </c>
      <c r="B204" s="82" t="s">
        <v>27</v>
      </c>
      <c r="C204" s="77">
        <f t="shared" si="28"/>
        <v>316.97951612677838</v>
      </c>
      <c r="D204" s="83">
        <v>1.34</v>
      </c>
      <c r="E204" s="83">
        <f t="shared" ref="E204:E215" si="31">100*(C204/C$203-1)</f>
        <v>1.3400000000000079</v>
      </c>
      <c r="F204" s="84">
        <f t="shared" si="25"/>
        <v>4.5568958096549483</v>
      </c>
      <c r="G204" s="80">
        <f>C$387/C204</f>
        <v>2.2714311151482667</v>
      </c>
    </row>
    <row r="205" spans="1:7" ht="16.5" hidden="1" thickBot="1" x14ac:dyDescent="0.3">
      <c r="A205" s="75">
        <v>2010</v>
      </c>
      <c r="B205" s="82" t="s">
        <v>14</v>
      </c>
      <c r="C205" s="77">
        <f t="shared" si="28"/>
        <v>319.32516454611658</v>
      </c>
      <c r="D205" s="83">
        <v>0.74</v>
      </c>
      <c r="E205" s="83">
        <f t="shared" si="31"/>
        <v>2.0899160000000139</v>
      </c>
      <c r="F205" s="84">
        <f t="shared" si="25"/>
        <v>5.046989965738935</v>
      </c>
      <c r="G205" s="80">
        <f>C$387/C205</f>
        <v>2.2547459947868438</v>
      </c>
    </row>
    <row r="206" spans="1:7" ht="16.5" hidden="1" thickBot="1" x14ac:dyDescent="0.3">
      <c r="A206" s="75">
        <v>2010</v>
      </c>
      <c r="B206" s="82" t="s">
        <v>15</v>
      </c>
      <c r="C206" s="77">
        <f t="shared" si="28"/>
        <v>320.41087010557339</v>
      </c>
      <c r="D206" s="83">
        <v>0.34</v>
      </c>
      <c r="E206" s="83">
        <f t="shared" si="31"/>
        <v>2.4370217144000339</v>
      </c>
      <c r="F206" s="84">
        <f t="shared" si="25"/>
        <v>4.9842128801020458</v>
      </c>
      <c r="G206" s="80">
        <f>C$387/C206</f>
        <v>2.2471058349480204</v>
      </c>
    </row>
    <row r="207" spans="1:7" ht="16.5" hidden="1" thickBot="1" x14ac:dyDescent="0.3">
      <c r="A207" s="75">
        <v>2010</v>
      </c>
      <c r="B207" s="82" t="s">
        <v>16</v>
      </c>
      <c r="C207" s="77">
        <f t="shared" si="28"/>
        <v>321.66047249898514</v>
      </c>
      <c r="D207" s="83">
        <v>0.39</v>
      </c>
      <c r="E207" s="83">
        <f t="shared" si="31"/>
        <v>2.8365260990861785</v>
      </c>
      <c r="F207" s="84">
        <f t="shared" si="25"/>
        <v>5.0679406941824601</v>
      </c>
      <c r="G207" s="80">
        <f>C$387/C207</f>
        <v>2.2383761678932368</v>
      </c>
    </row>
    <row r="208" spans="1:7" ht="16.5" hidden="1" thickBot="1" x14ac:dyDescent="0.3">
      <c r="A208" s="75">
        <v>2010</v>
      </c>
      <c r="B208" s="82" t="s">
        <v>17</v>
      </c>
      <c r="C208" s="77">
        <f t="shared" si="28"/>
        <v>322.3681255384829</v>
      </c>
      <c r="D208" s="83">
        <v>0.22</v>
      </c>
      <c r="E208" s="83">
        <f t="shared" si="31"/>
        <v>3.0627664565041846</v>
      </c>
      <c r="F208" s="84">
        <f t="shared" ref="F208:F271" si="32">100*(C208/C196-1)</f>
        <v>4.9527461015744567</v>
      </c>
      <c r="G208" s="80">
        <f>C$387/C208</f>
        <v>2.2334625502826149</v>
      </c>
    </row>
    <row r="209" spans="1:7" ht="16.5" hidden="1" thickBot="1" x14ac:dyDescent="0.3">
      <c r="A209" s="75">
        <v>2010</v>
      </c>
      <c r="B209" s="82" t="s">
        <v>18</v>
      </c>
      <c r="C209" s="77">
        <f t="shared" si="28"/>
        <v>322.49707278869829</v>
      </c>
      <c r="D209" s="83">
        <v>0.04</v>
      </c>
      <c r="E209" s="83">
        <f t="shared" si="31"/>
        <v>3.1039915630867831</v>
      </c>
      <c r="F209" s="84">
        <f t="shared" si="32"/>
        <v>4.8584112653700995</v>
      </c>
      <c r="G209" s="80">
        <f>C$387/C209</f>
        <v>2.2325695224736255</v>
      </c>
    </row>
    <row r="210" spans="1:7" ht="16.5" hidden="1" thickBot="1" x14ac:dyDescent="0.3">
      <c r="A210" s="75">
        <v>2010</v>
      </c>
      <c r="B210" s="82" t="s">
        <v>19</v>
      </c>
      <c r="C210" s="77">
        <f t="shared" si="28"/>
        <v>323.04531781243907</v>
      </c>
      <c r="D210" s="83">
        <v>0.17</v>
      </c>
      <c r="E210" s="83">
        <f t="shared" si="31"/>
        <v>3.2792683487440133</v>
      </c>
      <c r="F210" s="84">
        <f t="shared" si="32"/>
        <v>4.6911896387134666</v>
      </c>
      <c r="G210" s="80">
        <f>C$387/C210</f>
        <v>2.2287805954613416</v>
      </c>
    </row>
    <row r="211" spans="1:7" ht="16.5" hidden="1" thickBot="1" x14ac:dyDescent="0.3">
      <c r="A211" s="75">
        <v>2010</v>
      </c>
      <c r="B211" s="82" t="s">
        <v>20</v>
      </c>
      <c r="C211" s="77">
        <f t="shared" si="28"/>
        <v>323.59449485272023</v>
      </c>
      <c r="D211" s="83">
        <v>0.17</v>
      </c>
      <c r="E211" s="83">
        <f t="shared" si="31"/>
        <v>3.4548431049368888</v>
      </c>
      <c r="F211" s="84">
        <f t="shared" si="32"/>
        <v>4.3681973139921171</v>
      </c>
      <c r="G211" s="80">
        <f>C$387/C211</f>
        <v>2.224998098693562</v>
      </c>
    </row>
    <row r="212" spans="1:7" ht="16.5" hidden="1" thickBot="1" x14ac:dyDescent="0.3">
      <c r="A212" s="75">
        <v>2010</v>
      </c>
      <c r="B212" s="82" t="s">
        <v>21</v>
      </c>
      <c r="C212" s="77">
        <f t="shared" si="28"/>
        <v>325.30954567543967</v>
      </c>
      <c r="D212" s="83">
        <v>0.53</v>
      </c>
      <c r="E212" s="83">
        <f t="shared" si="31"/>
        <v>4.0031537733930644</v>
      </c>
      <c r="F212" s="84">
        <f t="shared" si="32"/>
        <v>4.7537427713221669</v>
      </c>
      <c r="G212" s="80">
        <f>C$387/C212</f>
        <v>2.2132677794624112</v>
      </c>
    </row>
    <row r="213" spans="1:7" ht="16.5" hidden="1" thickBot="1" x14ac:dyDescent="0.3">
      <c r="A213" s="75">
        <v>2010</v>
      </c>
      <c r="B213" s="82" t="s">
        <v>22</v>
      </c>
      <c r="C213" s="77">
        <f t="shared" si="28"/>
        <v>328.69276495046421</v>
      </c>
      <c r="D213" s="83">
        <v>1.04</v>
      </c>
      <c r="E213" s="83">
        <f t="shared" si="31"/>
        <v>5.084786572636335</v>
      </c>
      <c r="F213" s="84">
        <f t="shared" si="32"/>
        <v>5.5792336121136321</v>
      </c>
      <c r="G213" s="80">
        <f>C$387/C213</f>
        <v>2.1904867175993781</v>
      </c>
    </row>
    <row r="214" spans="1:7" ht="16.5" hidden="1" thickBot="1" x14ac:dyDescent="0.3">
      <c r="A214" s="75">
        <v>2010</v>
      </c>
      <c r="B214" s="82" t="s">
        <v>23</v>
      </c>
      <c r="C214" s="77">
        <f t="shared" si="28"/>
        <v>331.05935285810756</v>
      </c>
      <c r="D214" s="83">
        <v>0.72</v>
      </c>
      <c r="E214" s="83">
        <f t="shared" si="31"/>
        <v>5.841397035959317</v>
      </c>
      <c r="F214" s="84">
        <f t="shared" si="32"/>
        <v>6.0319115506240584</v>
      </c>
      <c r="G214" s="80">
        <f>C$387/C214</f>
        <v>2.1748279563139179</v>
      </c>
    </row>
    <row r="215" spans="1:7" ht="16.5" hidden="1" thickBot="1" x14ac:dyDescent="0.3">
      <c r="A215" s="75">
        <v>2010</v>
      </c>
      <c r="B215" s="82" t="s">
        <v>12</v>
      </c>
      <c r="C215" s="77">
        <f t="shared" si="28"/>
        <v>332.84707336354137</v>
      </c>
      <c r="D215" s="83">
        <v>0.54</v>
      </c>
      <c r="E215" s="83">
        <f t="shared" si="31"/>
        <v>6.4129405799535188</v>
      </c>
      <c r="F215" s="84">
        <f t="shared" si="32"/>
        <v>6.4129405799535188</v>
      </c>
      <c r="G215" s="80">
        <f>C$387/C215</f>
        <v>2.1631469627152553</v>
      </c>
    </row>
    <row r="216" spans="1:7" x14ac:dyDescent="0.25">
      <c r="A216" s="87">
        <v>2011</v>
      </c>
      <c r="B216" s="88" t="s">
        <v>13</v>
      </c>
      <c r="C216" s="89">
        <f t="shared" si="28"/>
        <v>336.6611084063718</v>
      </c>
      <c r="D216" s="90">
        <v>1.1458821026389701</v>
      </c>
      <c r="E216" s="90">
        <f t="shared" ref="E216:E227" si="33">100*(C216/C$215-1)</f>
        <v>1.1458821026389732</v>
      </c>
      <c r="F216" s="91">
        <f t="shared" si="32"/>
        <v>6.2091054084774333</v>
      </c>
      <c r="G216" s="92">
        <f>C$387/C216</f>
        <v>2.1386406621281688</v>
      </c>
    </row>
    <row r="217" spans="1:7" x14ac:dyDescent="0.25">
      <c r="A217" s="93">
        <v>2011</v>
      </c>
      <c r="B217" s="94" t="s">
        <v>14</v>
      </c>
      <c r="C217" s="95">
        <f t="shared" si="28"/>
        <v>338.66894800171895</v>
      </c>
      <c r="D217" s="96">
        <v>0.59639784495795201</v>
      </c>
      <c r="E217" s="96">
        <f t="shared" si="33"/>
        <v>1.7491139637628272</v>
      </c>
      <c r="F217" s="97">
        <f t="shared" si="32"/>
        <v>6.0577071910687952</v>
      </c>
      <c r="G217" s="98">
        <f>C$387/C217</f>
        <v>2.1259614737143004</v>
      </c>
    </row>
    <row r="218" spans="1:7" x14ac:dyDescent="0.25">
      <c r="A218" s="93">
        <v>2011</v>
      </c>
      <c r="B218" s="94" t="s">
        <v>15</v>
      </c>
      <c r="C218" s="95">
        <f t="shared" si="28"/>
        <v>339.85030664776082</v>
      </c>
      <c r="D218" s="96">
        <v>0.34882402210547597</v>
      </c>
      <c r="E218" s="96">
        <f t="shared" si="33"/>
        <v>2.1040393155479009</v>
      </c>
      <c r="F218" s="97">
        <f t="shared" si="32"/>
        <v>6.0670340353254026</v>
      </c>
      <c r="G218" s="98">
        <f t="shared" ref="G218:G281" si="34">C$387/C218</f>
        <v>2.1185713877882417</v>
      </c>
    </row>
    <row r="219" spans="1:7" x14ac:dyDescent="0.25">
      <c r="A219" s="93">
        <v>2011</v>
      </c>
      <c r="B219" s="94" t="s">
        <v>16</v>
      </c>
      <c r="C219" s="95">
        <f t="shared" si="28"/>
        <v>342.23362845098552</v>
      </c>
      <c r="D219" s="96">
        <v>0.70128575923131797</v>
      </c>
      <c r="E219" s="96">
        <f t="shared" si="33"/>
        <v>2.820080402867764</v>
      </c>
      <c r="F219" s="97">
        <f t="shared" si="32"/>
        <v>6.3959229407851037</v>
      </c>
      <c r="G219" s="98">
        <f t="shared" si="34"/>
        <v>2.1038176144578489</v>
      </c>
    </row>
    <row r="220" spans="1:7" x14ac:dyDescent="0.25">
      <c r="A220" s="93">
        <v>2011</v>
      </c>
      <c r="B220" s="94" t="s">
        <v>17</v>
      </c>
      <c r="C220" s="95">
        <f t="shared" si="28"/>
        <v>343.30516305220868</v>
      </c>
      <c r="D220" s="96">
        <v>0.31310032449853897</v>
      </c>
      <c r="E220" s="96">
        <f t="shared" si="33"/>
        <v>3.1420104082588107</v>
      </c>
      <c r="F220" s="97">
        <f t="shared" si="32"/>
        <v>6.4947604477808119</v>
      </c>
      <c r="G220" s="98">
        <f t="shared" si="34"/>
        <v>2.0972511144130723</v>
      </c>
    </row>
    <row r="221" spans="1:7" x14ac:dyDescent="0.25">
      <c r="A221" s="93">
        <v>2011</v>
      </c>
      <c r="B221" s="94" t="s">
        <v>18</v>
      </c>
      <c r="C221" s="95">
        <f t="shared" si="28"/>
        <v>343.34707222778155</v>
      </c>
      <c r="D221" s="96">
        <v>1.2207557614418701E-2</v>
      </c>
      <c r="E221" s="96">
        <f t="shared" si="33"/>
        <v>3.1546015286040729</v>
      </c>
      <c r="F221" s="97">
        <f t="shared" si="32"/>
        <v>6.4651747871039777</v>
      </c>
      <c r="G221" s="98">
        <f t="shared" si="34"/>
        <v>2.0969951225253185</v>
      </c>
    </row>
    <row r="222" spans="1:7" x14ac:dyDescent="0.25">
      <c r="A222" s="93">
        <v>2011</v>
      </c>
      <c r="B222" s="94" t="s">
        <v>19</v>
      </c>
      <c r="C222" s="95">
        <f t="shared" si="28"/>
        <v>344.39150089444564</v>
      </c>
      <c r="D222" s="96">
        <v>0.30419035172992698</v>
      </c>
      <c r="E222" s="96">
        <f t="shared" si="33"/>
        <v>3.468387873819534</v>
      </c>
      <c r="F222" s="97">
        <f t="shared" si="32"/>
        <v>6.6077983196153989</v>
      </c>
      <c r="G222" s="98">
        <f t="shared" si="34"/>
        <v>2.0906356107077158</v>
      </c>
    </row>
    <row r="223" spans="1:7" x14ac:dyDescent="0.25">
      <c r="A223" s="93">
        <v>2011</v>
      </c>
      <c r="B223" s="94" t="s">
        <v>20</v>
      </c>
      <c r="C223" s="95">
        <f t="shared" si="28"/>
        <v>345.74699766619733</v>
      </c>
      <c r="D223" s="96">
        <v>0.39359181868054999</v>
      </c>
      <c r="E223" s="96">
        <f t="shared" si="33"/>
        <v>3.8756309834115488</v>
      </c>
      <c r="F223" s="97">
        <f t="shared" si="32"/>
        <v>6.8457600997073653</v>
      </c>
      <c r="G223" s="98">
        <f t="shared" si="34"/>
        <v>2.0824392999939509</v>
      </c>
    </row>
    <row r="224" spans="1:7" x14ac:dyDescent="0.25">
      <c r="A224" s="93">
        <v>2011</v>
      </c>
      <c r="B224" s="94" t="s">
        <v>21</v>
      </c>
      <c r="C224" s="95">
        <f t="shared" si="28"/>
        <v>346.61068676183464</v>
      </c>
      <c r="D224" s="96">
        <v>0.249803787586655</v>
      </c>
      <c r="E224" s="96">
        <f t="shared" si="33"/>
        <v>4.1351162439876354</v>
      </c>
      <c r="F224" s="97">
        <f t="shared" si="32"/>
        <v>6.5479606637940613</v>
      </c>
      <c r="G224" s="98">
        <f t="shared" si="34"/>
        <v>2.0772502501913199</v>
      </c>
    </row>
    <row r="225" spans="1:7" x14ac:dyDescent="0.25">
      <c r="A225" s="93">
        <v>2011</v>
      </c>
      <c r="B225" s="94" t="s">
        <v>22</v>
      </c>
      <c r="C225" s="95">
        <f t="shared" si="28"/>
        <v>347.94547900054681</v>
      </c>
      <c r="D225" s="96">
        <v>0.38509840858695898</v>
      </c>
      <c r="E225" s="96">
        <f t="shared" si="33"/>
        <v>4.5361389194234158</v>
      </c>
      <c r="F225" s="97">
        <f t="shared" si="32"/>
        <v>5.8573586348893647</v>
      </c>
      <c r="G225" s="98">
        <f t="shared" si="34"/>
        <v>2.069281480142108</v>
      </c>
    </row>
    <row r="226" spans="1:7" x14ac:dyDescent="0.25">
      <c r="A226" s="93">
        <v>2011</v>
      </c>
      <c r="B226" s="94" t="s">
        <v>23</v>
      </c>
      <c r="C226" s="95">
        <f t="shared" si="28"/>
        <v>350.03983753830573</v>
      </c>
      <c r="D226" s="96">
        <v>0.60192146878150798</v>
      </c>
      <c r="E226" s="96">
        <f t="shared" si="33"/>
        <v>5.1653643822146877</v>
      </c>
      <c r="F226" s="97">
        <f t="shared" si="32"/>
        <v>5.7332573498786621</v>
      </c>
      <c r="G226" s="98">
        <f t="shared" si="34"/>
        <v>2.0569005541154017</v>
      </c>
    </row>
    <row r="227" spans="1:7" x14ac:dyDescent="0.25">
      <c r="A227" s="93">
        <v>2011</v>
      </c>
      <c r="B227" s="94" t="s">
        <v>12</v>
      </c>
      <c r="C227" s="95">
        <f t="shared" si="28"/>
        <v>352.17470494505528</v>
      </c>
      <c r="D227" s="96">
        <v>0.60989269728932705</v>
      </c>
      <c r="E227" s="96">
        <f t="shared" si="33"/>
        <v>5.806760259659538</v>
      </c>
      <c r="F227" s="97">
        <f t="shared" si="32"/>
        <v>5.806760259659538</v>
      </c>
      <c r="G227" s="98">
        <f t="shared" si="34"/>
        <v>2.0444317143882804</v>
      </c>
    </row>
    <row r="228" spans="1:7" x14ac:dyDescent="0.25">
      <c r="A228" s="93">
        <f>2012</f>
        <v>2012</v>
      </c>
      <c r="B228" s="94" t="s">
        <v>13</v>
      </c>
      <c r="C228" s="95">
        <f t="shared" si="28"/>
        <v>354.49761352143975</v>
      </c>
      <c r="D228" s="96">
        <v>0.65958984099863105</v>
      </c>
      <c r="E228" s="96">
        <f t="shared" ref="E228:E239" si="35">100*(C228/C$227-1)</f>
        <v>0.65958984099863116</v>
      </c>
      <c r="F228" s="97">
        <f t="shared" si="32"/>
        <v>5.2980592856416653</v>
      </c>
      <c r="G228" s="98">
        <f t="shared" si="34"/>
        <v>2.0310352124597908</v>
      </c>
    </row>
    <row r="229" spans="1:7" x14ac:dyDescent="0.25">
      <c r="A229" s="93">
        <f>2012</f>
        <v>2012</v>
      </c>
      <c r="B229" s="94" t="s">
        <v>14</v>
      </c>
      <c r="C229" s="95">
        <f t="shared" si="28"/>
        <v>354.26296214699096</v>
      </c>
      <c r="D229" s="96">
        <v>-6.6192652784835507E-2</v>
      </c>
      <c r="E229" s="96">
        <f t="shared" si="35"/>
        <v>0.59296058820053066</v>
      </c>
      <c r="F229" s="97">
        <f t="shared" si="32"/>
        <v>4.6045007188532772</v>
      </c>
      <c r="G229" s="98">
        <f t="shared" si="34"/>
        <v>2.0323804990267784</v>
      </c>
    </row>
    <row r="230" spans="1:7" x14ac:dyDescent="0.25">
      <c r="A230" s="93">
        <f>2012</f>
        <v>2012</v>
      </c>
      <c r="B230" s="94" t="s">
        <v>15</v>
      </c>
      <c r="C230" s="95">
        <f t="shared" si="28"/>
        <v>354.78267593285437</v>
      </c>
      <c r="D230" s="96">
        <v>0.146702828518608</v>
      </c>
      <c r="E230" s="96">
        <f t="shared" si="35"/>
        <v>0.74053330667402939</v>
      </c>
      <c r="F230" s="97">
        <f t="shared" si="32"/>
        <v>4.3938078009652326</v>
      </c>
      <c r="G230" s="98">
        <f t="shared" si="34"/>
        <v>2.0294033069733985</v>
      </c>
    </row>
    <row r="231" spans="1:7" x14ac:dyDescent="0.25">
      <c r="A231" s="93">
        <f>2012</f>
        <v>2012</v>
      </c>
      <c r="B231" s="94" t="s">
        <v>16</v>
      </c>
      <c r="C231" s="95">
        <f t="shared" si="28"/>
        <v>356.43883853222457</v>
      </c>
      <c r="D231" s="96">
        <v>0.46681044811884798</v>
      </c>
      <c r="E231" s="96">
        <f t="shared" si="35"/>
        <v>1.2108006416402306</v>
      </c>
      <c r="F231" s="97">
        <f t="shared" si="32"/>
        <v>4.1507347321578347</v>
      </c>
      <c r="G231" s="98">
        <f t="shared" si="34"/>
        <v>2.0199738579551942</v>
      </c>
    </row>
    <row r="232" spans="1:7" x14ac:dyDescent="0.25">
      <c r="A232" s="93">
        <f>2012</f>
        <v>2012</v>
      </c>
      <c r="B232" s="94" t="s">
        <v>17</v>
      </c>
      <c r="C232" s="95">
        <f t="shared" si="28"/>
        <v>357.67600939776452</v>
      </c>
      <c r="D232" s="96">
        <v>0.34709204828364798</v>
      </c>
      <c r="E232" s="96">
        <f t="shared" si="35"/>
        <v>1.5620952826715717</v>
      </c>
      <c r="F232" s="97">
        <f t="shared" si="32"/>
        <v>4.1860268624536623</v>
      </c>
      <c r="G232" s="98">
        <f t="shared" si="34"/>
        <v>2.0129869403522433</v>
      </c>
    </row>
    <row r="233" spans="1:7" x14ac:dyDescent="0.25">
      <c r="A233" s="93">
        <f>2012</f>
        <v>2012</v>
      </c>
      <c r="B233" s="94" t="s">
        <v>18</v>
      </c>
      <c r="C233" s="95">
        <f t="shared" si="28"/>
        <v>358.49148793820819</v>
      </c>
      <c r="D233" s="96">
        <v>0.22799363642440601</v>
      </c>
      <c r="E233" s="96">
        <f t="shared" si="35"/>
        <v>1.7936503969353534</v>
      </c>
      <c r="F233" s="97">
        <f t="shared" si="32"/>
        <v>4.410818362936153</v>
      </c>
      <c r="G233" s="98">
        <f t="shared" si="34"/>
        <v>2.0084078981510136</v>
      </c>
    </row>
    <row r="234" spans="1:7" x14ac:dyDescent="0.25">
      <c r="A234" s="93">
        <f>2012</f>
        <v>2012</v>
      </c>
      <c r="B234" s="94" t="s">
        <v>19</v>
      </c>
      <c r="C234" s="95">
        <f t="shared" si="28"/>
        <v>358.97299335875221</v>
      </c>
      <c r="D234" s="96">
        <v>0.134314324536211</v>
      </c>
      <c r="E234" s="96">
        <f t="shared" si="35"/>
        <v>1.9303738508867463</v>
      </c>
      <c r="F234" s="97">
        <f t="shared" si="32"/>
        <v>4.2339873157252184</v>
      </c>
      <c r="G234" s="98">
        <f t="shared" si="34"/>
        <v>2.0057139370243711</v>
      </c>
    </row>
    <row r="235" spans="1:7" x14ac:dyDescent="0.25">
      <c r="A235" s="93">
        <f>2012</f>
        <v>2012</v>
      </c>
      <c r="B235" s="94" t="s">
        <v>20</v>
      </c>
      <c r="C235" s="95">
        <f t="shared" si="28"/>
        <v>359.93390373996664</v>
      </c>
      <c r="D235" s="96">
        <v>0.26768319594843198</v>
      </c>
      <c r="E235" s="96">
        <f t="shared" si="35"/>
        <v>2.2032243332529733</v>
      </c>
      <c r="F235" s="97">
        <f t="shared" si="32"/>
        <v>4.1032622609975977</v>
      </c>
      <c r="G235" s="98">
        <f t="shared" si="34"/>
        <v>2.0003593112894595</v>
      </c>
    </row>
    <row r="236" spans="1:7" x14ac:dyDescent="0.25">
      <c r="A236" s="93">
        <f>2012</f>
        <v>2012</v>
      </c>
      <c r="B236" s="94" t="s">
        <v>21</v>
      </c>
      <c r="C236" s="95">
        <f t="shared" si="28"/>
        <v>361.90273479480447</v>
      </c>
      <c r="D236" s="96">
        <v>0.54699794445043404</v>
      </c>
      <c r="E236" s="96">
        <f t="shared" si="35"/>
        <v>2.7622738695179505</v>
      </c>
      <c r="F236" s="97">
        <f t="shared" si="32"/>
        <v>4.4118801344049219</v>
      </c>
      <c r="G236" s="98">
        <f t="shared" si="34"/>
        <v>1.9894769134674761</v>
      </c>
    </row>
    <row r="237" spans="1:7" x14ac:dyDescent="0.25">
      <c r="A237" s="93">
        <f>2012</f>
        <v>2012</v>
      </c>
      <c r="B237" s="94" t="s">
        <v>22</v>
      </c>
      <c r="C237" s="95">
        <f t="shared" ref="C237:C300" si="36">+C236*(1+D237/100)</f>
        <v>364.80517025250015</v>
      </c>
      <c r="D237" s="96">
        <v>0.80199323703407099</v>
      </c>
      <c r="E237" s="96">
        <f t="shared" si="35"/>
        <v>3.5864203561739139</v>
      </c>
      <c r="F237" s="97">
        <f t="shared" si="32"/>
        <v>4.845498007441229</v>
      </c>
      <c r="G237" s="98">
        <f t="shared" si="34"/>
        <v>1.9736483868818517</v>
      </c>
    </row>
    <row r="238" spans="1:7" x14ac:dyDescent="0.25">
      <c r="A238" s="93">
        <f>2012</f>
        <v>2012</v>
      </c>
      <c r="B238" s="94" t="s">
        <v>23</v>
      </c>
      <c r="C238" s="95">
        <f t="shared" si="36"/>
        <v>367.27271049446557</v>
      </c>
      <c r="D238" s="96">
        <v>0.67639947105395704</v>
      </c>
      <c r="E238" s="96">
        <f t="shared" si="35"/>
        <v>4.2870783555468028</v>
      </c>
      <c r="F238" s="97">
        <f t="shared" si="32"/>
        <v>4.9231176306536728</v>
      </c>
      <c r="G238" s="98">
        <f t="shared" si="34"/>
        <v>1.9603883305831835</v>
      </c>
    </row>
    <row r="239" spans="1:7" x14ac:dyDescent="0.25">
      <c r="A239" s="93">
        <f>2012</f>
        <v>2012</v>
      </c>
      <c r="B239" s="94" t="s">
        <v>12</v>
      </c>
      <c r="C239" s="95">
        <f t="shared" si="36"/>
        <v>370.1316364262085</v>
      </c>
      <c r="D239" s="96">
        <v>0.77842046252059005</v>
      </c>
      <c r="E239" s="96">
        <f t="shared" si="35"/>
        <v>5.0988703132312629</v>
      </c>
      <c r="F239" s="97">
        <f t="shared" si="32"/>
        <v>5.0988703132312629</v>
      </c>
      <c r="G239" s="98">
        <f t="shared" si="34"/>
        <v>1.9452461366094245</v>
      </c>
    </row>
    <row r="240" spans="1:7" x14ac:dyDescent="0.25">
      <c r="A240" s="93">
        <f>2013</f>
        <v>2013</v>
      </c>
      <c r="B240" s="94" t="s">
        <v>13</v>
      </c>
      <c r="C240" s="95">
        <f t="shared" si="36"/>
        <v>374.38216703514911</v>
      </c>
      <c r="D240" s="96">
        <v>1.14838349133877</v>
      </c>
      <c r="E240" s="96">
        <f t="shared" ref="E240:E251" si="37">100*(C240/C$239-1)</f>
        <v>1.1483834913387669</v>
      </c>
      <c r="F240" s="97">
        <f t="shared" si="32"/>
        <v>5.609220698606121</v>
      </c>
      <c r="G240" s="98">
        <f t="shared" si="34"/>
        <v>1.923160874613477</v>
      </c>
    </row>
    <row r="241" spans="1:7" x14ac:dyDescent="0.25">
      <c r="A241" s="93">
        <f>2013</f>
        <v>2013</v>
      </c>
      <c r="B241" s="94" t="s">
        <v>14</v>
      </c>
      <c r="C241" s="95">
        <f t="shared" si="36"/>
        <v>375.21074844432798</v>
      </c>
      <c r="D241" s="96">
        <v>0.22131967869640801</v>
      </c>
      <c r="E241" s="96">
        <f t="shared" si="37"/>
        <v>1.3722447686884243</v>
      </c>
      <c r="F241" s="97">
        <f t="shared" si="32"/>
        <v>5.9130613514842612</v>
      </c>
      <c r="G241" s="98">
        <f t="shared" si="34"/>
        <v>1.9189139404460211</v>
      </c>
    </row>
    <row r="242" spans="1:7" x14ac:dyDescent="0.25">
      <c r="A242" s="93">
        <f>2013</f>
        <v>2013</v>
      </c>
      <c r="B242" s="94" t="s">
        <v>15</v>
      </c>
      <c r="C242" s="95">
        <f t="shared" si="36"/>
        <v>374.55520491997288</v>
      </c>
      <c r="D242" s="96">
        <v>-0.17471341827841599</v>
      </c>
      <c r="E242" s="96">
        <f t="shared" si="37"/>
        <v>1.1951338546674739</v>
      </c>
      <c r="F242" s="97">
        <f t="shared" si="32"/>
        <v>5.573138241637432</v>
      </c>
      <c r="G242" s="98">
        <f t="shared" si="34"/>
        <v>1.9222724082791485</v>
      </c>
    </row>
    <row r="243" spans="1:7" x14ac:dyDescent="0.25">
      <c r="A243" s="93">
        <f>2013</f>
        <v>2013</v>
      </c>
      <c r="B243" s="94" t="s">
        <v>16</v>
      </c>
      <c r="C243" s="95">
        <f t="shared" si="36"/>
        <v>375.58673076169924</v>
      </c>
      <c r="D243" s="96">
        <v>0.27540021555614302</v>
      </c>
      <c r="E243" s="96">
        <f t="shared" si="37"/>
        <v>1.4738254714355747</v>
      </c>
      <c r="F243" s="97">
        <f t="shared" si="32"/>
        <v>5.371999389382931</v>
      </c>
      <c r="G243" s="98">
        <f t="shared" si="34"/>
        <v>1.916993005410053</v>
      </c>
    </row>
    <row r="244" spans="1:7" x14ac:dyDescent="0.25">
      <c r="A244" s="93">
        <f>2013</f>
        <v>2013</v>
      </c>
      <c r="B244" s="94" t="s">
        <v>17</v>
      </c>
      <c r="C244" s="95">
        <f t="shared" si="36"/>
        <v>375.95261086729749</v>
      </c>
      <c r="D244" s="96">
        <v>9.7415610199069705E-2</v>
      </c>
      <c r="E244" s="96">
        <f t="shared" si="37"/>
        <v>1.5726768177108941</v>
      </c>
      <c r="F244" s="97">
        <f t="shared" si="32"/>
        <v>5.1098203372113682</v>
      </c>
      <c r="G244" s="98">
        <f t="shared" si="34"/>
        <v>1.9151273723941458</v>
      </c>
    </row>
    <row r="245" spans="1:7" x14ac:dyDescent="0.25">
      <c r="A245" s="93">
        <f>2013</f>
        <v>2013</v>
      </c>
      <c r="B245" s="94" t="s">
        <v>18</v>
      </c>
      <c r="C245" s="95">
        <f t="shared" si="36"/>
        <v>377.14357161561861</v>
      </c>
      <c r="D245" s="96">
        <v>0.31678480582264501</v>
      </c>
      <c r="E245" s="96">
        <f t="shared" si="37"/>
        <v>1.8944436247367413</v>
      </c>
      <c r="F245" s="97">
        <f t="shared" si="32"/>
        <v>5.2029362774229648</v>
      </c>
      <c r="G245" s="98">
        <f t="shared" si="34"/>
        <v>1.9090796979799007</v>
      </c>
    </row>
    <row r="246" spans="1:7" x14ac:dyDescent="0.25">
      <c r="A246" s="93">
        <f>2013</f>
        <v>2013</v>
      </c>
      <c r="B246" s="94" t="s">
        <v>19</v>
      </c>
      <c r="C246" s="95">
        <f t="shared" si="36"/>
        <v>376.64876328254189</v>
      </c>
      <c r="D246" s="96">
        <v>-0.13119893067699001</v>
      </c>
      <c r="E246" s="96">
        <f t="shared" si="37"/>
        <v>1.7607592042818254</v>
      </c>
      <c r="F246" s="97">
        <f t="shared" si="32"/>
        <v>4.9239832106602988</v>
      </c>
      <c r="G246" s="98">
        <f t="shared" si="34"/>
        <v>1.9115876805757692</v>
      </c>
    </row>
    <row r="247" spans="1:7" x14ac:dyDescent="0.25">
      <c r="A247" s="93">
        <f>2013</f>
        <v>2013</v>
      </c>
      <c r="B247" s="94" t="s">
        <v>20</v>
      </c>
      <c r="C247" s="95">
        <f t="shared" si="36"/>
        <v>377.49434841450687</v>
      </c>
      <c r="D247" s="96">
        <v>0.22450229879837899</v>
      </c>
      <c r="E247" s="96">
        <f t="shared" si="37"/>
        <v>1.9892144479701113</v>
      </c>
      <c r="F247" s="97">
        <f t="shared" si="32"/>
        <v>4.8787970491456445</v>
      </c>
      <c r="G247" s="98">
        <f t="shared" si="34"/>
        <v>1.9073057353547844</v>
      </c>
    </row>
    <row r="248" spans="1:7" x14ac:dyDescent="0.25">
      <c r="A248" s="93">
        <f>2013</f>
        <v>2013</v>
      </c>
      <c r="B248" s="94" t="s">
        <v>21</v>
      </c>
      <c r="C248" s="95">
        <f t="shared" si="36"/>
        <v>378.43655470065664</v>
      </c>
      <c r="D248" s="96">
        <v>0.249594805884401</v>
      </c>
      <c r="E248" s="96">
        <f t="shared" si="37"/>
        <v>2.2437742297945595</v>
      </c>
      <c r="F248" s="97">
        <f t="shared" si="32"/>
        <v>4.5685810899513291</v>
      </c>
      <c r="G248" s="98">
        <f t="shared" si="34"/>
        <v>1.9025570517745676</v>
      </c>
    </row>
    <row r="249" spans="1:7" x14ac:dyDescent="0.25">
      <c r="A249" s="93">
        <f>2013</f>
        <v>2013</v>
      </c>
      <c r="B249" s="94" t="s">
        <v>22</v>
      </c>
      <c r="C249" s="95">
        <f t="shared" si="36"/>
        <v>380.26105415560966</v>
      </c>
      <c r="D249" s="96">
        <v>0.48211501565862402</v>
      </c>
      <c r="E249" s="96">
        <f t="shared" si="37"/>
        <v>2.7367068179324994</v>
      </c>
      <c r="F249" s="97">
        <f t="shared" si="32"/>
        <v>4.2367502336690288</v>
      </c>
      <c r="G249" s="98">
        <f t="shared" si="34"/>
        <v>1.893428548431811</v>
      </c>
    </row>
    <row r="250" spans="1:7" x14ac:dyDescent="0.25">
      <c r="A250" s="93">
        <f>2013</f>
        <v>2013</v>
      </c>
      <c r="B250" s="94" t="s">
        <v>23</v>
      </c>
      <c r="C250" s="95">
        <f t="shared" si="36"/>
        <v>382.01403795296221</v>
      </c>
      <c r="D250" s="96">
        <v>0.460994829261474</v>
      </c>
      <c r="E250" s="96">
        <f t="shared" si="37"/>
        <v>3.2103177241166847</v>
      </c>
      <c r="F250" s="97">
        <f t="shared" si="32"/>
        <v>4.0137279567137307</v>
      </c>
      <c r="G250" s="98">
        <f t="shared" si="34"/>
        <v>1.8847399945120871</v>
      </c>
    </row>
    <row r="251" spans="1:7" x14ac:dyDescent="0.25">
      <c r="A251" s="93">
        <f>2013</f>
        <v>2013</v>
      </c>
      <c r="B251" s="94" t="s">
        <v>12</v>
      </c>
      <c r="C251" s="95">
        <f t="shared" si="36"/>
        <v>384.49098025340942</v>
      </c>
      <c r="D251" s="96">
        <v>0.64839038735853305</v>
      </c>
      <c r="E251" s="96">
        <f t="shared" si="37"/>
        <v>3.8795235030020692</v>
      </c>
      <c r="F251" s="97">
        <f t="shared" si="32"/>
        <v>3.8795235030020692</v>
      </c>
      <c r="G251" s="98">
        <f t="shared" si="34"/>
        <v>1.8725982474815721</v>
      </c>
    </row>
    <row r="252" spans="1:7" x14ac:dyDescent="0.25">
      <c r="A252" s="93">
        <f>2014</f>
        <v>2014</v>
      </c>
      <c r="B252" s="94" t="s">
        <v>13</v>
      </c>
      <c r="C252" s="95">
        <f t="shared" si="36"/>
        <v>388.10097062280613</v>
      </c>
      <c r="D252" s="96">
        <v>0.93890118489059504</v>
      </c>
      <c r="E252" s="96">
        <f t="shared" ref="E252:E263" si="38">100*(C252/C$251-1)</f>
        <v>0.93890118489059482</v>
      </c>
      <c r="F252" s="97">
        <f t="shared" si="32"/>
        <v>3.6643848974700299</v>
      </c>
      <c r="G252" s="98">
        <f t="shared" si="34"/>
        <v>1.8551799410333574</v>
      </c>
    </row>
    <row r="253" spans="1:7" x14ac:dyDescent="0.25">
      <c r="A253" s="93">
        <f>2014</f>
        <v>2014</v>
      </c>
      <c r="B253" s="94" t="s">
        <v>14</v>
      </c>
      <c r="C253" s="95">
        <f t="shared" si="36"/>
        <v>390.12061280220479</v>
      </c>
      <c r="D253" s="96">
        <v>0.52039091171496299</v>
      </c>
      <c r="E253" s="96">
        <f t="shared" si="38"/>
        <v>1.4641780530417092</v>
      </c>
      <c r="F253" s="97">
        <f t="shared" si="32"/>
        <v>3.9737306086499391</v>
      </c>
      <c r="G253" s="98">
        <f t="shared" si="34"/>
        <v>1.8455757326518203</v>
      </c>
    </row>
    <row r="254" spans="1:7" x14ac:dyDescent="0.25">
      <c r="A254" s="93">
        <f>2014</f>
        <v>2014</v>
      </c>
      <c r="B254" s="94" t="s">
        <v>15</v>
      </c>
      <c r="C254" s="95">
        <f t="shared" si="36"/>
        <v>393.00564444951942</v>
      </c>
      <c r="D254" s="96">
        <v>0.73952299689874501</v>
      </c>
      <c r="E254" s="96">
        <f t="shared" si="38"/>
        <v>2.2145289833582549</v>
      </c>
      <c r="F254" s="97">
        <f t="shared" si="32"/>
        <v>4.9259599885919769</v>
      </c>
      <c r="G254" s="98">
        <f t="shared" si="34"/>
        <v>1.8320274682148694</v>
      </c>
    </row>
    <row r="255" spans="1:7" x14ac:dyDescent="0.25">
      <c r="A255" s="93">
        <f>2014</f>
        <v>2014</v>
      </c>
      <c r="B255" s="94" t="s">
        <v>16</v>
      </c>
      <c r="C255" s="95">
        <f t="shared" si="36"/>
        <v>395.10500408221554</v>
      </c>
      <c r="D255" s="96">
        <v>0.53418052955362905</v>
      </c>
      <c r="E255" s="96">
        <f t="shared" si="38"/>
        <v>2.7605390955623088</v>
      </c>
      <c r="F255" s="97">
        <f t="shared" si="32"/>
        <v>5.1967419831187245</v>
      </c>
      <c r="G255" s="98">
        <f t="shared" si="34"/>
        <v>1.822293133106422</v>
      </c>
    </row>
    <row r="256" spans="1:7" x14ac:dyDescent="0.25">
      <c r="A256" s="93">
        <f>2014</f>
        <v>2014</v>
      </c>
      <c r="B256" s="94" t="s">
        <v>17</v>
      </c>
      <c r="C256" s="95">
        <f t="shared" si="36"/>
        <v>396.09552094545762</v>
      </c>
      <c r="D256" s="96">
        <v>0.25069711924883298</v>
      </c>
      <c r="E256" s="96">
        <f t="shared" si="38"/>
        <v>3.0181568067994435</v>
      </c>
      <c r="F256" s="97">
        <f t="shared" si="32"/>
        <v>5.3578322096744513</v>
      </c>
      <c r="G256" s="98">
        <f t="shared" si="34"/>
        <v>1.8177361210154908</v>
      </c>
    </row>
    <row r="257" spans="1:7" x14ac:dyDescent="0.25">
      <c r="A257" s="93">
        <f>2014</f>
        <v>2014</v>
      </c>
      <c r="B257" s="94" t="s">
        <v>18</v>
      </c>
      <c r="C257" s="95">
        <f t="shared" si="36"/>
        <v>396.25085495420399</v>
      </c>
      <c r="D257" s="96">
        <v>3.9216300243838403E-2</v>
      </c>
      <c r="E257" s="96">
        <f t="shared" si="38"/>
        <v>3.0585567164784777</v>
      </c>
      <c r="F257" s="97">
        <f t="shared" si="32"/>
        <v>5.0663155298479756</v>
      </c>
      <c r="G257" s="98">
        <f t="shared" si="34"/>
        <v>1.8170235516039925</v>
      </c>
    </row>
    <row r="258" spans="1:7" x14ac:dyDescent="0.25">
      <c r="A258" s="93">
        <f>2014</f>
        <v>2014</v>
      </c>
      <c r="B258" s="94" t="s">
        <v>19</v>
      </c>
      <c r="C258" s="95">
        <f t="shared" si="36"/>
        <v>396.89469591640631</v>
      </c>
      <c r="D258" s="96">
        <v>0.16248317300835399</v>
      </c>
      <c r="E258" s="96">
        <f t="shared" si="38"/>
        <v>3.2260095294880164</v>
      </c>
      <c r="F258" s="97">
        <f t="shared" si="32"/>
        <v>5.3752818560768745</v>
      </c>
      <c r="G258" s="98">
        <f t="shared" si="34"/>
        <v>1.8140759833854054</v>
      </c>
    </row>
    <row r="259" spans="1:7" x14ac:dyDescent="0.25">
      <c r="A259" s="93">
        <f>2014</f>
        <v>2014</v>
      </c>
      <c r="B259" s="94" t="s">
        <v>20</v>
      </c>
      <c r="C259" s="95">
        <f t="shared" si="36"/>
        <v>398.23428920625815</v>
      </c>
      <c r="D259" s="96">
        <v>0.33751856692334498</v>
      </c>
      <c r="E259" s="96">
        <f t="shared" si="38"/>
        <v>3.5744164775441067</v>
      </c>
      <c r="F259" s="97">
        <f t="shared" si="32"/>
        <v>5.4941063035406801</v>
      </c>
      <c r="G259" s="98">
        <f t="shared" si="34"/>
        <v>1.8079737363401596</v>
      </c>
    </row>
    <row r="260" spans="1:7" x14ac:dyDescent="0.25">
      <c r="A260" s="93">
        <f>2014</f>
        <v>2014</v>
      </c>
      <c r="B260" s="94" t="s">
        <v>21</v>
      </c>
      <c r="C260" s="95">
        <f t="shared" si="36"/>
        <v>399.05306846936031</v>
      </c>
      <c r="D260" s="96">
        <v>0.20560240172540201</v>
      </c>
      <c r="E260" s="96">
        <f t="shared" si="38"/>
        <v>3.7873679653950054</v>
      </c>
      <c r="F260" s="97">
        <f t="shared" si="32"/>
        <v>5.4478124569682151</v>
      </c>
      <c r="G260" s="98">
        <f t="shared" si="34"/>
        <v>1.8042641259637082</v>
      </c>
    </row>
    <row r="261" spans="1:7" x14ac:dyDescent="0.25">
      <c r="A261" s="93">
        <f>2014</f>
        <v>2014</v>
      </c>
      <c r="B261" s="94" t="s">
        <v>22</v>
      </c>
      <c r="C261" s="95">
        <f t="shared" si="36"/>
        <v>400.53629320580558</v>
      </c>
      <c r="D261" s="96">
        <v>0.37168608730022701</v>
      </c>
      <c r="E261" s="96">
        <f t="shared" si="38"/>
        <v>4.1731311724974907</v>
      </c>
      <c r="F261" s="97">
        <f t="shared" si="32"/>
        <v>5.3319262723915184</v>
      </c>
      <c r="G261" s="98">
        <f t="shared" si="34"/>
        <v>1.7975827609336108</v>
      </c>
    </row>
    <row r="262" spans="1:7" x14ac:dyDescent="0.25">
      <c r="A262" s="93">
        <f>2014</f>
        <v>2014</v>
      </c>
      <c r="B262" s="94" t="s">
        <v>23</v>
      </c>
      <c r="C262" s="95">
        <f t="shared" si="36"/>
        <v>403.30639969146557</v>
      </c>
      <c r="D262" s="96">
        <v>0.69159937130507398</v>
      </c>
      <c r="E262" s="96">
        <f t="shared" si="38"/>
        <v>4.8935918927552891</v>
      </c>
      <c r="F262" s="97">
        <f t="shared" si="32"/>
        <v>5.5737118595430069</v>
      </c>
      <c r="G262" s="98">
        <f t="shared" si="34"/>
        <v>1.785236079431948</v>
      </c>
    </row>
    <row r="263" spans="1:7" x14ac:dyDescent="0.25">
      <c r="A263" s="93">
        <f>2014</f>
        <v>2014</v>
      </c>
      <c r="B263" s="94" t="s">
        <v>12</v>
      </c>
      <c r="C263" s="95">
        <f t="shared" si="36"/>
        <v>404.49736043978675</v>
      </c>
      <c r="D263" s="96">
        <v>0.29529924375915101</v>
      </c>
      <c r="E263" s="96">
        <f t="shared" si="38"/>
        <v>5.2033418763663963</v>
      </c>
      <c r="F263" s="97">
        <f t="shared" si="32"/>
        <v>5.2033418763663963</v>
      </c>
      <c r="G263" s="98">
        <f t="shared" si="34"/>
        <v>1.7799798125065505</v>
      </c>
    </row>
    <row r="264" spans="1:7" x14ac:dyDescent="0.25">
      <c r="A264" s="93">
        <f>2015</f>
        <v>2015</v>
      </c>
      <c r="B264" s="94" t="s">
        <v>13</v>
      </c>
      <c r="C264" s="95">
        <f t="shared" si="36"/>
        <v>411.05629644979416</v>
      </c>
      <c r="D264" s="96">
        <v>1.6215027961805</v>
      </c>
      <c r="E264" s="96">
        <f t="shared" ref="E264:E275" si="39">100*(C264/C$263-1)</f>
        <v>1.6215027961804962</v>
      </c>
      <c r="F264" s="97">
        <f t="shared" si="32"/>
        <v>5.9147818646653638</v>
      </c>
      <c r="G264" s="98">
        <f t="shared" si="34"/>
        <v>1.7515779274358971</v>
      </c>
    </row>
    <row r="265" spans="1:7" x14ac:dyDescent="0.25">
      <c r="A265" s="93">
        <f>2015</f>
        <v>2015</v>
      </c>
      <c r="B265" s="94" t="s">
        <v>14</v>
      </c>
      <c r="C265" s="95">
        <f t="shared" si="36"/>
        <v>416.07199458411111</v>
      </c>
      <c r="D265" s="96">
        <v>1.2201973738479299</v>
      </c>
      <c r="E265" s="96">
        <f t="shared" si="39"/>
        <v>2.8614857045642816</v>
      </c>
      <c r="F265" s="97">
        <f t="shared" si="32"/>
        <v>6.652143191178661</v>
      </c>
      <c r="G265" s="98">
        <f t="shared" si="34"/>
        <v>1.7304628650017324</v>
      </c>
    </row>
    <row r="266" spans="1:7" x14ac:dyDescent="0.25">
      <c r="A266" s="93">
        <f>2015</f>
        <v>2015</v>
      </c>
      <c r="B266" s="94" t="s">
        <v>15</v>
      </c>
      <c r="C266" s="95">
        <f t="shared" si="36"/>
        <v>418.96952896876837</v>
      </c>
      <c r="D266" s="96">
        <v>0.69640216654176501</v>
      </c>
      <c r="E266" s="96">
        <f t="shared" si="39"/>
        <v>3.5778153195479057</v>
      </c>
      <c r="F266" s="97">
        <f t="shared" si="32"/>
        <v>6.6064915061503582</v>
      </c>
      <c r="G266" s="98">
        <f t="shared" si="34"/>
        <v>1.7184952270089255</v>
      </c>
    </row>
    <row r="267" spans="1:7" x14ac:dyDescent="0.25">
      <c r="A267" s="93">
        <f>2015</f>
        <v>2015</v>
      </c>
      <c r="B267" s="94" t="s">
        <v>16</v>
      </c>
      <c r="C267" s="95">
        <f t="shared" si="36"/>
        <v>423.58703992419345</v>
      </c>
      <c r="D267" s="96">
        <v>1.10211140337351</v>
      </c>
      <c r="E267" s="96">
        <f t="shared" si="39"/>
        <v>4.7193582335498085</v>
      </c>
      <c r="F267" s="97">
        <f t="shared" si="32"/>
        <v>7.2087256672788813</v>
      </c>
      <c r="G267" s="98">
        <f t="shared" si="34"/>
        <v>1.6997619566544324</v>
      </c>
    </row>
    <row r="268" spans="1:7" x14ac:dyDescent="0.25">
      <c r="A268" s="93">
        <f>2015</f>
        <v>2015</v>
      </c>
      <c r="B268" s="94" t="s">
        <v>17</v>
      </c>
      <c r="C268" s="95">
        <f t="shared" si="36"/>
        <v>426.19251036452414</v>
      </c>
      <c r="D268" s="96">
        <v>0.615096826568862</v>
      </c>
      <c r="E268" s="96">
        <f t="shared" si="39"/>
        <v>5.3634836828476473</v>
      </c>
      <c r="F268" s="97">
        <f t="shared" si="32"/>
        <v>7.5984170048746691</v>
      </c>
      <c r="G268" s="98">
        <f t="shared" si="34"/>
        <v>1.6893706911442199</v>
      </c>
    </row>
    <row r="269" spans="1:7" x14ac:dyDescent="0.25">
      <c r="A269" s="93">
        <f>2015</f>
        <v>2015</v>
      </c>
      <c r="B269" s="94" t="s">
        <v>18</v>
      </c>
      <c r="C269" s="95">
        <f t="shared" si="36"/>
        <v>428.17684481366689</v>
      </c>
      <c r="D269" s="96">
        <v>0.46559580492053798</v>
      </c>
      <c r="E269" s="96">
        <f t="shared" si="39"/>
        <v>5.8540516427931122</v>
      </c>
      <c r="F269" s="97">
        <f t="shared" si="32"/>
        <v>8.0570147572685222</v>
      </c>
      <c r="G269" s="98">
        <f t="shared" si="34"/>
        <v>1.6815415044415423</v>
      </c>
    </row>
    <row r="270" spans="1:7" x14ac:dyDescent="0.25">
      <c r="A270" s="93">
        <f>2015</f>
        <v>2015</v>
      </c>
      <c r="B270" s="94" t="s">
        <v>19</v>
      </c>
      <c r="C270" s="95">
        <f t="shared" si="36"/>
        <v>431.79923789850756</v>
      </c>
      <c r="D270" s="96">
        <v>0.84600396511798104</v>
      </c>
      <c r="E270" s="96">
        <f t="shared" si="39"/>
        <v>6.7495811169291819</v>
      </c>
      <c r="F270" s="97">
        <f t="shared" si="32"/>
        <v>8.7944087792628967</v>
      </c>
      <c r="G270" s="98">
        <f t="shared" si="34"/>
        <v>1.6674349387440055</v>
      </c>
    </row>
    <row r="271" spans="1:7" x14ac:dyDescent="0.25">
      <c r="A271" s="93">
        <f>2015</f>
        <v>2015</v>
      </c>
      <c r="B271" s="94" t="s">
        <v>20</v>
      </c>
      <c r="C271" s="95">
        <f t="shared" si="36"/>
        <v>434.23327080439441</v>
      </c>
      <c r="D271" s="96">
        <v>0.56369550760044795</v>
      </c>
      <c r="E271" s="96">
        <f t="shared" si="39"/>
        <v>7.3513237100676143</v>
      </c>
      <c r="F271" s="97">
        <f t="shared" si="32"/>
        <v>9.0396489136803648</v>
      </c>
      <c r="G271" s="98">
        <f t="shared" si="34"/>
        <v>1.6580883690953694</v>
      </c>
    </row>
    <row r="272" spans="1:7" x14ac:dyDescent="0.25">
      <c r="A272" s="93">
        <f>2015</f>
        <v>2015</v>
      </c>
      <c r="B272" s="94" t="s">
        <v>21</v>
      </c>
      <c r="C272" s="95">
        <f t="shared" si="36"/>
        <v>437.12010284588638</v>
      </c>
      <c r="D272" s="96">
        <v>0.66481134348463899</v>
      </c>
      <c r="E272" s="96">
        <f t="shared" si="39"/>
        <v>8.0650074874730535</v>
      </c>
      <c r="F272" s="97">
        <f t="shared" ref="F272:F335" si="40">100*(C272/C260-1)</f>
        <v>9.5393413519006423</v>
      </c>
      <c r="G272" s="98">
        <f t="shared" si="34"/>
        <v>1.6471380087702181</v>
      </c>
    </row>
    <row r="273" spans="1:7" x14ac:dyDescent="0.25">
      <c r="A273" s="93">
        <f>2015</f>
        <v>2015</v>
      </c>
      <c r="B273" s="94" t="s">
        <v>22</v>
      </c>
      <c r="C273" s="95">
        <f t="shared" si="36"/>
        <v>440.96104377947836</v>
      </c>
      <c r="D273" s="96">
        <v>0.878692356765431</v>
      </c>
      <c r="E273" s="96">
        <f t="shared" si="39"/>
        <v>9.0145664486034569</v>
      </c>
      <c r="F273" s="97">
        <f t="shared" si="40"/>
        <v>10.092656086199291</v>
      </c>
      <c r="G273" s="98">
        <f t="shared" si="34"/>
        <v>1.6327908008016054</v>
      </c>
    </row>
    <row r="274" spans="1:7" x14ac:dyDescent="0.25">
      <c r="A274" s="93">
        <f>2015</f>
        <v>2015</v>
      </c>
      <c r="B274" s="94" t="s">
        <v>23</v>
      </c>
      <c r="C274" s="95">
        <f t="shared" si="36"/>
        <v>445.62506491781835</v>
      </c>
      <c r="D274" s="96">
        <v>1.0576945977732299</v>
      </c>
      <c r="E274" s="96">
        <f t="shared" si="39"/>
        <v>10.167607628716247</v>
      </c>
      <c r="F274" s="97">
        <f t="shared" si="40"/>
        <v>10.492931740911393</v>
      </c>
      <c r="G274" s="98">
        <f t="shared" si="34"/>
        <v>1.6157016121339298</v>
      </c>
    </row>
    <row r="275" spans="1:7" x14ac:dyDescent="0.25">
      <c r="A275" s="93">
        <f>2015</f>
        <v>2015</v>
      </c>
      <c r="B275" s="94" t="s">
        <v>12</v>
      </c>
      <c r="C275" s="95">
        <f t="shared" si="36"/>
        <v>449.27746457228164</v>
      </c>
      <c r="D275" s="96">
        <v>0.81961270628636596</v>
      </c>
      <c r="E275" s="96">
        <f t="shared" si="39"/>
        <v>11.070555339052902</v>
      </c>
      <c r="F275" s="97">
        <f t="shared" si="40"/>
        <v>11.070555339052902</v>
      </c>
      <c r="G275" s="98">
        <f t="shared" si="34"/>
        <v>1.6025667712500413</v>
      </c>
    </row>
    <row r="276" spans="1:7" x14ac:dyDescent="0.25">
      <c r="A276" s="93">
        <f>2016</f>
        <v>2016</v>
      </c>
      <c r="B276" s="94" t="s">
        <v>13</v>
      </c>
      <c r="C276" s="95">
        <f t="shared" si="36"/>
        <v>455.41410812580028</v>
      </c>
      <c r="D276" s="96">
        <v>1.3658916899739899</v>
      </c>
      <c r="E276" s="96">
        <f t="shared" ref="E276:E287" si="41">100*(C276/C$275-1)</f>
        <v>1.3658916899739859</v>
      </c>
      <c r="F276" s="97">
        <f t="shared" si="40"/>
        <v>10.791176794788226</v>
      </c>
      <c r="G276" s="98">
        <f t="shared" si="34"/>
        <v>1.580972400609336</v>
      </c>
    </row>
    <row r="277" spans="1:7" x14ac:dyDescent="0.25">
      <c r="A277" s="93">
        <f>2016</f>
        <v>2016</v>
      </c>
      <c r="B277" s="94" t="s">
        <v>14</v>
      </c>
      <c r="C277" s="95">
        <f t="shared" si="36"/>
        <v>459.46229443358573</v>
      </c>
      <c r="D277" s="96">
        <v>0.88890226182172205</v>
      </c>
      <c r="E277" s="96">
        <f t="shared" si="41"/>
        <v>2.2669353939219317</v>
      </c>
      <c r="F277" s="97">
        <f t="shared" si="40"/>
        <v>10.428555734169475</v>
      </c>
      <c r="G277" s="98">
        <f t="shared" si="34"/>
        <v>1.5670429206440144</v>
      </c>
    </row>
    <row r="278" spans="1:7" x14ac:dyDescent="0.25">
      <c r="A278" s="93">
        <f>2016</f>
        <v>2016</v>
      </c>
      <c r="B278" s="94" t="s">
        <v>15</v>
      </c>
      <c r="C278" s="95">
        <f t="shared" si="36"/>
        <v>463.93377341684743</v>
      </c>
      <c r="D278" s="96">
        <v>0.97319824443353697</v>
      </c>
      <c r="E278" s="96">
        <f t="shared" si="41"/>
        <v>3.2621954138115417</v>
      </c>
      <c r="F278" s="97">
        <f t="shared" si="40"/>
        <v>10.732103730491316</v>
      </c>
      <c r="G278" s="98">
        <f t="shared" si="34"/>
        <v>1.5519394729387037</v>
      </c>
    </row>
    <row r="279" spans="1:7" x14ac:dyDescent="0.25">
      <c r="A279" s="93">
        <f>2016</f>
        <v>2016</v>
      </c>
      <c r="B279" s="94" t="s">
        <v>16</v>
      </c>
      <c r="C279" s="95">
        <f t="shared" si="36"/>
        <v>466.06463994764727</v>
      </c>
      <c r="D279" s="96">
        <v>0.45930403279461601</v>
      </c>
      <c r="E279" s="96">
        <f t="shared" si="41"/>
        <v>3.7364828416994511</v>
      </c>
      <c r="F279" s="97">
        <f t="shared" si="40"/>
        <v>10.028068854763772</v>
      </c>
      <c r="G279" s="98">
        <f t="shared" si="34"/>
        <v>1.5448439424108273</v>
      </c>
    </row>
    <row r="280" spans="1:7" x14ac:dyDescent="0.25">
      <c r="A280" s="93">
        <f>2016</f>
        <v>2016</v>
      </c>
      <c r="B280" s="94" t="s">
        <v>17</v>
      </c>
      <c r="C280" s="95">
        <f t="shared" si="36"/>
        <v>468.71702065848785</v>
      </c>
      <c r="D280" s="96">
        <v>0.56910146865862798</v>
      </c>
      <c r="E280" s="96">
        <f t="shared" si="41"/>
        <v>4.3268486890863711</v>
      </c>
      <c r="F280" s="97">
        <f t="shared" si="40"/>
        <v>9.9777704346780673</v>
      </c>
      <c r="G280" s="98">
        <f t="shared" si="34"/>
        <v>1.5361019635760222</v>
      </c>
    </row>
    <row r="281" spans="1:7" x14ac:dyDescent="0.25">
      <c r="A281" s="93">
        <f>2016</f>
        <v>2016</v>
      </c>
      <c r="B281" s="94" t="s">
        <v>18</v>
      </c>
      <c r="C281" s="95">
        <f t="shared" si="36"/>
        <v>471.75428563568784</v>
      </c>
      <c r="D281" s="96">
        <v>0.64799545212439502</v>
      </c>
      <c r="E281" s="96">
        <f t="shared" si="41"/>
        <v>5.002881923936342</v>
      </c>
      <c r="F281" s="97">
        <f t="shared" si="40"/>
        <v>10.177439847543578</v>
      </c>
      <c r="G281" s="98">
        <f t="shared" si="34"/>
        <v>1.5262121780723448</v>
      </c>
    </row>
    <row r="282" spans="1:7" x14ac:dyDescent="0.25">
      <c r="A282" s="93">
        <f>2016</f>
        <v>2016</v>
      </c>
      <c r="B282" s="94" t="s">
        <v>19</v>
      </c>
      <c r="C282" s="95">
        <f t="shared" si="36"/>
        <v>473.39224424948702</v>
      </c>
      <c r="D282" s="96">
        <v>0.347205878923185</v>
      </c>
      <c r="E282" s="96">
        <f t="shared" si="41"/>
        <v>5.3674581030150215</v>
      </c>
      <c r="F282" s="97">
        <f t="shared" si="40"/>
        <v>9.6324872071116729</v>
      </c>
      <c r="G282" s="98">
        <f t="shared" ref="G282:G345" si="42">C$387/C282</f>
        <v>1.5209314147858188</v>
      </c>
    </row>
    <row r="283" spans="1:7" x14ac:dyDescent="0.25">
      <c r="A283" s="93">
        <f>2016</f>
        <v>2016</v>
      </c>
      <c r="B283" s="94" t="s">
        <v>20</v>
      </c>
      <c r="C283" s="95">
        <f t="shared" si="36"/>
        <v>473.89355400598197</v>
      </c>
      <c r="D283" s="96">
        <v>0.105897331987292</v>
      </c>
      <c r="E283" s="96">
        <f t="shared" si="41"/>
        <v>5.4790394299289336</v>
      </c>
      <c r="F283" s="97">
        <f t="shared" si="40"/>
        <v>9.1334049848642351</v>
      </c>
      <c r="G283" s="98">
        <f t="shared" si="42"/>
        <v>1.5193224928016591</v>
      </c>
    </row>
    <row r="284" spans="1:7" x14ac:dyDescent="0.25">
      <c r="A284" s="93">
        <f>2016</f>
        <v>2016</v>
      </c>
      <c r="B284" s="94" t="s">
        <v>21</v>
      </c>
      <c r="C284" s="95">
        <f t="shared" si="36"/>
        <v>473.232909364791</v>
      </c>
      <c r="D284" s="96">
        <v>-0.139407813338321</v>
      </c>
      <c r="E284" s="96">
        <f t="shared" si="41"/>
        <v>5.3319934075294118</v>
      </c>
      <c r="F284" s="97">
        <f t="shared" si="40"/>
        <v>8.261529562193747</v>
      </c>
      <c r="G284" s="98">
        <f t="shared" si="42"/>
        <v>1.5214435039216543</v>
      </c>
    </row>
    <row r="285" spans="1:7" x14ac:dyDescent="0.25">
      <c r="A285" s="93">
        <f>2016</f>
        <v>2016</v>
      </c>
      <c r="B285" s="94" t="s">
        <v>22</v>
      </c>
      <c r="C285" s="95">
        <f t="shared" si="36"/>
        <v>474.52999334767748</v>
      </c>
      <c r="D285" s="96">
        <v>0.27408997920865802</v>
      </c>
      <c r="E285" s="96">
        <f t="shared" si="41"/>
        <v>5.6206978463601676</v>
      </c>
      <c r="F285" s="97">
        <f t="shared" si="40"/>
        <v>7.6126791792035853</v>
      </c>
      <c r="G285" s="98">
        <f t="shared" si="42"/>
        <v>1.5172847783880343</v>
      </c>
    </row>
    <row r="286" spans="1:7" x14ac:dyDescent="0.25">
      <c r="A286" s="93">
        <f>2016</f>
        <v>2016</v>
      </c>
      <c r="B286" s="94" t="s">
        <v>23</v>
      </c>
      <c r="C286" s="95">
        <f t="shared" si="36"/>
        <v>475.24655023026514</v>
      </c>
      <c r="D286" s="96">
        <v>0.15100349664571899</v>
      </c>
      <c r="E286" s="96">
        <f t="shared" si="41"/>
        <v>5.7801887932897866</v>
      </c>
      <c r="F286" s="97">
        <f t="shared" si="40"/>
        <v>6.6471766613732886</v>
      </c>
      <c r="G286" s="98">
        <f t="shared" si="42"/>
        <v>1.5149970798234205</v>
      </c>
    </row>
    <row r="287" spans="1:7" x14ac:dyDescent="0.25">
      <c r="A287" s="93">
        <f>2016</f>
        <v>2016</v>
      </c>
      <c r="B287" s="94" t="s">
        <v>12</v>
      </c>
      <c r="C287" s="95">
        <f t="shared" si="36"/>
        <v>478.65459638610167</v>
      </c>
      <c r="D287" s="96">
        <v>0.71711118243473804</v>
      </c>
      <c r="E287" s="96">
        <f t="shared" si="41"/>
        <v>6.5387503559270366</v>
      </c>
      <c r="F287" s="97">
        <f t="shared" si="40"/>
        <v>6.5387503559270366</v>
      </c>
      <c r="G287" s="98">
        <f t="shared" si="42"/>
        <v>1.5042102201275596</v>
      </c>
    </row>
    <row r="288" spans="1:7" x14ac:dyDescent="0.25">
      <c r="A288" s="93">
        <f>2017</f>
        <v>2017</v>
      </c>
      <c r="B288" s="94" t="s">
        <v>13</v>
      </c>
      <c r="C288" s="95">
        <f t="shared" si="36"/>
        <v>480.20063487495696</v>
      </c>
      <c r="D288" s="96">
        <v>0.32299668707416185</v>
      </c>
      <c r="E288" s="96">
        <f t="shared" ref="E288:E299" si="43">100*(C288/C$287-1)</f>
        <v>0.32299668707416185</v>
      </c>
      <c r="F288" s="97">
        <f t="shared" si="40"/>
        <v>5.4426348035554906</v>
      </c>
      <c r="G288" s="98">
        <f t="shared" si="42"/>
        <v>1.499367313378275</v>
      </c>
    </row>
    <row r="289" spans="1:7" x14ac:dyDescent="0.25">
      <c r="A289" s="93">
        <f>2017</f>
        <v>2017</v>
      </c>
      <c r="B289" s="94" t="s">
        <v>14</v>
      </c>
      <c r="C289" s="95">
        <f t="shared" si="36"/>
        <v>479.80494824353354</v>
      </c>
      <c r="D289" s="96">
        <v>-8.2400272445792844E-2</v>
      </c>
      <c r="E289" s="96">
        <f t="shared" si="43"/>
        <v>0.24033026447822792</v>
      </c>
      <c r="F289" s="97">
        <f t="shared" si="40"/>
        <v>4.4274914517252739</v>
      </c>
      <c r="G289" s="98">
        <f t="shared" si="42"/>
        <v>1.5006038150101755</v>
      </c>
    </row>
    <row r="290" spans="1:7" x14ac:dyDescent="0.25">
      <c r="A290" s="93">
        <f>2017</f>
        <v>2017</v>
      </c>
      <c r="B290" s="94" t="s">
        <v>15</v>
      </c>
      <c r="C290" s="95">
        <f t="shared" si="36"/>
        <v>480.4569910014327</v>
      </c>
      <c r="D290" s="96">
        <v>0.13589746422710824</v>
      </c>
      <c r="E290" s="96">
        <f t="shared" si="43"/>
        <v>0.37655433144052619</v>
      </c>
      <c r="F290" s="97">
        <f t="shared" si="40"/>
        <v>3.561546611037314</v>
      </c>
      <c r="G290" s="98">
        <f t="shared" si="42"/>
        <v>1.4985673000496713</v>
      </c>
    </row>
    <row r="291" spans="1:7" x14ac:dyDescent="0.25">
      <c r="A291" s="93">
        <f>2017</f>
        <v>2017</v>
      </c>
      <c r="B291" s="94" t="s">
        <v>16</v>
      </c>
      <c r="C291" s="95">
        <f t="shared" si="36"/>
        <v>483.37292941545854</v>
      </c>
      <c r="D291" s="96">
        <v>0.60690935268692403</v>
      </c>
      <c r="E291" s="96">
        <f t="shared" si="43"/>
        <v>0.98574902758290506</v>
      </c>
      <c r="F291" s="97">
        <f t="shared" si="40"/>
        <v>3.7137100702931525</v>
      </c>
      <c r="G291" s="98">
        <f t="shared" si="42"/>
        <v>1.4895272200404284</v>
      </c>
    </row>
    <row r="292" spans="1:7" x14ac:dyDescent="0.25">
      <c r="A292" s="93">
        <f>2017</f>
        <v>2017</v>
      </c>
      <c r="B292" s="94" t="s">
        <v>17</v>
      </c>
      <c r="C292" s="95">
        <f t="shared" si="36"/>
        <v>483.13697775632613</v>
      </c>
      <c r="D292" s="96">
        <v>-4.881358569619465E-2</v>
      </c>
      <c r="E292" s="96">
        <f t="shared" si="43"/>
        <v>0.93645426244037822</v>
      </c>
      <c r="F292" s="97">
        <f t="shared" si="40"/>
        <v>3.0764739623878157</v>
      </c>
      <c r="G292" s="98">
        <f t="shared" si="42"/>
        <v>1.4902546667792882</v>
      </c>
    </row>
    <row r="293" spans="1:7" x14ac:dyDescent="0.25">
      <c r="A293" s="93">
        <f>2017</f>
        <v>2017</v>
      </c>
      <c r="B293" s="94" t="s">
        <v>18</v>
      </c>
      <c r="C293" s="95">
        <f t="shared" si="36"/>
        <v>483.38343171482649</v>
      </c>
      <c r="D293" s="96">
        <v>5.1011197620365323E-2</v>
      </c>
      <c r="E293" s="96">
        <f t="shared" si="43"/>
        <v>0.9879431565951835</v>
      </c>
      <c r="F293" s="97">
        <f t="shared" si="40"/>
        <v>2.4650854127310051</v>
      </c>
      <c r="G293" s="98">
        <f t="shared" si="42"/>
        <v>1.4894948576139255</v>
      </c>
    </row>
    <row r="294" spans="1:7" x14ac:dyDescent="0.25">
      <c r="A294" s="93">
        <f>2017</f>
        <v>2017</v>
      </c>
      <c r="B294" s="94" t="s">
        <v>19</v>
      </c>
      <c r="C294" s="95">
        <f t="shared" si="36"/>
        <v>483.3230184879863</v>
      </c>
      <c r="D294" s="96">
        <v>-1.2497992872007035E-2</v>
      </c>
      <c r="E294" s="96">
        <f t="shared" si="43"/>
        <v>0.9753216906578821</v>
      </c>
      <c r="F294" s="97">
        <f t="shared" si="40"/>
        <v>2.0977898052054966</v>
      </c>
      <c r="G294" s="98">
        <f t="shared" si="42"/>
        <v>1.489681037843851</v>
      </c>
    </row>
    <row r="295" spans="1:7" x14ac:dyDescent="0.25">
      <c r="A295" s="93">
        <f>2017</f>
        <v>2017</v>
      </c>
      <c r="B295" s="94" t="s">
        <v>20</v>
      </c>
      <c r="C295" s="95">
        <f t="shared" si="36"/>
        <v>483.79032079890902</v>
      </c>
      <c r="D295" s="96">
        <v>9.6685300109355943E-2</v>
      </c>
      <c r="E295" s="96">
        <f t="shared" si="43"/>
        <v>1.0729499834708944</v>
      </c>
      <c r="F295" s="97">
        <f t="shared" si="40"/>
        <v>2.0883944736674209</v>
      </c>
      <c r="G295" s="98">
        <f t="shared" si="42"/>
        <v>1.4882421264775123</v>
      </c>
    </row>
    <row r="296" spans="1:7" x14ac:dyDescent="0.25">
      <c r="A296" s="93">
        <f>2017</f>
        <v>2017</v>
      </c>
      <c r="B296" s="94" t="s">
        <v>21</v>
      </c>
      <c r="C296" s="95">
        <f t="shared" si="36"/>
        <v>483.87934028878936</v>
      </c>
      <c r="D296" s="96">
        <v>1.8400428047704587E-2</v>
      </c>
      <c r="E296" s="96">
        <f t="shared" si="43"/>
        <v>1.09154783890828</v>
      </c>
      <c r="F296" s="97">
        <f t="shared" si="40"/>
        <v>2.2497232786047761</v>
      </c>
      <c r="G296" s="98">
        <f t="shared" si="42"/>
        <v>1.4879683339348542</v>
      </c>
    </row>
    <row r="297" spans="1:7" x14ac:dyDescent="0.25">
      <c r="A297" s="93">
        <f>2017</f>
        <v>2017</v>
      </c>
      <c r="B297" s="94" t="s">
        <v>22</v>
      </c>
      <c r="C297" s="95">
        <f t="shared" si="36"/>
        <v>485.43938184346854</v>
      </c>
      <c r="D297" s="96">
        <v>0.32240300934280874</v>
      </c>
      <c r="E297" s="96">
        <f t="shared" si="43"/>
        <v>1.4174700313321464</v>
      </c>
      <c r="F297" s="97">
        <f t="shared" si="40"/>
        <v>2.2989881880444152</v>
      </c>
      <c r="G297" s="98">
        <f t="shared" si="42"/>
        <v>1.4831864960374632</v>
      </c>
    </row>
    <row r="298" spans="1:7" x14ac:dyDescent="0.25">
      <c r="A298" s="93">
        <f>2017</f>
        <v>2017</v>
      </c>
      <c r="B298" s="94" t="s">
        <v>23</v>
      </c>
      <c r="C298" s="95">
        <f t="shared" si="36"/>
        <v>486.8417888857303</v>
      </c>
      <c r="D298" s="96">
        <v>0.28889436966075266</v>
      </c>
      <c r="E298" s="96">
        <f t="shared" si="43"/>
        <v>1.710459392105057</v>
      </c>
      <c r="F298" s="97">
        <f t="shared" si="40"/>
        <v>2.4398364701115893</v>
      </c>
      <c r="G298" s="98">
        <f t="shared" si="42"/>
        <v>1.4789139967686735</v>
      </c>
    </row>
    <row r="299" spans="1:7" x14ac:dyDescent="0.25">
      <c r="A299" s="93">
        <f>2017</f>
        <v>2017</v>
      </c>
      <c r="B299" s="94" t="s">
        <v>12</v>
      </c>
      <c r="C299" s="95">
        <f t="shared" si="36"/>
        <v>489.51117331935711</v>
      </c>
      <c r="D299" s="96">
        <v>0.54830634809235335</v>
      </c>
      <c r="E299" s="96">
        <f t="shared" si="43"/>
        <v>2.2681442976258515</v>
      </c>
      <c r="F299" s="97">
        <f t="shared" si="40"/>
        <v>2.2681442976258515</v>
      </c>
      <c r="G299" s="98">
        <f t="shared" si="42"/>
        <v>1.4708492370311639</v>
      </c>
    </row>
    <row r="300" spans="1:7" x14ac:dyDescent="0.25">
      <c r="A300" s="93">
        <f>2018</f>
        <v>2018</v>
      </c>
      <c r="B300" s="94" t="s">
        <v>13</v>
      </c>
      <c r="C300" s="95">
        <f t="shared" si="36"/>
        <v>491.77716943535739</v>
      </c>
      <c r="D300" s="96">
        <v>0.46290998847577924</v>
      </c>
      <c r="E300" s="96">
        <f t="shared" ref="E300:E311" si="44">100*(C300/C$299-1)</f>
        <v>0.46290998847577924</v>
      </c>
      <c r="F300" s="97">
        <f t="shared" si="40"/>
        <v>2.4107703571476735</v>
      </c>
      <c r="G300" s="98">
        <f t="shared" si="42"/>
        <v>1.4640719019585304</v>
      </c>
    </row>
    <row r="301" spans="1:7" x14ac:dyDescent="0.25">
      <c r="A301" s="93">
        <f>2018</f>
        <v>2018</v>
      </c>
      <c r="B301" s="94" t="s">
        <v>14</v>
      </c>
      <c r="C301" s="95">
        <f t="shared" ref="C301:C364" si="45">+C300*(1+D301/100)</f>
        <v>489.72842088342475</v>
      </c>
      <c r="D301" s="96">
        <v>-0.4166009890790523</v>
      </c>
      <c r="E301" s="96">
        <f t="shared" si="44"/>
        <v>4.4380511806196843E-2</v>
      </c>
      <c r="F301" s="97">
        <f t="shared" si="40"/>
        <v>2.0682305749907259</v>
      </c>
      <c r="G301" s="98">
        <f t="shared" si="42"/>
        <v>1.4701967561862104</v>
      </c>
    </row>
    <row r="302" spans="1:7" x14ac:dyDescent="0.25">
      <c r="A302" s="93">
        <f>2018</f>
        <v>2018</v>
      </c>
      <c r="B302" s="94" t="s">
        <v>15</v>
      </c>
      <c r="C302" s="95">
        <f t="shared" si="45"/>
        <v>489.74402429962856</v>
      </c>
      <c r="D302" s="96">
        <v>3.1861365480168047E-3</v>
      </c>
      <c r="E302" s="96">
        <f t="shared" si="44"/>
        <v>4.7568062377911779E-2</v>
      </c>
      <c r="F302" s="97">
        <f t="shared" si="40"/>
        <v>1.9329583026440389</v>
      </c>
      <c r="G302" s="98">
        <f t="shared" si="42"/>
        <v>1.4701499152024513</v>
      </c>
    </row>
    <row r="303" spans="1:7" x14ac:dyDescent="0.25">
      <c r="A303" s="93">
        <f>2018</f>
        <v>2018</v>
      </c>
      <c r="B303" s="94" t="s">
        <v>16</v>
      </c>
      <c r="C303" s="95">
        <f t="shared" si="45"/>
        <v>489.61669642253003</v>
      </c>
      <c r="D303" s="96">
        <v>-2.5998862830567404E-2</v>
      </c>
      <c r="E303" s="96">
        <f t="shared" si="44"/>
        <v>2.1556832392066738E-2</v>
      </c>
      <c r="F303" s="97">
        <f t="shared" si="40"/>
        <v>1.2917080430263406</v>
      </c>
      <c r="G303" s="98">
        <f t="shared" si="42"/>
        <v>1.4705322368615923</v>
      </c>
    </row>
    <row r="304" spans="1:7" x14ac:dyDescent="0.25">
      <c r="A304" s="93">
        <f>2018</f>
        <v>2018</v>
      </c>
      <c r="B304" s="94" t="s">
        <v>17</v>
      </c>
      <c r="C304" s="95">
        <f t="shared" si="45"/>
        <v>490.57000513944018</v>
      </c>
      <c r="D304" s="96">
        <v>0.19470510786818718</v>
      </c>
      <c r="E304" s="96">
        <f t="shared" si="44"/>
        <v>0.21630391251401537</v>
      </c>
      <c r="F304" s="97">
        <f t="shared" si="40"/>
        <v>1.5384927516069791</v>
      </c>
      <c r="G304" s="98">
        <f t="shared" si="42"/>
        <v>1.4676745994495799</v>
      </c>
    </row>
    <row r="305" spans="1:7" x14ac:dyDescent="0.25">
      <c r="A305" s="93">
        <f>2018</f>
        <v>2018</v>
      </c>
      <c r="B305" s="94" t="s">
        <v>18</v>
      </c>
      <c r="C305" s="95">
        <f t="shared" si="45"/>
        <v>495.52579015641066</v>
      </c>
      <c r="D305" s="96">
        <v>1.0102095450295279</v>
      </c>
      <c r="E305" s="96">
        <f t="shared" si="44"/>
        <v>1.2286985803140471</v>
      </c>
      <c r="F305" s="97">
        <f t="shared" si="40"/>
        <v>2.5119517229849064</v>
      </c>
      <c r="G305" s="98">
        <f t="shared" si="42"/>
        <v>1.4529962922166817</v>
      </c>
    </row>
    <row r="306" spans="1:7" x14ac:dyDescent="0.25">
      <c r="A306" s="93">
        <f>2018</f>
        <v>2018</v>
      </c>
      <c r="B306" s="94" t="s">
        <v>19</v>
      </c>
      <c r="C306" s="95">
        <f t="shared" si="45"/>
        <v>496.65703783118283</v>
      </c>
      <c r="D306" s="96">
        <v>0.22829239108121957</v>
      </c>
      <c r="E306" s="96">
        <f t="shared" si="44"/>
        <v>1.4597959967634466</v>
      </c>
      <c r="F306" s="97">
        <f t="shared" si="40"/>
        <v>2.7588214989036297</v>
      </c>
      <c r="G306" s="98">
        <f t="shared" si="42"/>
        <v>1.4496867676316674</v>
      </c>
    </row>
    <row r="307" spans="1:7" x14ac:dyDescent="0.25">
      <c r="A307" s="93">
        <f>2018</f>
        <v>2018</v>
      </c>
      <c r="B307" s="94" t="s">
        <v>20</v>
      </c>
      <c r="C307" s="95">
        <f t="shared" si="45"/>
        <v>498.70378594514062</v>
      </c>
      <c r="D307" s="96">
        <v>0.41210492514021091</v>
      </c>
      <c r="E307" s="96">
        <f t="shared" si="44"/>
        <v>1.8779168131033197</v>
      </c>
      <c r="F307" s="97">
        <f t="shared" si="40"/>
        <v>3.0826299132244328</v>
      </c>
      <c r="G307" s="98">
        <f t="shared" si="42"/>
        <v>1.4437370561173337</v>
      </c>
    </row>
    <row r="308" spans="1:7" x14ac:dyDescent="0.25">
      <c r="A308" s="93">
        <f>2018</f>
        <v>2018</v>
      </c>
      <c r="B308" s="94" t="s">
        <v>21</v>
      </c>
      <c r="C308" s="95">
        <f t="shared" si="45"/>
        <v>500.63220815288668</v>
      </c>
      <c r="D308" s="96">
        <v>0.38668689953722524</v>
      </c>
      <c r="E308" s="96">
        <f t="shared" si="44"/>
        <v>2.2718653709410175</v>
      </c>
      <c r="F308" s="97">
        <f t="shared" si="40"/>
        <v>3.4621994512307186</v>
      </c>
      <c r="G308" s="98">
        <f t="shared" si="42"/>
        <v>1.4381758186343623</v>
      </c>
    </row>
    <row r="309" spans="1:7" x14ac:dyDescent="0.25">
      <c r="A309" s="93">
        <f>2018</f>
        <v>2018</v>
      </c>
      <c r="B309" s="94" t="s">
        <v>22</v>
      </c>
      <c r="C309" s="95">
        <f t="shared" si="45"/>
        <v>503.03933516801192</v>
      </c>
      <c r="D309" s="96">
        <v>0.48081744960166706</v>
      </c>
      <c r="E309" s="96">
        <f t="shared" si="44"/>
        <v>2.7636063456776272</v>
      </c>
      <c r="F309" s="97">
        <f t="shared" si="40"/>
        <v>3.6255717980084645</v>
      </c>
      <c r="G309" s="98">
        <f t="shared" si="42"/>
        <v>1.431293907770715</v>
      </c>
    </row>
    <row r="310" spans="1:7" x14ac:dyDescent="0.25">
      <c r="A310" s="93">
        <f>2018</f>
        <v>2018</v>
      </c>
      <c r="B310" s="94" t="s">
        <v>23</v>
      </c>
      <c r="C310" s="95">
        <f t="shared" si="45"/>
        <v>503.81600521174363</v>
      </c>
      <c r="D310" s="96">
        <v>0.15439548946452053</v>
      </c>
      <c r="E310" s="96">
        <f t="shared" si="44"/>
        <v>2.9222687186864382</v>
      </c>
      <c r="F310" s="97">
        <f t="shared" si="40"/>
        <v>3.4865980516716633</v>
      </c>
      <c r="G310" s="98">
        <f t="shared" si="42"/>
        <v>1.4290874611901343</v>
      </c>
    </row>
    <row r="311" spans="1:7" x14ac:dyDescent="0.25">
      <c r="A311" s="93">
        <f>2018</f>
        <v>2018</v>
      </c>
      <c r="B311" s="94" t="s">
        <v>12</v>
      </c>
      <c r="C311" s="95">
        <f t="shared" si="45"/>
        <v>504.28700833291975</v>
      </c>
      <c r="D311" s="96">
        <v>9.3487129488512011E-2</v>
      </c>
      <c r="E311" s="96">
        <f t="shared" si="44"/>
        <v>3.0184877933159937</v>
      </c>
      <c r="F311" s="97">
        <f t="shared" si="40"/>
        <v>3.0184877933159937</v>
      </c>
      <c r="G311" s="98">
        <f t="shared" si="42"/>
        <v>1.4277526961782825</v>
      </c>
    </row>
    <row r="312" spans="1:7" x14ac:dyDescent="0.25">
      <c r="A312" s="93">
        <f>2019</f>
        <v>2019</v>
      </c>
      <c r="B312" s="94" t="s">
        <v>13</v>
      </c>
      <c r="C312" s="95">
        <f t="shared" si="45"/>
        <v>507.20534727251544</v>
      </c>
      <c r="D312" s="96">
        <v>0.57870595342981446</v>
      </c>
      <c r="E312" s="96">
        <f t="shared" ref="E312:E323" si="46">100*(C312/C$311-1)</f>
        <v>0.57870595342981446</v>
      </c>
      <c r="F312" s="97">
        <f t="shared" si="40"/>
        <v>3.1372293786781968</v>
      </c>
      <c r="G312" s="98">
        <f t="shared" si="42"/>
        <v>1.4195377467267913</v>
      </c>
    </row>
    <row r="313" spans="1:7" x14ac:dyDescent="0.25">
      <c r="A313" s="99">
        <f>2019</f>
        <v>2019</v>
      </c>
      <c r="B313" s="100" t="s">
        <v>14</v>
      </c>
      <c r="C313" s="101">
        <f t="shared" si="45"/>
        <v>509.96205082374405</v>
      </c>
      <c r="D313" s="102">
        <v>0.54350837704151278</v>
      </c>
      <c r="E313" s="102">
        <f t="shared" si="46"/>
        <v>1.125359645806645</v>
      </c>
      <c r="F313" s="103">
        <f t="shared" si="40"/>
        <v>4.1316021446784035</v>
      </c>
      <c r="G313" s="98">
        <f t="shared" si="42"/>
        <v>1.4118641468163984</v>
      </c>
    </row>
    <row r="314" spans="1:7" x14ac:dyDescent="0.25">
      <c r="A314" s="99">
        <f>2019</f>
        <v>2019</v>
      </c>
      <c r="B314" s="100" t="s">
        <v>15</v>
      </c>
      <c r="C314" s="101">
        <f t="shared" si="45"/>
        <v>512.56592091369487</v>
      </c>
      <c r="D314" s="102">
        <v>0.5106007566141102</v>
      </c>
      <c r="E314" s="102">
        <f t="shared" si="46"/>
        <v>1.6417064972868767</v>
      </c>
      <c r="F314" s="103">
        <f t="shared" si="40"/>
        <v>4.6599642837303445</v>
      </c>
      <c r="G314" s="98">
        <f t="shared" si="42"/>
        <v>1.4046917799598275</v>
      </c>
    </row>
    <row r="315" spans="1:7" x14ac:dyDescent="0.25">
      <c r="A315" s="99">
        <f>2019</f>
        <v>2019</v>
      </c>
      <c r="B315" s="100" t="s">
        <v>16</v>
      </c>
      <c r="C315" s="101">
        <f t="shared" si="45"/>
        <v>514.0374430879873</v>
      </c>
      <c r="D315" s="102">
        <v>0.28708935070620445</v>
      </c>
      <c r="E315" s="102">
        <f t="shared" si="46"/>
        <v>1.9335090125166321</v>
      </c>
      <c r="F315" s="103">
        <f t="shared" si="40"/>
        <v>4.9877275109063257</v>
      </c>
      <c r="G315" s="98">
        <f t="shared" si="42"/>
        <v>1.4006706038177943</v>
      </c>
    </row>
    <row r="316" spans="1:7" x14ac:dyDescent="0.25">
      <c r="A316" s="99">
        <f>2019</f>
        <v>2019</v>
      </c>
      <c r="B316" s="100" t="s">
        <v>17</v>
      </c>
      <c r="C316" s="101">
        <f t="shared" si="45"/>
        <v>513.94852362000563</v>
      </c>
      <c r="D316" s="102">
        <v>-1.7298247273089817E-2</v>
      </c>
      <c r="E316" s="102">
        <f t="shared" si="46"/>
        <v>1.9158763020735048</v>
      </c>
      <c r="F316" s="103">
        <f t="shared" si="40"/>
        <v>4.7655825337140856</v>
      </c>
      <c r="G316" s="98">
        <f t="shared" si="42"/>
        <v>1.4009129372017521</v>
      </c>
    </row>
    <row r="317" spans="1:7" x14ac:dyDescent="0.25">
      <c r="A317" s="99">
        <f>2019</f>
        <v>2019</v>
      </c>
      <c r="B317" s="100" t="s">
        <v>18</v>
      </c>
      <c r="C317" s="101">
        <f t="shared" si="45"/>
        <v>514.74359769310581</v>
      </c>
      <c r="D317" s="102">
        <v>0.15469916471402279</v>
      </c>
      <c r="E317" s="102">
        <f t="shared" si="46"/>
        <v>2.0735393114237999</v>
      </c>
      <c r="F317" s="103">
        <f t="shared" si="40"/>
        <v>3.8782658578939255</v>
      </c>
      <c r="G317" s="98">
        <f t="shared" si="42"/>
        <v>1.3987490840522783</v>
      </c>
    </row>
    <row r="318" spans="1:7" x14ac:dyDescent="0.25">
      <c r="A318" s="99">
        <f>2019</f>
        <v>2019</v>
      </c>
      <c r="B318" s="100" t="s">
        <v>19</v>
      </c>
      <c r="C318" s="101">
        <f t="shared" si="45"/>
        <v>515.48385976569546</v>
      </c>
      <c r="D318" s="102">
        <v>0.14381180764699852</v>
      </c>
      <c r="E318" s="102">
        <f t="shared" si="46"/>
        <v>2.2203331134368121</v>
      </c>
      <c r="F318" s="103">
        <f t="shared" si="40"/>
        <v>3.7907087789848193</v>
      </c>
      <c r="G318" s="98">
        <f t="shared" si="42"/>
        <v>1.3967404064256617</v>
      </c>
    </row>
    <row r="319" spans="1:7" x14ac:dyDescent="0.25">
      <c r="A319" s="99">
        <f>2019</f>
        <v>2019</v>
      </c>
      <c r="B319" s="100" t="s">
        <v>20</v>
      </c>
      <c r="C319" s="101">
        <f t="shared" si="45"/>
        <v>517.18593241658834</v>
      </c>
      <c r="D319" s="102">
        <v>0.33018931992683243</v>
      </c>
      <c r="E319" s="102">
        <f t="shared" si="46"/>
        <v>2.5578537361710119</v>
      </c>
      <c r="F319" s="103">
        <f t="shared" si="40"/>
        <v>3.7060369285988992</v>
      </c>
      <c r="G319" s="98">
        <f t="shared" si="42"/>
        <v>1.3921436966213834</v>
      </c>
    </row>
    <row r="320" spans="1:7" x14ac:dyDescent="0.25">
      <c r="A320" s="99">
        <f>2019</f>
        <v>2019</v>
      </c>
      <c r="B320" s="100" t="s">
        <v>21</v>
      </c>
      <c r="C320" s="101">
        <f t="shared" si="45"/>
        <v>517.1937341246902</v>
      </c>
      <c r="D320" s="102">
        <v>1.5084919393393292E-3</v>
      </c>
      <c r="E320" s="102">
        <f t="shared" si="46"/>
        <v>2.5594008131277768</v>
      </c>
      <c r="F320" s="103">
        <f t="shared" si="40"/>
        <v>3.3081223505192048</v>
      </c>
      <c r="G320" s="98">
        <f t="shared" si="42"/>
        <v>1.39212269656272</v>
      </c>
    </row>
    <row r="321" spans="1:7" x14ac:dyDescent="0.25">
      <c r="A321" s="99">
        <f>2019</f>
        <v>2019</v>
      </c>
      <c r="B321" s="100" t="s">
        <v>22</v>
      </c>
      <c r="C321" s="101">
        <f t="shared" si="45"/>
        <v>518.04392026399739</v>
      </c>
      <c r="D321" s="102">
        <v>0.16438446238062898</v>
      </c>
      <c r="E321" s="102">
        <f t="shared" si="46"/>
        <v>2.7279925327752252</v>
      </c>
      <c r="F321" s="103">
        <f t="shared" si="40"/>
        <v>2.9827856485564963</v>
      </c>
      <c r="G321" s="98">
        <f t="shared" si="42"/>
        <v>1.3898380188075417</v>
      </c>
    </row>
    <row r="322" spans="1:7" x14ac:dyDescent="0.25">
      <c r="A322" s="99">
        <f>2019</f>
        <v>2019</v>
      </c>
      <c r="B322" s="100" t="s">
        <v>23</v>
      </c>
      <c r="C322" s="101">
        <f t="shared" si="45"/>
        <v>521.57809403414763</v>
      </c>
      <c r="D322" s="102">
        <v>0.68221508484245241</v>
      </c>
      <c r="E322" s="102">
        <f t="shared" si="46"/>
        <v>3.4288183941896477</v>
      </c>
      <c r="F322" s="103">
        <f t="shared" si="40"/>
        <v>3.5255110275702606</v>
      </c>
      <c r="G322" s="98">
        <f t="shared" si="42"/>
        <v>1.3804205813671848</v>
      </c>
    </row>
    <row r="323" spans="1:7" x14ac:dyDescent="0.25">
      <c r="A323" s="99">
        <f>2019</f>
        <v>2019</v>
      </c>
      <c r="B323" s="100" t="s">
        <v>12</v>
      </c>
      <c r="C323" s="101">
        <f t="shared" si="45"/>
        <v>526.47936711630371</v>
      </c>
      <c r="D323" s="102">
        <v>0.93970071562001767</v>
      </c>
      <c r="E323" s="102">
        <f t="shared" si="46"/>
        <v>4.4007397407971771</v>
      </c>
      <c r="F323" s="103">
        <f t="shared" si="40"/>
        <v>4.4007397407971771</v>
      </c>
      <c r="G323" s="98">
        <f t="shared" si="42"/>
        <v>1.3675695207936853</v>
      </c>
    </row>
    <row r="324" spans="1:7" x14ac:dyDescent="0.25">
      <c r="A324" s="99">
        <f>2020</f>
        <v>2020</v>
      </c>
      <c r="B324" s="100" t="s">
        <v>13</v>
      </c>
      <c r="C324" s="101">
        <f t="shared" si="45"/>
        <v>527.98929769971312</v>
      </c>
      <c r="D324" s="102">
        <v>0.28679767484143248</v>
      </c>
      <c r="E324" s="102">
        <f t="shared" ref="E324:E335" si="47">100*(C324/C$323-1)</f>
        <v>0.28679767484143248</v>
      </c>
      <c r="F324" s="103">
        <f t="shared" si="40"/>
        <v>4.0977388229368694</v>
      </c>
      <c r="G324" s="98">
        <f t="shared" si="42"/>
        <v>1.3636585796943463</v>
      </c>
    </row>
    <row r="325" spans="1:7" x14ac:dyDescent="0.25">
      <c r="A325" s="99">
        <f>2020</f>
        <v>2020</v>
      </c>
      <c r="B325" s="100" t="s">
        <v>14</v>
      </c>
      <c r="C325" s="101">
        <f t="shared" si="45"/>
        <v>528.54952035456711</v>
      </c>
      <c r="D325" s="102">
        <v>0.10610492623519541</v>
      </c>
      <c r="E325" s="102">
        <f t="shared" si="47"/>
        <v>0.39320690753794629</v>
      </c>
      <c r="F325" s="103">
        <f t="shared" si="40"/>
        <v>3.6448730843400279</v>
      </c>
      <c r="G325" s="98">
        <f t="shared" si="42"/>
        <v>1.3622132043786743</v>
      </c>
    </row>
    <row r="326" spans="1:7" x14ac:dyDescent="0.25">
      <c r="A326" s="99">
        <f>2020</f>
        <v>2020</v>
      </c>
      <c r="B326" s="100" t="s">
        <v>15</v>
      </c>
      <c r="C326" s="101">
        <f t="shared" si="45"/>
        <v>529.0859377975205</v>
      </c>
      <c r="D326" s="102">
        <v>0.10148858759602142</v>
      </c>
      <c r="E326" s="102">
        <f t="shared" si="47"/>
        <v>0.49509455527076973</v>
      </c>
      <c r="F326" s="103">
        <f t="shared" si="40"/>
        <v>3.2230033659626178</v>
      </c>
      <c r="G326" s="98">
        <f t="shared" si="42"/>
        <v>1.3608321150855209</v>
      </c>
    </row>
    <row r="327" spans="1:7" x14ac:dyDescent="0.25">
      <c r="A327" s="99">
        <f>2020</f>
        <v>2020</v>
      </c>
      <c r="B327" s="100" t="s">
        <v>16</v>
      </c>
      <c r="C327" s="101">
        <f t="shared" si="45"/>
        <v>527.47748564385017</v>
      </c>
      <c r="D327" s="102">
        <v>-0.30400584078382753</v>
      </c>
      <c r="E327" s="102">
        <f t="shared" si="47"/>
        <v>0.18958359812151215</v>
      </c>
      <c r="F327" s="103">
        <f t="shared" si="40"/>
        <v>2.6146038068986188</v>
      </c>
      <c r="G327" s="98">
        <f t="shared" si="42"/>
        <v>1.3649817392986214</v>
      </c>
    </row>
    <row r="328" spans="1:7" x14ac:dyDescent="0.25">
      <c r="A328" s="99">
        <f>2020</f>
        <v>2020</v>
      </c>
      <c r="B328" s="100" t="s">
        <v>17</v>
      </c>
      <c r="C328" s="101">
        <f t="shared" si="45"/>
        <v>526.20050606261088</v>
      </c>
      <c r="D328" s="102">
        <v>-0.24209176997963544</v>
      </c>
      <c r="E328" s="102">
        <f t="shared" si="47"/>
        <v>-5.2967138146409187E-2</v>
      </c>
      <c r="F328" s="103">
        <f t="shared" si="40"/>
        <v>2.3838929152492083</v>
      </c>
      <c r="G328" s="98">
        <f t="shared" si="42"/>
        <v>1.368294267108394</v>
      </c>
    </row>
    <row r="329" spans="1:7" x14ac:dyDescent="0.25">
      <c r="A329" s="99">
        <f>2020</f>
        <v>2020</v>
      </c>
      <c r="B329" s="100" t="s">
        <v>18</v>
      </c>
      <c r="C329" s="101">
        <f t="shared" si="45"/>
        <v>528.25005478973355</v>
      </c>
      <c r="D329" s="102">
        <v>0.38949957354825759</v>
      </c>
      <c r="E329" s="102">
        <f t="shared" si="47"/>
        <v>0.33632612862466438</v>
      </c>
      <c r="F329" s="103">
        <f t="shared" si="40"/>
        <v>2.6239193954346929</v>
      </c>
      <c r="G329" s="98">
        <f t="shared" si="42"/>
        <v>1.3629854446140972</v>
      </c>
    </row>
    <row r="330" spans="1:7" x14ac:dyDescent="0.25">
      <c r="A330" s="99">
        <f>2020</f>
        <v>2020</v>
      </c>
      <c r="B330" s="100" t="s">
        <v>19</v>
      </c>
      <c r="C330" s="101">
        <f t="shared" si="45"/>
        <v>529.54533837844258</v>
      </c>
      <c r="D330" s="102">
        <v>0.24520273627317568</v>
      </c>
      <c r="E330" s="102">
        <f t="shared" si="47"/>
        <v>0.58235354576803289</v>
      </c>
      <c r="F330" s="103">
        <f t="shared" si="40"/>
        <v>2.7278213170706334</v>
      </c>
      <c r="G330" s="98">
        <f t="shared" si="42"/>
        <v>1.3596515418297501</v>
      </c>
    </row>
    <row r="331" spans="1:7" x14ac:dyDescent="0.25">
      <c r="A331" s="99">
        <f>2020</f>
        <v>2020</v>
      </c>
      <c r="B331" s="100" t="s">
        <v>20</v>
      </c>
      <c r="C331" s="101">
        <f t="shared" si="45"/>
        <v>533.67044152636061</v>
      </c>
      <c r="D331" s="102">
        <v>0.77898960654620986</v>
      </c>
      <c r="E331" s="102">
        <f t="shared" si="47"/>
        <v>1.3658796259091277</v>
      </c>
      <c r="F331" s="103">
        <f t="shared" si="40"/>
        <v>3.1873467696128532</v>
      </c>
      <c r="G331" s="98">
        <f t="shared" si="42"/>
        <v>1.3491418669089659</v>
      </c>
    </row>
    <row r="332" spans="1:7" x14ac:dyDescent="0.25">
      <c r="A332" s="99">
        <f>2020</f>
        <v>2020</v>
      </c>
      <c r="B332" s="100" t="s">
        <v>21</v>
      </c>
      <c r="C332" s="101">
        <f t="shared" si="45"/>
        <v>539.64865039227197</v>
      </c>
      <c r="D332" s="102">
        <v>1.1202061048786849</v>
      </c>
      <c r="E332" s="102">
        <f t="shared" si="47"/>
        <v>2.5013863977425554</v>
      </c>
      <c r="F332" s="103">
        <f t="shared" si="40"/>
        <v>4.3416837416998089</v>
      </c>
      <c r="G332" s="98">
        <f t="shared" si="42"/>
        <v>1.3341961205158921</v>
      </c>
    </row>
    <row r="333" spans="1:7" x14ac:dyDescent="0.25">
      <c r="A333" s="99">
        <f>2020</f>
        <v>2020</v>
      </c>
      <c r="B333" s="100" t="s">
        <v>22</v>
      </c>
      <c r="C333" s="101">
        <f t="shared" si="45"/>
        <v>546.07695780252243</v>
      </c>
      <c r="D333" s="102">
        <v>1.1912023509329073</v>
      </c>
      <c r="E333" s="102">
        <f t="shared" si="47"/>
        <v>3.722385322251287</v>
      </c>
      <c r="F333" s="103">
        <f t="shared" si="40"/>
        <v>5.4113244923787995</v>
      </c>
      <c r="G333" s="98">
        <f t="shared" si="42"/>
        <v>1.3184902338534095</v>
      </c>
    </row>
    <row r="334" spans="1:7" x14ac:dyDescent="0.25">
      <c r="A334" s="99">
        <f>2020</f>
        <v>2020</v>
      </c>
      <c r="B334" s="100" t="s">
        <v>23</v>
      </c>
      <c r="C334" s="101">
        <f t="shared" si="45"/>
        <v>551.71029116157138</v>
      </c>
      <c r="D334" s="102">
        <v>1.0316006340421513</v>
      </c>
      <c r="E334" s="102">
        <f t="shared" si="47"/>
        <v>4.792386106879265</v>
      </c>
      <c r="F334" s="103">
        <f t="shared" si="40"/>
        <v>5.7771209090409004</v>
      </c>
      <c r="G334" s="98">
        <f t="shared" si="42"/>
        <v>1.3050275612570568</v>
      </c>
    </row>
    <row r="335" spans="1:7" x14ac:dyDescent="0.25">
      <c r="A335" s="99">
        <f>2020</f>
        <v>2020</v>
      </c>
      <c r="B335" s="100" t="s">
        <v>12</v>
      </c>
      <c r="C335" s="101">
        <f t="shared" si="45"/>
        <v>556.04233961798673</v>
      </c>
      <c r="D335" s="102">
        <v>0.7852034891889792</v>
      </c>
      <c r="E335" s="102">
        <f t="shared" si="47"/>
        <v>5.61521957899489</v>
      </c>
      <c r="F335" s="103">
        <f t="shared" si="40"/>
        <v>5.61521957899489</v>
      </c>
      <c r="G335" s="98">
        <f t="shared" si="42"/>
        <v>1.2948602732116767</v>
      </c>
    </row>
    <row r="336" spans="1:7" x14ac:dyDescent="0.25">
      <c r="A336" s="99">
        <f>2021</f>
        <v>2021</v>
      </c>
      <c r="B336" s="100" t="s">
        <v>13</v>
      </c>
      <c r="C336" s="101">
        <f t="shared" si="45"/>
        <v>560.83928985975479</v>
      </c>
      <c r="D336" s="102">
        <v>0.86269514027721428</v>
      </c>
      <c r="E336" s="102">
        <f t="shared" ref="E336:E347" si="48">100*(C336/C$335-1)</f>
        <v>0.86269514027721428</v>
      </c>
      <c r="F336" s="103">
        <f t="shared" ref="F336:F383" si="49">100*(C336/C324-1)</f>
        <v>6.2217155353638809</v>
      </c>
      <c r="G336" s="98">
        <f t="shared" si="42"/>
        <v>1.2837851213581184</v>
      </c>
    </row>
    <row r="337" spans="1:7" x14ac:dyDescent="0.25">
      <c r="A337" s="99">
        <f>2021</f>
        <v>2021</v>
      </c>
      <c r="B337" s="100" t="s">
        <v>14</v>
      </c>
      <c r="C337" s="101">
        <f t="shared" si="45"/>
        <v>562.10226637517019</v>
      </c>
      <c r="D337" s="102">
        <v>0.22519401515739279</v>
      </c>
      <c r="E337" s="102">
        <f t="shared" si="48"/>
        <v>1.0898318932595519</v>
      </c>
      <c r="F337" s="103">
        <f t="shared" si="49"/>
        <v>6.3480799297849888</v>
      </c>
      <c r="G337" s="98">
        <f t="shared" si="42"/>
        <v>1.2809006098446336</v>
      </c>
    </row>
    <row r="338" spans="1:7" x14ac:dyDescent="0.25">
      <c r="A338" s="99">
        <f>2021</f>
        <v>2021</v>
      </c>
      <c r="B338" s="100" t="s">
        <v>15</v>
      </c>
      <c r="C338" s="101">
        <f t="shared" si="45"/>
        <v>566.085938558267</v>
      </c>
      <c r="D338" s="102">
        <v>0.70870950383927767</v>
      </c>
      <c r="E338" s="102">
        <f t="shared" si="48"/>
        <v>1.8062651393022433</v>
      </c>
      <c r="F338" s="103">
        <f t="shared" si="49"/>
        <v>6.9931929989993868</v>
      </c>
      <c r="G338" s="98">
        <f t="shared" si="42"/>
        <v>1.271886628430883</v>
      </c>
    </row>
    <row r="339" spans="1:7" x14ac:dyDescent="0.25">
      <c r="A339" s="99">
        <f>2021</f>
        <v>2021</v>
      </c>
      <c r="B339" s="100" t="s">
        <v>16</v>
      </c>
      <c r="C339" s="101">
        <f t="shared" si="45"/>
        <v>568.56818201934755</v>
      </c>
      <c r="D339" s="102">
        <v>0.43849233694135403</v>
      </c>
      <c r="E339" s="102">
        <f t="shared" si="48"/>
        <v>2.2526778104642764</v>
      </c>
      <c r="F339" s="103">
        <f t="shared" si="49"/>
        <v>7.7900379625380989</v>
      </c>
      <c r="G339" s="98">
        <f t="shared" si="42"/>
        <v>1.2663338515318217</v>
      </c>
    </row>
    <row r="340" spans="1:7" x14ac:dyDescent="0.25">
      <c r="A340" s="99">
        <f>2021</f>
        <v>2021</v>
      </c>
      <c r="B340" s="100" t="s">
        <v>17</v>
      </c>
      <c r="C340" s="101">
        <f t="shared" si="45"/>
        <v>570.90449353016334</v>
      </c>
      <c r="D340" s="102">
        <v>0.41091140600202358</v>
      </c>
      <c r="E340" s="102">
        <f t="shared" si="48"/>
        <v>2.672845726529971</v>
      </c>
      <c r="F340" s="103">
        <f t="shared" si="49"/>
        <v>8.4956184862036821</v>
      </c>
      <c r="G340" s="98">
        <f t="shared" si="42"/>
        <v>1.2611516356141024</v>
      </c>
    </row>
    <row r="341" spans="1:7" x14ac:dyDescent="0.25">
      <c r="A341" s="99">
        <f>2021</f>
        <v>2021</v>
      </c>
      <c r="B341" s="100" t="s">
        <v>18</v>
      </c>
      <c r="C341" s="101">
        <f t="shared" si="45"/>
        <v>575.50420058761222</v>
      </c>
      <c r="D341" s="102">
        <v>0.80568766047133256</v>
      </c>
      <c r="E341" s="102">
        <f t="shared" si="48"/>
        <v>3.5000681752033858</v>
      </c>
      <c r="F341" s="103">
        <f t="shared" si="49"/>
        <v>8.9454123798790484</v>
      </c>
      <c r="G341" s="98">
        <f t="shared" si="42"/>
        <v>1.2510719036626685</v>
      </c>
    </row>
    <row r="342" spans="1:7" x14ac:dyDescent="0.25">
      <c r="A342" s="99">
        <f>2021</f>
        <v>2021</v>
      </c>
      <c r="B342" s="100" t="s">
        <v>19</v>
      </c>
      <c r="C342" s="101">
        <f t="shared" si="45"/>
        <v>581.39969134326395</v>
      </c>
      <c r="D342" s="102">
        <v>1.0244044699642796</v>
      </c>
      <c r="E342" s="102">
        <f t="shared" si="48"/>
        <v>4.560327500006256</v>
      </c>
      <c r="F342" s="103">
        <f t="shared" si="49"/>
        <v>9.792240476256131</v>
      </c>
      <c r="G342" s="98">
        <f t="shared" si="42"/>
        <v>1.2383858239269567</v>
      </c>
    </row>
    <row r="343" spans="1:7" x14ac:dyDescent="0.25">
      <c r="A343" s="99">
        <f>2021</f>
        <v>2021</v>
      </c>
      <c r="B343" s="100" t="s">
        <v>20</v>
      </c>
      <c r="C343" s="101">
        <f t="shared" si="45"/>
        <v>589.749219384551</v>
      </c>
      <c r="D343" s="102">
        <v>1.4361080966514228</v>
      </c>
      <c r="E343" s="102">
        <f t="shared" si="48"/>
        <v>6.061926829119102</v>
      </c>
      <c r="F343" s="103">
        <f t="shared" si="49"/>
        <v>10.50812889276731</v>
      </c>
      <c r="G343" s="98">
        <f t="shared" si="42"/>
        <v>1.2208530543650045</v>
      </c>
    </row>
    <row r="344" spans="1:7" x14ac:dyDescent="0.25">
      <c r="A344" s="99">
        <f>2021</f>
        <v>2021</v>
      </c>
      <c r="B344" s="100" t="s">
        <v>21</v>
      </c>
      <c r="C344" s="101">
        <f t="shared" si="45"/>
        <v>596.39327403038783</v>
      </c>
      <c r="D344" s="102">
        <v>1.1265898160527366</v>
      </c>
      <c r="E344" s="102">
        <f t="shared" si="48"/>
        <v>7.2568096954852557</v>
      </c>
      <c r="F344" s="103">
        <f t="shared" si="49"/>
        <v>10.515105262816471</v>
      </c>
      <c r="G344" s="98">
        <f t="shared" si="42"/>
        <v>1.2072522732010562</v>
      </c>
    </row>
    <row r="345" spans="1:7" x14ac:dyDescent="0.25">
      <c r="A345" s="99">
        <f>2021</f>
        <v>2021</v>
      </c>
      <c r="B345" s="100" t="s">
        <v>22</v>
      </c>
      <c r="C345" s="101">
        <f t="shared" si="45"/>
        <v>602.33037389591618</v>
      </c>
      <c r="D345" s="102">
        <v>0.99550080862009782</v>
      </c>
      <c r="E345" s="102">
        <f t="shared" si="48"/>
        <v>8.3245521033039171</v>
      </c>
      <c r="F345" s="103">
        <f t="shared" si="49"/>
        <v>10.301371498948431</v>
      </c>
      <c r="G345" s="98">
        <f t="shared" si="42"/>
        <v>1.1953525291079261</v>
      </c>
    </row>
    <row r="346" spans="1:7" x14ac:dyDescent="0.25">
      <c r="A346" s="99">
        <f>2021</f>
        <v>2021</v>
      </c>
      <c r="B346" s="100" t="s">
        <v>23</v>
      </c>
      <c r="C346" s="101">
        <f t="shared" si="45"/>
        <v>606.66292246182513</v>
      </c>
      <c r="D346" s="102">
        <v>0.71929770665319914</v>
      </c>
      <c r="E346" s="102">
        <f t="shared" si="48"/>
        <v>9.1037281223253395</v>
      </c>
      <c r="F346" s="103">
        <f t="shared" si="49"/>
        <v>9.9604144023770935</v>
      </c>
      <c r="G346" s="98">
        <f t="shared" ref="G346:G387" si="50">C$387/C346</f>
        <v>1.186815790345771</v>
      </c>
    </row>
    <row r="347" spans="1:7" x14ac:dyDescent="0.25">
      <c r="A347" s="99">
        <f>2021</f>
        <v>2021</v>
      </c>
      <c r="B347" s="100" t="s">
        <v>12</v>
      </c>
      <c r="C347" s="101">
        <f t="shared" si="45"/>
        <v>610.13788326792007</v>
      </c>
      <c r="D347" s="102">
        <v>0.57279927245159623</v>
      </c>
      <c r="E347" s="102">
        <f t="shared" si="48"/>
        <v>9.7286734832275901</v>
      </c>
      <c r="F347" s="103">
        <f t="shared" si="49"/>
        <v>9.7286734832275901</v>
      </c>
      <c r="G347" s="98">
        <f t="shared" si="50"/>
        <v>1.1800564356677479</v>
      </c>
    </row>
    <row r="348" spans="1:7" x14ac:dyDescent="0.25">
      <c r="A348" s="99">
        <f>2022</f>
        <v>2022</v>
      </c>
      <c r="B348" s="100" t="s">
        <v>13</v>
      </c>
      <c r="C348" s="101">
        <f t="shared" si="45"/>
        <v>614.6590731348565</v>
      </c>
      <c r="D348" s="102">
        <v>0.74101116992126848</v>
      </c>
      <c r="E348" s="102">
        <f t="shared" ref="E348:E357" si="51">100*(C348/C$347-1)</f>
        <v>0.74101116992126848</v>
      </c>
      <c r="F348" s="103">
        <f t="shared" si="49"/>
        <v>9.5962933140008921</v>
      </c>
      <c r="G348" s="98">
        <f t="shared" si="50"/>
        <v>1.1713764056599854</v>
      </c>
    </row>
    <row r="349" spans="1:7" x14ac:dyDescent="0.25">
      <c r="A349" s="99">
        <f>2022</f>
        <v>2022</v>
      </c>
      <c r="B349" s="100" t="s">
        <v>14</v>
      </c>
      <c r="C349" s="101">
        <f t="shared" si="45"/>
        <v>620.194084967442</v>
      </c>
      <c r="D349" s="102">
        <v>0.90050111915798148</v>
      </c>
      <c r="E349" s="102">
        <f t="shared" si="51"/>
        <v>1.6481851029574779</v>
      </c>
      <c r="F349" s="103">
        <f t="shared" si="49"/>
        <v>10.334741926391544</v>
      </c>
      <c r="G349" s="98">
        <f t="shared" si="50"/>
        <v>1.1609222874687743</v>
      </c>
    </row>
    <row r="350" spans="1:7" x14ac:dyDescent="0.25">
      <c r="A350" s="99">
        <f>2022</f>
        <v>2022</v>
      </c>
      <c r="B350" s="100" t="s">
        <v>15</v>
      </c>
      <c r="C350" s="101">
        <f t="shared" si="45"/>
        <v>628.14552585173578</v>
      </c>
      <c r="D350" s="102">
        <v>1.2820891196843931</v>
      </c>
      <c r="E350" s="102">
        <f t="shared" si="51"/>
        <v>2.951405424519149</v>
      </c>
      <c r="F350" s="103">
        <f t="shared" si="49"/>
        <v>10.962926839611132</v>
      </c>
      <c r="G350" s="98">
        <f t="shared" si="50"/>
        <v>1.1462266404249619</v>
      </c>
    </row>
    <row r="351" spans="1:7" x14ac:dyDescent="0.25">
      <c r="A351" s="99">
        <f>2022</f>
        <v>2022</v>
      </c>
      <c r="B351" s="100" t="s">
        <v>16</v>
      </c>
      <c r="C351" s="101">
        <f t="shared" si="45"/>
        <v>638.29194730392294</v>
      </c>
      <c r="D351" s="102">
        <v>1.6152978942943319</v>
      </c>
      <c r="E351" s="102">
        <f t="shared" si="51"/>
        <v>4.6143773084878381</v>
      </c>
      <c r="F351" s="103">
        <f t="shared" si="49"/>
        <v>12.26304381594867</v>
      </c>
      <c r="G351" s="98">
        <f t="shared" si="50"/>
        <v>1.1280059835255596</v>
      </c>
    </row>
    <row r="352" spans="1:7" x14ac:dyDescent="0.25">
      <c r="A352" s="99">
        <f>2022</f>
        <v>2022</v>
      </c>
      <c r="B352" s="100" t="s">
        <v>17</v>
      </c>
      <c r="C352" s="101">
        <f t="shared" si="45"/>
        <v>640.98303648957676</v>
      </c>
      <c r="D352" s="102">
        <v>0.42160788601841581</v>
      </c>
      <c r="E352" s="102">
        <f t="shared" si="51"/>
        <v>5.0554397731294776</v>
      </c>
      <c r="F352" s="103">
        <f t="shared" si="49"/>
        <v>12.275002868883679</v>
      </c>
      <c r="G352" s="98">
        <f t="shared" si="50"/>
        <v>1.1232701878323645</v>
      </c>
    </row>
    <row r="353" spans="1:7" x14ac:dyDescent="0.25">
      <c r="A353" s="99">
        <f>2022</f>
        <v>2022</v>
      </c>
      <c r="B353" s="100" t="s">
        <v>18</v>
      </c>
      <c r="C353" s="101">
        <f t="shared" si="45"/>
        <v>642.77262830186874</v>
      </c>
      <c r="D353" s="102">
        <v>0.27919487886807204</v>
      </c>
      <c r="E353" s="102">
        <f t="shared" si="51"/>
        <v>5.3487491809483867</v>
      </c>
      <c r="F353" s="103">
        <f t="shared" si="49"/>
        <v>11.688607597576661</v>
      </c>
      <c r="G353" s="98">
        <f t="shared" si="50"/>
        <v>1.1201428064806613</v>
      </c>
    </row>
    <row r="354" spans="1:7" x14ac:dyDescent="0.25">
      <c r="A354" s="99">
        <f>2022</f>
        <v>2022</v>
      </c>
      <c r="B354" s="100" t="s">
        <v>19</v>
      </c>
      <c r="C354" s="101">
        <f t="shared" si="45"/>
        <v>643.79785276397433</v>
      </c>
      <c r="D354" s="102">
        <v>0.15950032981555395</v>
      </c>
      <c r="E354" s="102">
        <f t="shared" si="51"/>
        <v>5.5167807833485627</v>
      </c>
      <c r="F354" s="103">
        <f t="shared" si="49"/>
        <v>10.732403602854678</v>
      </c>
      <c r="G354" s="98">
        <f t="shared" si="50"/>
        <v>1.1183590201549922</v>
      </c>
    </row>
    <row r="355" spans="1:7" x14ac:dyDescent="0.25">
      <c r="A355" s="99">
        <f>2022</f>
        <v>2022</v>
      </c>
      <c r="B355" s="100" t="s">
        <v>20</v>
      </c>
      <c r="C355" s="101">
        <f t="shared" si="45"/>
        <v>644.55501853745136</v>
      </c>
      <c r="D355" s="102">
        <v>0.11760924181811738</v>
      </c>
      <c r="E355" s="102">
        <f t="shared" si="51"/>
        <v>5.6408782692187298</v>
      </c>
      <c r="F355" s="103">
        <f t="shared" si="49"/>
        <v>9.2930685368425756</v>
      </c>
      <c r="G355" s="98">
        <f t="shared" si="50"/>
        <v>1.117045271680204</v>
      </c>
    </row>
    <row r="356" spans="1:7" x14ac:dyDescent="0.25">
      <c r="A356" s="99">
        <f>2022</f>
        <v>2022</v>
      </c>
      <c r="B356" s="100" t="s">
        <v>21</v>
      </c>
      <c r="C356" s="101">
        <f t="shared" si="45"/>
        <v>645.31168420143456</v>
      </c>
      <c r="D356" s="102">
        <v>0.11739349508133046</v>
      </c>
      <c r="E356" s="102">
        <f t="shared" si="51"/>
        <v>5.7648937884535734</v>
      </c>
      <c r="F356" s="103">
        <f t="shared" si="49"/>
        <v>8.2023745573888149</v>
      </c>
      <c r="G356" s="98">
        <f t="shared" si="50"/>
        <v>1.1157354708151519</v>
      </c>
    </row>
    <row r="357" spans="1:7" x14ac:dyDescent="0.25">
      <c r="A357" s="99">
        <f>2022</f>
        <v>2022</v>
      </c>
      <c r="B357" s="100" t="s">
        <v>22</v>
      </c>
      <c r="C357" s="101">
        <f t="shared" si="45"/>
        <v>648.23172351330891</v>
      </c>
      <c r="D357" s="102">
        <v>0.45250061069137537</v>
      </c>
      <c r="E357" s="102">
        <f t="shared" si="51"/>
        <v>6.2434805787434211</v>
      </c>
      <c r="F357" s="103">
        <f t="shared" si="49"/>
        <v>7.6206267534707717</v>
      </c>
      <c r="G357" s="98">
        <f t="shared" si="50"/>
        <v>1.1107095035286774</v>
      </c>
    </row>
    <row r="358" spans="1:7" x14ac:dyDescent="0.25">
      <c r="A358" s="99">
        <f>2022</f>
        <v>2022</v>
      </c>
      <c r="B358" s="100" t="s">
        <v>23</v>
      </c>
      <c r="C358" s="101">
        <f t="shared" si="45"/>
        <v>651.29789481924536</v>
      </c>
      <c r="D358" s="102">
        <v>0.47300543844388532</v>
      </c>
      <c r="E358" s="102">
        <f>100*(C358/C$347-1)</f>
        <v>6.7460180198729569</v>
      </c>
      <c r="F358" s="103">
        <f t="shared" si="49"/>
        <v>7.3574584344618277</v>
      </c>
      <c r="G358" s="98">
        <f t="shared" si="50"/>
        <v>1.1054805205455591</v>
      </c>
    </row>
    <row r="359" spans="1:7" x14ac:dyDescent="0.25">
      <c r="A359" s="99">
        <f>2022</f>
        <v>2022</v>
      </c>
      <c r="B359" s="100" t="s">
        <v>12</v>
      </c>
      <c r="C359" s="101">
        <f t="shared" si="45"/>
        <v>654.78615853787289</v>
      </c>
      <c r="D359" s="102">
        <v>0.53558651830061255</v>
      </c>
      <c r="E359" s="102">
        <f>100*(C359/C$347-1)</f>
        <v>7.3177353012101154</v>
      </c>
      <c r="F359" s="103">
        <f t="shared" si="49"/>
        <v>7.3177353012101154</v>
      </c>
      <c r="G359" s="98">
        <f t="shared" si="50"/>
        <v>1.099591258011239</v>
      </c>
    </row>
    <row r="360" spans="1:7" x14ac:dyDescent="0.25">
      <c r="A360" s="99">
        <f>2023</f>
        <v>2023</v>
      </c>
      <c r="B360" s="100" t="s">
        <v>13</v>
      </c>
      <c r="C360" s="101">
        <f t="shared" si="45"/>
        <v>658.88515597021933</v>
      </c>
      <c r="D360" s="102">
        <v>0.6260055101805273</v>
      </c>
      <c r="E360" s="102">
        <f t="shared" ref="E360:E371" si="52">100*(C360/C$359-1)</f>
        <v>0.6260055101805273</v>
      </c>
      <c r="F360" s="103">
        <f t="shared" si="49"/>
        <v>7.1952216713897954</v>
      </c>
      <c r="G360" s="98">
        <f t="shared" si="50"/>
        <v>1.0927505791730858</v>
      </c>
    </row>
    <row r="361" spans="1:7" x14ac:dyDescent="0.25">
      <c r="A361" s="99">
        <f>2023</f>
        <v>2023</v>
      </c>
      <c r="B361" s="100" t="s">
        <v>14</v>
      </c>
      <c r="C361" s="101">
        <f t="shared" si="45"/>
        <v>661.72367743461882</v>
      </c>
      <c r="D361" s="102">
        <v>0.43080671019515293</v>
      </c>
      <c r="E361" s="102">
        <f t="shared" si="52"/>
        <v>1.0595090941197149</v>
      </c>
      <c r="F361" s="103">
        <f t="shared" si="49"/>
        <v>6.6962251775356751</v>
      </c>
      <c r="G361" s="98">
        <f t="shared" si="50"/>
        <v>1.0880631301970376</v>
      </c>
    </row>
    <row r="362" spans="1:7" x14ac:dyDescent="0.25">
      <c r="A362" s="99">
        <f>2023</f>
        <v>2023</v>
      </c>
      <c r="B362" s="100" t="s">
        <v>15</v>
      </c>
      <c r="C362" s="101">
        <f t="shared" si="45"/>
        <v>664.28053723216078</v>
      </c>
      <c r="D362" s="102">
        <v>0.38639388081962434</v>
      </c>
      <c r="E362" s="102">
        <f t="shared" si="52"/>
        <v>1.4499968532457608</v>
      </c>
      <c r="F362" s="103">
        <f t="shared" si="49"/>
        <v>5.7526496477751099</v>
      </c>
      <c r="G362" s="98">
        <f t="shared" si="50"/>
        <v>1.0838751031228435</v>
      </c>
    </row>
    <row r="363" spans="1:7" x14ac:dyDescent="0.25">
      <c r="A363" s="99">
        <f>2023</f>
        <v>2023</v>
      </c>
      <c r="B363" s="100" t="s">
        <v>16</v>
      </c>
      <c r="C363" s="101">
        <f t="shared" si="45"/>
        <v>667.14556449972702</v>
      </c>
      <c r="D363" s="102">
        <v>0.43129778865775847</v>
      </c>
      <c r="E363" s="102">
        <f t="shared" si="52"/>
        <v>1.8875484462671732</v>
      </c>
      <c r="F363" s="103">
        <f t="shared" si="49"/>
        <v>4.5204419886039071</v>
      </c>
      <c r="G363" s="98">
        <f t="shared" si="50"/>
        <v>1.0792204491907416</v>
      </c>
    </row>
    <row r="364" spans="1:7" x14ac:dyDescent="0.25">
      <c r="A364" s="99">
        <f>2023</f>
        <v>2023</v>
      </c>
      <c r="B364" s="100" t="s">
        <v>17</v>
      </c>
      <c r="C364" s="101">
        <f t="shared" si="45"/>
        <v>668.48325737350262</v>
      </c>
      <c r="D364" s="102">
        <v>0.20050989543469733</v>
      </c>
      <c r="E364" s="102">
        <f t="shared" si="52"/>
        <v>2.0918430631177598</v>
      </c>
      <c r="F364" s="103">
        <f t="shared" si="49"/>
        <v>4.2903196057315629</v>
      </c>
      <c r="G364" s="98">
        <f t="shared" si="50"/>
        <v>1.0770608356354407</v>
      </c>
    </row>
    <row r="365" spans="1:7" x14ac:dyDescent="0.25">
      <c r="A365" s="99">
        <f>2023</f>
        <v>2023</v>
      </c>
      <c r="B365" s="100" t="s">
        <v>18</v>
      </c>
      <c r="C365" s="101">
        <f t="shared" ref="C365:C383" si="53">+C364*(1+D365/100)</f>
        <v>668.25260687500349</v>
      </c>
      <c r="D365" s="102">
        <v>-3.4503556514686728E-2</v>
      </c>
      <c r="E365" s="102">
        <f t="shared" si="52"/>
        <v>2.0566177463495761</v>
      </c>
      <c r="F365" s="103">
        <f t="shared" si="49"/>
        <v>3.9640733676618911</v>
      </c>
      <c r="G365" s="98">
        <f t="shared" si="50"/>
        <v>1.0774325881974174</v>
      </c>
    </row>
    <row r="366" spans="1:7" x14ac:dyDescent="0.25">
      <c r="A366" s="99">
        <f>2023</f>
        <v>2023</v>
      </c>
      <c r="B366" s="100" t="s">
        <v>19</v>
      </c>
      <c r="C366" s="101">
        <f t="shared" si="53"/>
        <v>667.33640628252658</v>
      </c>
      <c r="D366" s="102">
        <v>-0.1371039309163935</v>
      </c>
      <c r="E366" s="102">
        <f t="shared" si="52"/>
        <v>1.916694111659023</v>
      </c>
      <c r="F366" s="103">
        <f t="shared" si="49"/>
        <v>3.6562025513902752</v>
      </c>
      <c r="G366" s="98">
        <f t="shared" si="50"/>
        <v>1.078911818711993</v>
      </c>
    </row>
    <row r="367" spans="1:7" x14ac:dyDescent="0.25">
      <c r="A367" s="99">
        <f>2023</f>
        <v>2023</v>
      </c>
      <c r="B367" s="100" t="s">
        <v>20</v>
      </c>
      <c r="C367" s="101">
        <f t="shared" si="53"/>
        <v>666.00971581761246</v>
      </c>
      <c r="D367" s="102">
        <v>-0.19880384951640462</v>
      </c>
      <c r="E367" s="102">
        <f t="shared" si="52"/>
        <v>1.7140798004651847</v>
      </c>
      <c r="F367" s="103">
        <f t="shared" si="49"/>
        <v>3.3286060403103557</v>
      </c>
      <c r="G367" s="98">
        <f t="shared" si="50"/>
        <v>1.081061009614728</v>
      </c>
    </row>
    <row r="368" spans="1:7" x14ac:dyDescent="0.25">
      <c r="A368" s="99">
        <f>2023</f>
        <v>2023</v>
      </c>
      <c r="B368" s="100" t="s">
        <v>21</v>
      </c>
      <c r="C368" s="101">
        <f t="shared" si="53"/>
        <v>667.94383927358683</v>
      </c>
      <c r="D368" s="102">
        <v>0.29040469080845455</v>
      </c>
      <c r="E368" s="102">
        <f t="shared" si="52"/>
        <v>2.009462259418382</v>
      </c>
      <c r="F368" s="103">
        <f t="shared" si="49"/>
        <v>3.5071664788092649</v>
      </c>
      <c r="G368" s="98">
        <f t="shared" si="50"/>
        <v>1.0779306484479731</v>
      </c>
    </row>
    <row r="369" spans="1:7" x14ac:dyDescent="0.25">
      <c r="A369" s="99">
        <f>2023</f>
        <v>2023</v>
      </c>
      <c r="B369" s="100" t="s">
        <v>22</v>
      </c>
      <c r="C369" s="101">
        <f t="shared" si="53"/>
        <v>669.93567536513524</v>
      </c>
      <c r="D369" s="102">
        <v>0.29820412651977435</v>
      </c>
      <c r="E369" s="102">
        <f t="shared" si="52"/>
        <v>2.3136586853165886</v>
      </c>
      <c r="F369" s="103">
        <f t="shared" si="49"/>
        <v>3.3481779839768633</v>
      </c>
      <c r="G369" s="98">
        <f t="shared" si="50"/>
        <v>1.0747257718475522</v>
      </c>
    </row>
    <row r="370" spans="1:7" x14ac:dyDescent="0.25">
      <c r="A370" s="99">
        <f>2023</f>
        <v>2023</v>
      </c>
      <c r="B370" s="100" t="s">
        <v>23</v>
      </c>
      <c r="C370" s="101">
        <f t="shared" si="53"/>
        <v>672.84181163308438</v>
      </c>
      <c r="D370" s="102">
        <v>0.43379332894388778</v>
      </c>
      <c r="E370" s="102">
        <f t="shared" si="52"/>
        <v>2.7574885112919167</v>
      </c>
      <c r="F370" s="103">
        <f t="shared" si="49"/>
        <v>3.3078437663026872</v>
      </c>
      <c r="G370" s="98">
        <f t="shared" si="50"/>
        <v>1.0700838196239157</v>
      </c>
    </row>
    <row r="371" spans="1:7" x14ac:dyDescent="0.25">
      <c r="A371" s="99">
        <f>2023</f>
        <v>2023</v>
      </c>
      <c r="B371" s="100" t="s">
        <v>12</v>
      </c>
      <c r="C371" s="101">
        <f t="shared" si="53"/>
        <v>675.41547510961516</v>
      </c>
      <c r="D371" s="102">
        <v>0.38250647210584798</v>
      </c>
      <c r="E371" s="102">
        <f t="shared" si="52"/>
        <v>3.1505425554210209</v>
      </c>
      <c r="F371" s="103">
        <f t="shared" si="49"/>
        <v>3.1505425554210209</v>
      </c>
      <c r="G371" s="98">
        <f t="shared" si="50"/>
        <v>1.0660062766227791</v>
      </c>
    </row>
    <row r="372" spans="1:7" x14ac:dyDescent="0.25">
      <c r="A372" s="99">
        <f>2024</f>
        <v>2024</v>
      </c>
      <c r="B372" s="100" t="s">
        <v>13</v>
      </c>
      <c r="C372" s="101">
        <f t="shared" si="53"/>
        <v>678.49194867112192</v>
      </c>
      <c r="D372" s="102">
        <v>0.45549349620801483</v>
      </c>
      <c r="E372" s="102">
        <f>100*(C372/C$371-1)</f>
        <v>0.45549349620801483</v>
      </c>
      <c r="F372" s="103">
        <f t="shared" si="49"/>
        <v>2.9757526821242886</v>
      </c>
      <c r="G372" s="98">
        <f t="shared" si="50"/>
        <v>1.0611727039726491</v>
      </c>
    </row>
    <row r="373" spans="1:7" x14ac:dyDescent="0.25">
      <c r="A373" s="99">
        <f>2024</f>
        <v>2024</v>
      </c>
      <c r="B373" s="100" t="s">
        <v>14</v>
      </c>
      <c r="C373" s="101">
        <f t="shared" si="53"/>
        <v>681.59882888984635</v>
      </c>
      <c r="D373" s="102">
        <v>0.45790966640200104</v>
      </c>
      <c r="E373" s="102">
        <f>100*(C373/C$371-1)</f>
        <v>0.91548891135899702</v>
      </c>
      <c r="F373" s="103">
        <f t="shared" si="49"/>
        <v>3.003542435156592</v>
      </c>
      <c r="G373" s="98">
        <f t="shared" si="50"/>
        <v>1.0563356409630296</v>
      </c>
    </row>
    <row r="374" spans="1:7" x14ac:dyDescent="0.25">
      <c r="A374" s="99">
        <f>2024</f>
        <v>2024</v>
      </c>
      <c r="B374" s="100" t="s">
        <v>15</v>
      </c>
      <c r="C374" s="101">
        <f t="shared" si="53"/>
        <v>683.37231717644102</v>
      </c>
      <c r="D374" s="102">
        <v>0.2601953247899802</v>
      </c>
      <c r="E374" s="102">
        <f>100*(C374/C$371-1)</f>
        <v>1.1780662954953058</v>
      </c>
      <c r="F374" s="103">
        <f t="shared" si="49"/>
        <v>2.8740537881524197</v>
      </c>
      <c r="G374" s="98">
        <f t="shared" si="50"/>
        <v>1.053594238013462</v>
      </c>
    </row>
    <row r="375" spans="1:7" x14ac:dyDescent="0.25">
      <c r="A375" s="99">
        <f>2024</f>
        <v>2024</v>
      </c>
      <c r="B375" s="100" t="s">
        <v>16</v>
      </c>
      <c r="C375" s="101">
        <f t="shared" si="53"/>
        <v>685.63081165003564</v>
      </c>
      <c r="D375" s="102">
        <v>0.33049253193724315</v>
      </c>
      <c r="E375" s="102">
        <f>100*(C375/C$371-1)</f>
        <v>1.5124522485604253</v>
      </c>
      <c r="F375" s="103">
        <f t="shared" si="49"/>
        <v>2.7707966797576145</v>
      </c>
      <c r="G375" s="98">
        <f t="shared" si="50"/>
        <v>1.0501236577484969</v>
      </c>
    </row>
    <row r="376" spans="1:7" x14ac:dyDescent="0.25">
      <c r="A376" s="93">
        <f>2024</f>
        <v>2024</v>
      </c>
      <c r="B376" s="94" t="s">
        <v>17</v>
      </c>
      <c r="C376" s="95">
        <f t="shared" si="53"/>
        <v>686.2712518676808</v>
      </c>
      <c r="D376" s="96">
        <v>9.3408902686831219E-2</v>
      </c>
      <c r="E376" s="96">
        <f>100*(C376/C$371-1)</f>
        <v>1.6072739162963146</v>
      </c>
      <c r="F376" s="97">
        <f t="shared" si="49"/>
        <v>2.6609483929437294</v>
      </c>
      <c r="G376" s="98">
        <f t="shared" si="50"/>
        <v>1.0491436641641927</v>
      </c>
    </row>
    <row r="377" spans="1:7" x14ac:dyDescent="0.25">
      <c r="A377" s="93">
        <f>2024</f>
        <v>2024</v>
      </c>
      <c r="B377" s="94" t="s">
        <v>18</v>
      </c>
      <c r="C377" s="95">
        <f t="shared" si="53"/>
        <v>688.06994567275842</v>
      </c>
      <c r="D377" s="96">
        <v>0.26209662727127991</v>
      </c>
      <c r="E377" s="96">
        <f t="shared" ref="E377:E383" si="54">100*(C377/C$371-1)</f>
        <v>1.8735831542932235</v>
      </c>
      <c r="F377" s="97">
        <f t="shared" si="49"/>
        <v>2.9655460515789267</v>
      </c>
      <c r="G377" s="98">
        <f t="shared" si="50"/>
        <v>1.0464010822199639</v>
      </c>
    </row>
    <row r="378" spans="1:7" x14ac:dyDescent="0.25">
      <c r="A378" s="99">
        <f>2024</f>
        <v>2024</v>
      </c>
      <c r="B378" s="100" t="s">
        <v>19</v>
      </c>
      <c r="C378" s="101">
        <f t="shared" si="53"/>
        <v>688.46423199759943</v>
      </c>
      <c r="D378" s="102">
        <v>5.730323309725005E-2</v>
      </c>
      <c r="E378" s="102">
        <f t="shared" si="54"/>
        <v>1.9319600111126434</v>
      </c>
      <c r="F378" s="103">
        <f t="shared" si="49"/>
        <v>3.1659932705856431</v>
      </c>
      <c r="G378" s="98">
        <f t="shared" si="50"/>
        <v>1.0458018039744972</v>
      </c>
    </row>
    <row r="379" spans="1:7" x14ac:dyDescent="0.25">
      <c r="A379" s="99">
        <f>2024</f>
        <v>2024</v>
      </c>
      <c r="B379" s="100" t="s">
        <v>20</v>
      </c>
      <c r="C379" s="101">
        <f t="shared" si="53"/>
        <v>689.73030919187579</v>
      </c>
      <c r="D379" s="102">
        <v>0.18389876124760285</v>
      </c>
      <c r="E379" s="102">
        <f t="shared" si="54"/>
        <v>2.1194116228884896</v>
      </c>
      <c r="F379" s="103">
        <f t="shared" si="49"/>
        <v>3.5615986990735093</v>
      </c>
      <c r="G379" s="98">
        <f t="shared" si="50"/>
        <v>1.0438821176911779</v>
      </c>
    </row>
    <row r="380" spans="1:7" x14ac:dyDescent="0.25">
      <c r="A380" s="99">
        <f>2024</f>
        <v>2024</v>
      </c>
      <c r="B380" s="100" t="s">
        <v>21</v>
      </c>
      <c r="C380" s="101">
        <f t="shared" si="53"/>
        <v>690.96978056108685</v>
      </c>
      <c r="D380" s="102">
        <v>0.17970377011027328</v>
      </c>
      <c r="E380" s="102">
        <f t="shared" si="54"/>
        <v>2.3029240555892505</v>
      </c>
      <c r="F380" s="103">
        <f t="shared" si="49"/>
        <v>3.4472870222953977</v>
      </c>
      <c r="G380" s="98">
        <f t="shared" si="50"/>
        <v>1.0420095871781083</v>
      </c>
    </row>
    <row r="381" spans="1:7" x14ac:dyDescent="0.25">
      <c r="A381" s="99">
        <f>2024</f>
        <v>2024</v>
      </c>
      <c r="B381" s="100" t="s">
        <v>22</v>
      </c>
      <c r="C381" s="101">
        <f t="shared" si="53"/>
        <v>696.51549473683792</v>
      </c>
      <c r="D381" s="102">
        <v>0.80259865652123619</v>
      </c>
      <c r="E381" s="102">
        <f t="shared" si="54"/>
        <v>3.1240059496413508</v>
      </c>
      <c r="F381" s="103">
        <f t="shared" si="49"/>
        <v>3.9675181288436168</v>
      </c>
      <c r="G381" s="98">
        <f t="shared" si="50"/>
        <v>1.0337130203643787</v>
      </c>
    </row>
    <row r="382" spans="1:7" x14ac:dyDescent="0.25">
      <c r="A382" s="99">
        <f>2024</f>
        <v>2024</v>
      </c>
      <c r="B382" s="100" t="s">
        <v>23</v>
      </c>
      <c r="C382" s="101">
        <f t="shared" si="53"/>
        <v>704.68838410494629</v>
      </c>
      <c r="D382" s="102">
        <v>1.1733966336522572</v>
      </c>
      <c r="E382" s="102">
        <f t="shared" si="54"/>
        <v>4.3340595639417945</v>
      </c>
      <c r="F382" s="103">
        <f t="shared" si="49"/>
        <v>4.7331440943846337</v>
      </c>
      <c r="G382" s="98">
        <f t="shared" si="50"/>
        <v>1.0217241436574893</v>
      </c>
    </row>
    <row r="383" spans="1:7" x14ac:dyDescent="0.25">
      <c r="A383" s="99">
        <f>2024</f>
        <v>2024</v>
      </c>
      <c r="B383" s="100" t="s">
        <v>12</v>
      </c>
      <c r="C383" s="101">
        <f t="shared" si="53"/>
        <v>707.05680264525847</v>
      </c>
      <c r="D383" s="102">
        <v>0.33609444879958428</v>
      </c>
      <c r="E383" s="102">
        <f t="shared" si="54"/>
        <v>4.6847205463434349</v>
      </c>
      <c r="F383" s="103">
        <f t="shared" si="49"/>
        <v>4.6847205463434349</v>
      </c>
      <c r="G383" s="98">
        <f t="shared" si="50"/>
        <v>1.0183016882113785</v>
      </c>
    </row>
    <row r="384" spans="1:7" x14ac:dyDescent="0.25">
      <c r="A384" s="99">
        <f>2025</f>
        <v>2025</v>
      </c>
      <c r="B384" s="100" t="s">
        <v>13</v>
      </c>
      <c r="C384" s="101">
        <f>+C383*(1+D384/100)</f>
        <v>708.77427866855749</v>
      </c>
      <c r="D384" s="102">
        <v>0.24290495712275817</v>
      </c>
      <c r="E384" s="102">
        <f>100*(C384/C$383-1)</f>
        <v>0.24290495712275817</v>
      </c>
      <c r="F384" s="103">
        <f>100*(C384/C372-1)</f>
        <v>4.4631819223125424</v>
      </c>
      <c r="G384" s="98">
        <f t="shared" si="50"/>
        <v>1.0158341766401724</v>
      </c>
    </row>
    <row r="385" spans="1:7" x14ac:dyDescent="0.25">
      <c r="A385" s="99">
        <f>2025</f>
        <v>2025</v>
      </c>
      <c r="B385" s="100" t="s">
        <v>14</v>
      </c>
      <c r="C385" s="101">
        <f>+C384*(1+D385/100)</f>
        <v>712.37626728605471</v>
      </c>
      <c r="D385" s="102">
        <v>0.50819968019488737</v>
      </c>
      <c r="E385" s="102">
        <f>100*(C385/C$383-1)</f>
        <v>0.75233907953291546</v>
      </c>
      <c r="F385" s="103">
        <f>100*(C385/C373-1)</f>
        <v>4.5154770066634597</v>
      </c>
      <c r="G385" s="98">
        <f t="shared" si="50"/>
        <v>1.0106978135838027</v>
      </c>
    </row>
    <row r="386" spans="1:7" x14ac:dyDescent="0.25">
      <c r="A386" s="99">
        <f>2025</f>
        <v>2025</v>
      </c>
      <c r="B386" s="100" t="s">
        <v>15</v>
      </c>
      <c r="C386" s="101">
        <f>+C385*(1+D386/100)</f>
        <v>716.76872896931025</v>
      </c>
      <c r="D386" s="102">
        <v>0.61659292777811459</v>
      </c>
      <c r="E386" s="102">
        <f>100*(C386/C$383-1)</f>
        <v>1.3735708768683574</v>
      </c>
      <c r="F386" s="103">
        <f>100*(C386/C374-1)</f>
        <v>4.8870009734746978</v>
      </c>
      <c r="G386" s="104">
        <f t="shared" si="50"/>
        <v>1.004504112268316</v>
      </c>
    </row>
    <row r="387" spans="1:7" ht="16.5" thickBot="1" x14ac:dyDescent="0.3">
      <c r="A387" s="105">
        <f>2025</f>
        <v>2025</v>
      </c>
      <c r="B387" s="106" t="s">
        <v>16</v>
      </c>
      <c r="C387" s="107">
        <f>+C386*(1+D387/100)</f>
        <v>719.99713579500622</v>
      </c>
      <c r="D387" s="108">
        <v>0.45041122683160406</v>
      </c>
      <c r="E387" s="108">
        <f>100*(C387/C$383-1)</f>
        <v>1.8301688211378453</v>
      </c>
      <c r="F387" s="109">
        <f>100*(C387/C375-1)</f>
        <v>5.0123657748496919</v>
      </c>
      <c r="G387" s="110">
        <f t="shared" si="50"/>
        <v>1</v>
      </c>
    </row>
    <row r="388" spans="1:7" x14ac:dyDescent="0.25">
      <c r="A388" s="199" t="s">
        <v>86</v>
      </c>
      <c r="D388" s="166"/>
      <c r="E388" s="166"/>
      <c r="F388" s="166"/>
      <c r="G388" s="168"/>
    </row>
    <row r="389" spans="1:7" ht="15" customHeight="1" x14ac:dyDescent="0.25">
      <c r="A389" s="716" t="s">
        <v>87</v>
      </c>
      <c r="B389" s="716"/>
      <c r="C389" s="716"/>
      <c r="D389" s="716"/>
      <c r="E389" s="716"/>
      <c r="F389" s="716"/>
      <c r="G389" s="716"/>
    </row>
    <row r="390" spans="1:7" x14ac:dyDescent="0.25">
      <c r="A390" s="716"/>
      <c r="B390" s="716"/>
      <c r="C390" s="716"/>
      <c r="D390" s="716"/>
      <c r="E390" s="716"/>
      <c r="F390" s="716"/>
      <c r="G390" s="716"/>
    </row>
    <row r="391" spans="1:7" x14ac:dyDescent="0.25">
      <c r="A391" s="716"/>
      <c r="B391" s="716"/>
      <c r="C391" s="716"/>
      <c r="D391" s="716"/>
      <c r="E391" s="716"/>
      <c r="F391" s="716"/>
      <c r="G391" s="716"/>
    </row>
    <row r="392" spans="1:7" x14ac:dyDescent="0.25">
      <c r="A392" s="112"/>
      <c r="B392" s="112"/>
      <c r="C392" s="112"/>
      <c r="D392" s="112"/>
      <c r="E392" s="112"/>
      <c r="F392" s="112"/>
      <c r="G392" s="112"/>
    </row>
  </sheetData>
  <mergeCells count="7">
    <mergeCell ref="A389:G391"/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39E9-BB2A-4066-8F3C-8534C21B812E}">
  <dimension ref="A1:H394"/>
  <sheetViews>
    <sheetView showGridLines="0" workbookViewId="0">
      <pane ySplit="2610" topLeftCell="A368" activePane="bottomLeft"/>
      <selection activeCell="I1" sqref="I1:K1048576"/>
      <selection pane="bottomLeft" activeCell="H385" sqref="H385"/>
    </sheetView>
  </sheetViews>
  <sheetFormatPr defaultColWidth="12.42578125" defaultRowHeight="15.75" x14ac:dyDescent="0.25"/>
  <cols>
    <col min="1" max="1" width="10.28515625" style="55" customWidth="1"/>
    <col min="2" max="2" width="11.28515625" style="55" customWidth="1"/>
    <col min="3" max="6" width="13.85546875" style="55" customWidth="1"/>
    <col min="7" max="7" width="16.42578125" style="55" customWidth="1"/>
    <col min="8" max="16384" width="12.42578125" style="55"/>
  </cols>
  <sheetData>
    <row r="1" spans="1:7" ht="21" customHeight="1" x14ac:dyDescent="0.25">
      <c r="A1" s="682" t="s">
        <v>92</v>
      </c>
      <c r="B1" s="682"/>
      <c r="C1" s="682"/>
      <c r="D1" s="682"/>
      <c r="E1" s="682"/>
      <c r="F1" s="682"/>
      <c r="G1" s="682"/>
    </row>
    <row r="2" spans="1:7" ht="15.75" customHeight="1" x14ac:dyDescent="0.25">
      <c r="A2" s="682"/>
      <c r="B2" s="682"/>
      <c r="C2" s="682"/>
      <c r="D2" s="682"/>
      <c r="E2" s="682"/>
      <c r="F2" s="682"/>
      <c r="G2" s="682"/>
    </row>
    <row r="3" spans="1:7" ht="15" customHeight="1" thickBot="1" x14ac:dyDescent="0.3">
      <c r="A3" s="683"/>
      <c r="B3" s="683"/>
      <c r="C3" s="683"/>
      <c r="D3" s="683"/>
      <c r="E3" s="683"/>
      <c r="F3" s="683"/>
      <c r="G3" s="683"/>
    </row>
    <row r="4" spans="1:7" ht="17.25" customHeight="1" thickBot="1" x14ac:dyDescent="0.3">
      <c r="A4" s="684" t="s">
        <v>89</v>
      </c>
      <c r="B4" s="685"/>
      <c r="C4" s="686"/>
      <c r="D4" s="687" t="s">
        <v>2</v>
      </c>
      <c r="E4" s="688"/>
      <c r="F4" s="688"/>
      <c r="G4" s="717"/>
    </row>
    <row r="5" spans="1:7" ht="15" customHeight="1" thickBot="1" x14ac:dyDescent="0.3">
      <c r="A5" s="689" t="s">
        <v>3</v>
      </c>
      <c r="B5" s="690"/>
      <c r="C5" s="691"/>
      <c r="D5" s="692" t="s">
        <v>4</v>
      </c>
      <c r="E5" s="693"/>
      <c r="F5" s="694"/>
      <c r="G5" s="721" t="s">
        <v>51</v>
      </c>
    </row>
    <row r="6" spans="1:7" ht="15.75" customHeight="1" thickBot="1" x14ac:dyDescent="0.3">
      <c r="A6" s="202" t="s">
        <v>6</v>
      </c>
      <c r="B6" s="203" t="s">
        <v>7</v>
      </c>
      <c r="C6" s="203" t="s">
        <v>8</v>
      </c>
      <c r="D6" s="203" t="s">
        <v>9</v>
      </c>
      <c r="E6" s="203" t="s">
        <v>10</v>
      </c>
      <c r="F6" s="203" t="s">
        <v>11</v>
      </c>
      <c r="G6" s="722"/>
    </row>
    <row r="7" spans="1:7" ht="16.5" hidden="1" thickBot="1" x14ac:dyDescent="0.3">
      <c r="A7" s="69">
        <v>1993</v>
      </c>
      <c r="B7" s="70" t="s">
        <v>12</v>
      </c>
      <c r="C7" s="71">
        <v>9.48</v>
      </c>
      <c r="D7" s="205">
        <v>35.72</v>
      </c>
      <c r="E7" s="205"/>
      <c r="F7" s="206"/>
      <c r="G7" s="74">
        <f>+$C$383/C7</f>
        <v>147.61721505517184</v>
      </c>
    </row>
    <row r="8" spans="1:7" ht="16.5" hidden="1" thickBot="1" x14ac:dyDescent="0.3">
      <c r="A8" s="75">
        <v>1994</v>
      </c>
      <c r="B8" s="76" t="s">
        <v>13</v>
      </c>
      <c r="C8" s="77">
        <f>C7*(1+D8/100)</f>
        <v>13.393344000000001</v>
      </c>
      <c r="D8" s="207">
        <v>41.28</v>
      </c>
      <c r="E8" s="207">
        <f t="shared" ref="E8:E13" si="0">100*(C8/C$7-1)</f>
        <v>41.280000000000008</v>
      </c>
      <c r="F8" s="208"/>
      <c r="G8" s="80">
        <f>+$C$383/C8</f>
        <v>104.48557124516692</v>
      </c>
    </row>
    <row r="9" spans="1:7" ht="16.5" hidden="1" thickBot="1" x14ac:dyDescent="0.3">
      <c r="A9" s="75">
        <v>1994</v>
      </c>
      <c r="B9" s="76" t="s">
        <v>14</v>
      </c>
      <c r="C9" s="77">
        <v>18.204000000000001</v>
      </c>
      <c r="D9" s="207">
        <v>43.28</v>
      </c>
      <c r="E9" s="207">
        <f t="shared" si="0"/>
        <v>92.025316455696199</v>
      </c>
      <c r="F9" s="208"/>
      <c r="G9" s="80">
        <f>+$C$383/C9</f>
        <v>76.873829857340638</v>
      </c>
    </row>
    <row r="10" spans="1:7" ht="16.5" hidden="1" thickBot="1" x14ac:dyDescent="0.3">
      <c r="A10" s="75">
        <v>1994</v>
      </c>
      <c r="B10" s="76" t="s">
        <v>15</v>
      </c>
      <c r="C10" s="77">
        <v>26.364000000000001</v>
      </c>
      <c r="D10" s="207">
        <f t="shared" ref="D10:D19" si="1">100*((C10/C9)-1)</f>
        <v>44.825313117996046</v>
      </c>
      <c r="E10" s="207">
        <f t="shared" si="0"/>
        <v>178.10126582278482</v>
      </c>
      <c r="F10" s="208"/>
      <c r="G10" s="80">
        <f>+$C$383/C10</f>
        <v>53.080382291117772</v>
      </c>
    </row>
    <row r="11" spans="1:7" ht="16.5" hidden="1" thickBot="1" x14ac:dyDescent="0.3">
      <c r="A11" s="75">
        <v>1994</v>
      </c>
      <c r="B11" s="76" t="s">
        <v>16</v>
      </c>
      <c r="C11" s="77">
        <v>37.557000000000002</v>
      </c>
      <c r="D11" s="207">
        <f t="shared" si="1"/>
        <v>42.45562130177516</v>
      </c>
      <c r="E11" s="207">
        <f t="shared" si="0"/>
        <v>296.1708860759494</v>
      </c>
      <c r="F11" s="208"/>
      <c r="G11" s="80">
        <f>+$C$383/C11</f>
        <v>37.260995253162633</v>
      </c>
    </row>
    <row r="12" spans="1:7" ht="16.5" hidden="1" thickBot="1" x14ac:dyDescent="0.3">
      <c r="A12" s="75">
        <v>1994</v>
      </c>
      <c r="B12" s="76" t="s">
        <v>17</v>
      </c>
      <c r="C12" s="77">
        <v>52.938000000000002</v>
      </c>
      <c r="D12" s="207">
        <f t="shared" si="1"/>
        <v>40.953750299544687</v>
      </c>
      <c r="E12" s="207">
        <f t="shared" si="0"/>
        <v>458.41772151898732</v>
      </c>
      <c r="F12" s="208"/>
      <c r="G12" s="80">
        <f>+$C$383/C12</f>
        <v>26.434908737070327</v>
      </c>
    </row>
    <row r="13" spans="1:7" ht="16.5" hidden="1" thickBot="1" x14ac:dyDescent="0.3">
      <c r="A13" s="75">
        <v>1994</v>
      </c>
      <c r="B13" s="76" t="s">
        <v>18</v>
      </c>
      <c r="C13" s="77">
        <v>77.593999999999994</v>
      </c>
      <c r="D13" s="207">
        <f t="shared" si="1"/>
        <v>46.575238958781952</v>
      </c>
      <c r="E13" s="207">
        <f t="shared" si="0"/>
        <v>718.50210970464127</v>
      </c>
      <c r="F13" s="208"/>
      <c r="G13" s="80">
        <f>+$C$383/C13</f>
        <v>18.035043930239826</v>
      </c>
    </row>
    <row r="14" spans="1:7" ht="16.5" hidden="1" thickBot="1" x14ac:dyDescent="0.3">
      <c r="A14" s="75">
        <v>1994</v>
      </c>
      <c r="B14" s="76" t="s">
        <v>19</v>
      </c>
      <c r="C14" s="77">
        <v>96.768000000000001</v>
      </c>
      <c r="D14" s="207">
        <f t="shared" si="1"/>
        <v>24.710673505683435</v>
      </c>
      <c r="E14" s="207">
        <f>100*(C14/C$7-1)</f>
        <v>920.75949367088606</v>
      </c>
      <c r="F14" s="208"/>
      <c r="G14" s="80">
        <f>+$C$383/C14</f>
        <v>14.461507923311725</v>
      </c>
    </row>
    <row r="15" spans="1:7" ht="16.5" hidden="1" thickBot="1" x14ac:dyDescent="0.3">
      <c r="A15" s="75">
        <v>1994</v>
      </c>
      <c r="B15" s="76" t="s">
        <v>20</v>
      </c>
      <c r="C15" s="77">
        <v>100</v>
      </c>
      <c r="D15" s="207">
        <f t="shared" si="1"/>
        <v>3.3399470899470929</v>
      </c>
      <c r="E15" s="207">
        <f>100*(C15/C$7-1)</f>
        <v>954.85232067510549</v>
      </c>
      <c r="F15" s="208"/>
      <c r="G15" s="80">
        <f>+$C$383/C15</f>
        <v>13.994111987230291</v>
      </c>
    </row>
    <row r="16" spans="1:7" ht="16.5" hidden="1" thickBot="1" x14ac:dyDescent="0.3">
      <c r="A16" s="75">
        <v>1994</v>
      </c>
      <c r="B16" s="76" t="s">
        <v>21</v>
      </c>
      <c r="C16" s="77">
        <v>101.54900000000001</v>
      </c>
      <c r="D16" s="207">
        <f t="shared" si="1"/>
        <v>1.5490000000000004</v>
      </c>
      <c r="E16" s="207">
        <f>100*(C16/C$7-1)</f>
        <v>971.1919831223629</v>
      </c>
      <c r="F16" s="208"/>
      <c r="G16" s="80">
        <f>+$C$383/C16</f>
        <v>13.780649723020698</v>
      </c>
    </row>
    <row r="17" spans="1:7" ht="16.5" hidden="1" thickBot="1" x14ac:dyDescent="0.3">
      <c r="A17" s="75">
        <v>1994</v>
      </c>
      <c r="B17" s="76" t="s">
        <v>22</v>
      </c>
      <c r="C17" s="77">
        <v>104.14</v>
      </c>
      <c r="D17" s="207">
        <f t="shared" si="1"/>
        <v>2.5514776117933069</v>
      </c>
      <c r="E17" s="207">
        <f>100*(C17/C$7-1)</f>
        <v>998.52320675105477</v>
      </c>
      <c r="F17" s="208"/>
      <c r="G17" s="80">
        <f>+$C$383/C17</f>
        <v>13.437787581361906</v>
      </c>
    </row>
    <row r="18" spans="1:7" ht="16.5" hidden="1" thickBot="1" x14ac:dyDescent="0.3">
      <c r="A18" s="75">
        <v>1994</v>
      </c>
      <c r="B18" s="76" t="s">
        <v>23</v>
      </c>
      <c r="C18" s="77">
        <v>106.72</v>
      </c>
      <c r="D18" s="207">
        <f t="shared" si="1"/>
        <v>2.4774342231611346</v>
      </c>
      <c r="E18" s="207">
        <f>100*(C18/C$7-1)</f>
        <v>1025.7383966244727</v>
      </c>
      <c r="F18" s="208"/>
      <c r="G18" s="80">
        <f>+$C$383/C18</f>
        <v>13.112923526265265</v>
      </c>
    </row>
    <row r="19" spans="1:7" ht="16.5" hidden="1" thickBot="1" x14ac:dyDescent="0.3">
      <c r="A19" s="75">
        <v>1994</v>
      </c>
      <c r="B19" s="76" t="s">
        <v>12</v>
      </c>
      <c r="C19" s="77">
        <v>107.33</v>
      </c>
      <c r="D19" s="207">
        <f t="shared" si="1"/>
        <v>0.57158920539730484</v>
      </c>
      <c r="E19" s="207">
        <f>100*($C$19/$C$7-1)</f>
        <v>1032.1729957805908</v>
      </c>
      <c r="F19" s="208">
        <f>100*($C$19/$C$7-1)</f>
        <v>1032.1729957805908</v>
      </c>
      <c r="G19" s="80">
        <f>+$C$383/C19</f>
        <v>13.038397453862192</v>
      </c>
    </row>
    <row r="20" spans="1:7" ht="16.5" hidden="1" thickBot="1" x14ac:dyDescent="0.3">
      <c r="A20" s="75">
        <v>1995</v>
      </c>
      <c r="B20" s="76" t="s">
        <v>13</v>
      </c>
      <c r="C20" s="77">
        <v>107.941</v>
      </c>
      <c r="D20" s="207" t="e">
        <f>100*((#REF!/C19)-1)</f>
        <v>#REF!</v>
      </c>
      <c r="E20" s="207">
        <f>100*((C20/C$19)-1)</f>
        <v>0.56927233765025065</v>
      </c>
      <c r="F20" s="208">
        <f>100*($C$19/$C$7-1)</f>
        <v>1032.1729957805908</v>
      </c>
      <c r="G20" s="80">
        <f>+$C$383/C20</f>
        <v>12.964593608758756</v>
      </c>
    </row>
    <row r="21" spans="1:7" ht="16.5" hidden="1" thickBot="1" x14ac:dyDescent="0.3">
      <c r="A21" s="75">
        <v>1995</v>
      </c>
      <c r="B21" s="76" t="s">
        <v>14</v>
      </c>
      <c r="C21" s="77">
        <v>108.56699999999999</v>
      </c>
      <c r="D21" s="207" t="e">
        <f>100*((#REF!/#REF!)-1)</f>
        <v>#REF!</v>
      </c>
      <c r="E21" s="207">
        <f t="shared" ref="E21:E30" si="2">100*((C21/C$19)-1)</f>
        <v>1.1525202646044841</v>
      </c>
      <c r="F21" s="208">
        <f t="shared" ref="F21:F50" si="3">100*((C21/C9)-1)</f>
        <v>496.39090309822006</v>
      </c>
      <c r="G21" s="80">
        <f>+$C$383/C21</f>
        <v>12.889839442215674</v>
      </c>
    </row>
    <row r="22" spans="1:7" ht="16.5" hidden="1" thickBot="1" x14ac:dyDescent="0.3">
      <c r="A22" s="75">
        <v>1995</v>
      </c>
      <c r="B22" s="76" t="s">
        <v>15</v>
      </c>
      <c r="C22" s="77">
        <v>109.741</v>
      </c>
      <c r="D22" s="207" t="e">
        <f>100*((#REF!/#REF!)-1)</f>
        <v>#REF!</v>
      </c>
      <c r="E22" s="207">
        <f t="shared" si="2"/>
        <v>2.2463430541321161</v>
      </c>
      <c r="F22" s="208">
        <f t="shared" si="3"/>
        <v>316.2532240934608</v>
      </c>
      <c r="G22" s="80">
        <f>+$C$383/C22</f>
        <v>12.751945022580703</v>
      </c>
    </row>
    <row r="23" spans="1:7" ht="16.5" hidden="1" thickBot="1" x14ac:dyDescent="0.3">
      <c r="A23" s="75">
        <v>1995</v>
      </c>
      <c r="B23" s="76" t="s">
        <v>16</v>
      </c>
      <c r="C23" s="77">
        <v>111.923</v>
      </c>
      <c r="D23" s="207" t="e">
        <f>100*((#REF!/#REF!)-1)</f>
        <v>#REF!</v>
      </c>
      <c r="E23" s="207">
        <f t="shared" si="2"/>
        <v>4.2793254448896034</v>
      </c>
      <c r="F23" s="208">
        <f t="shared" si="3"/>
        <v>198.00836062518306</v>
      </c>
      <c r="G23" s="80">
        <f>+$C$383/C23</f>
        <v>12.503338891229049</v>
      </c>
    </row>
    <row r="24" spans="1:7" ht="16.5" hidden="1" thickBot="1" x14ac:dyDescent="0.3">
      <c r="A24" s="75">
        <v>1995</v>
      </c>
      <c r="B24" s="76" t="s">
        <v>17</v>
      </c>
      <c r="C24" s="77">
        <v>109.652</v>
      </c>
      <c r="D24" s="207" t="e">
        <f>100*((#REF!/#REF!)-1)</f>
        <v>#REF!</v>
      </c>
      <c r="E24" s="207">
        <f t="shared" si="2"/>
        <v>2.1634212242616302</v>
      </c>
      <c r="F24" s="208">
        <f t="shared" si="3"/>
        <v>107.13287241678944</v>
      </c>
      <c r="G24" s="80">
        <f>+$C$383/C24</f>
        <v>12.762295249726671</v>
      </c>
    </row>
    <row r="25" spans="1:7" ht="16.5" hidden="1" thickBot="1" x14ac:dyDescent="0.3">
      <c r="A25" s="75">
        <v>1995</v>
      </c>
      <c r="B25" s="76" t="s">
        <v>18</v>
      </c>
      <c r="C25" s="77">
        <v>111.34699999999999</v>
      </c>
      <c r="D25" s="207" t="e">
        <f>100*((#REF!/#REF!)-1)</f>
        <v>#REF!</v>
      </c>
      <c r="E25" s="207">
        <f t="shared" si="2"/>
        <v>3.742662815615394</v>
      </c>
      <c r="F25" s="208">
        <f t="shared" si="3"/>
        <v>43.49949738381833</v>
      </c>
      <c r="G25" s="80">
        <f>+$C$383/C25</f>
        <v>12.568018884415647</v>
      </c>
    </row>
    <row r="26" spans="1:7" ht="16.5" hidden="1" thickBot="1" x14ac:dyDescent="0.3">
      <c r="A26" s="75">
        <v>1995</v>
      </c>
      <c r="B26" s="76" t="s">
        <v>19</v>
      </c>
      <c r="C26" s="77">
        <v>113.8436</v>
      </c>
      <c r="D26" s="207" t="e">
        <f>100*((#REF!/#REF!)-1)</f>
        <v>#REF!</v>
      </c>
      <c r="E26" s="207">
        <f t="shared" si="2"/>
        <v>6.0687598993757641</v>
      </c>
      <c r="F26" s="208">
        <f t="shared" si="3"/>
        <v>17.645916005290996</v>
      </c>
      <c r="G26" s="80">
        <f>+$C$383/C26</f>
        <v>12.292401142646833</v>
      </c>
    </row>
    <row r="27" spans="1:7" ht="16.5" hidden="1" thickBot="1" x14ac:dyDescent="0.3">
      <c r="A27" s="75">
        <v>1995</v>
      </c>
      <c r="B27" s="76" t="s">
        <v>20</v>
      </c>
      <c r="C27" s="77">
        <v>115.818</v>
      </c>
      <c r="D27" s="207" t="e">
        <f>100*((#REF!/#REF!)-1)</f>
        <v>#REF!</v>
      </c>
      <c r="E27" s="207">
        <f t="shared" si="2"/>
        <v>7.9083201341656473</v>
      </c>
      <c r="F27" s="208">
        <f t="shared" si="3"/>
        <v>15.817999999999998</v>
      </c>
      <c r="G27" s="80">
        <f>+$C$383/C27</f>
        <v>12.082847214794151</v>
      </c>
    </row>
    <row r="28" spans="1:7" ht="16.5" hidden="1" thickBot="1" x14ac:dyDescent="0.3">
      <c r="A28" s="75">
        <v>1995</v>
      </c>
      <c r="B28" s="76" t="s">
        <v>21</v>
      </c>
      <c r="C28" s="77">
        <v>113.011</v>
      </c>
      <c r="D28" s="207" t="e">
        <f>100*((#REF!/#REF!)-1)</f>
        <v>#REF!</v>
      </c>
      <c r="E28" s="207">
        <f t="shared" si="2"/>
        <v>5.293021522407515</v>
      </c>
      <c r="F28" s="208">
        <f t="shared" si="3"/>
        <v>11.287161862746053</v>
      </c>
      <c r="G28" s="80">
        <f>+$C$383/C28</f>
        <v>12.382964478882844</v>
      </c>
    </row>
    <row r="29" spans="1:7" ht="16.5" hidden="1" thickBot="1" x14ac:dyDescent="0.3">
      <c r="A29" s="75">
        <v>1995</v>
      </c>
      <c r="B29" s="76" t="s">
        <v>22</v>
      </c>
      <c r="C29" s="77">
        <v>112.854</v>
      </c>
      <c r="D29" s="207" t="e">
        <f>100*((#REF!/#REF!)-1)</f>
        <v>#REF!</v>
      </c>
      <c r="E29" s="207">
        <f t="shared" si="2"/>
        <v>5.1467436876921679</v>
      </c>
      <c r="F29" s="208">
        <f t="shared" si="3"/>
        <v>8.3675821010178666</v>
      </c>
      <c r="G29" s="80">
        <f>+$C$383/C29</f>
        <v>12.400191386419879</v>
      </c>
    </row>
    <row r="30" spans="1:7" ht="16.5" hidden="1" thickBot="1" x14ac:dyDescent="0.3">
      <c r="A30" s="75">
        <v>1995</v>
      </c>
      <c r="B30" s="76" t="s">
        <v>23</v>
      </c>
      <c r="C30" s="77">
        <v>114.54</v>
      </c>
      <c r="D30" s="207" t="e">
        <f>100*((#REF!/#REF!)-1)</f>
        <v>#REF!</v>
      </c>
      <c r="E30" s="207">
        <f t="shared" si="2"/>
        <v>6.7175999254635244</v>
      </c>
      <c r="F30" s="208">
        <f t="shared" si="3"/>
        <v>7.3275862068965525</v>
      </c>
      <c r="G30" s="80">
        <f>+$C$383/C30</f>
        <v>12.217663687122656</v>
      </c>
    </row>
    <row r="31" spans="1:7" ht="16.5" hidden="1" thickBot="1" x14ac:dyDescent="0.3">
      <c r="A31" s="75">
        <v>1995</v>
      </c>
      <c r="B31" s="76" t="s">
        <v>12</v>
      </c>
      <c r="C31" s="77">
        <v>113.846</v>
      </c>
      <c r="D31" s="207" t="e">
        <f>100*((#REF!/#REF!)-1)</f>
        <v>#REF!</v>
      </c>
      <c r="E31" s="207">
        <f>100*((C31/C$19)-1)</f>
        <v>6.0709959936644076</v>
      </c>
      <c r="F31" s="208">
        <f t="shared" si="3"/>
        <v>6.0709959936644076</v>
      </c>
      <c r="G31" s="80">
        <f>+$C$383/C31</f>
        <v>12.292142005191478</v>
      </c>
    </row>
    <row r="32" spans="1:7" ht="16.5" hidden="1" thickBot="1" x14ac:dyDescent="0.3">
      <c r="A32" s="75">
        <v>1996</v>
      </c>
      <c r="B32" s="76" t="s">
        <v>13</v>
      </c>
      <c r="C32" s="77">
        <v>115.334</v>
      </c>
      <c r="D32" s="207">
        <f>100*((C32/C31)-1)</f>
        <v>1.30702879328215</v>
      </c>
      <c r="E32" s="207">
        <f>100*((C32/C$31)-1)</f>
        <v>1.30702879328215</v>
      </c>
      <c r="F32" s="208">
        <f t="shared" si="3"/>
        <v>6.8491120148970186</v>
      </c>
      <c r="G32" s="80">
        <f>+$C$383/C32</f>
        <v>12.13355297417092</v>
      </c>
    </row>
    <row r="33" spans="1:7" ht="16.5" hidden="1" thickBot="1" x14ac:dyDescent="0.3">
      <c r="A33" s="75">
        <v>1996</v>
      </c>
      <c r="B33" s="76" t="s">
        <v>14</v>
      </c>
      <c r="C33" s="77">
        <v>115.879</v>
      </c>
      <c r="D33" s="207">
        <f>100*((C33/C32)-1)</f>
        <v>0.47254062115247297</v>
      </c>
      <c r="E33" s="207">
        <f t="shared" ref="E33:E42" si="4">100*((C33/C$31)-1)</f>
        <v>1.7857456564130514</v>
      </c>
      <c r="F33" s="208">
        <f t="shared" si="3"/>
        <v>6.7350115596820581</v>
      </c>
      <c r="G33" s="80">
        <f>+$C$383/C33</f>
        <v>12.076486669051588</v>
      </c>
    </row>
    <row r="34" spans="1:7" ht="16.5" hidden="1" thickBot="1" x14ac:dyDescent="0.3">
      <c r="A34" s="75">
        <v>1996</v>
      </c>
      <c r="B34" s="76" t="s">
        <v>15</v>
      </c>
      <c r="C34" s="77">
        <v>115.798</v>
      </c>
      <c r="D34" s="207">
        <f>100*((C34/C33)-1)</f>
        <v>-6.9900499659125703E-2</v>
      </c>
      <c r="E34" s="207">
        <f t="shared" si="4"/>
        <v>1.7145969116174387</v>
      </c>
      <c r="F34" s="208">
        <f t="shared" si="3"/>
        <v>5.5193592185236229</v>
      </c>
      <c r="G34" s="80">
        <f>+$C$383/C34</f>
        <v>12.084934098369825</v>
      </c>
    </row>
    <row r="35" spans="1:7" ht="16.5" hidden="1" thickBot="1" x14ac:dyDescent="0.3">
      <c r="A35" s="75">
        <v>1996</v>
      </c>
      <c r="B35" s="76" t="s">
        <v>16</v>
      </c>
      <c r="C35" s="77">
        <v>116.271</v>
      </c>
      <c r="D35" s="207">
        <f>100*((C35/C34)-1)</f>
        <v>0.40846992176031272</v>
      </c>
      <c r="E35" s="207">
        <f t="shared" si="4"/>
        <v>2.1300704460411435</v>
      </c>
      <c r="F35" s="208">
        <f t="shared" si="3"/>
        <v>3.8848136665386113</v>
      </c>
      <c r="G35" s="80">
        <f>+$C$383/C35</f>
        <v>12.035771591566505</v>
      </c>
    </row>
    <row r="36" spans="1:7" ht="16.5" hidden="1" thickBot="1" x14ac:dyDescent="0.3">
      <c r="A36" s="75">
        <v>1996</v>
      </c>
      <c r="B36" s="76" t="s">
        <v>17</v>
      </c>
      <c r="C36" s="81">
        <v>117.825</v>
      </c>
      <c r="D36" s="207">
        <f t="shared" ref="D36:D42" si="5">100*((C36/C35)-1)</f>
        <v>1.3365327553732209</v>
      </c>
      <c r="E36" s="207">
        <f t="shared" si="4"/>
        <v>3.4950722906382348</v>
      </c>
      <c r="F36" s="208">
        <f t="shared" si="3"/>
        <v>7.4535804180498211</v>
      </c>
      <c r="G36" s="80">
        <f>+$C$383/C36</f>
        <v>11.877031179486773</v>
      </c>
    </row>
    <row r="37" spans="1:7" ht="16.5" hidden="1" thickBot="1" x14ac:dyDescent="0.3">
      <c r="A37" s="75">
        <v>1996</v>
      </c>
      <c r="B37" s="76" t="s">
        <v>18</v>
      </c>
      <c r="C37" s="81">
        <v>118.931</v>
      </c>
      <c r="D37" s="207">
        <f t="shared" si="5"/>
        <v>0.93868024612773215</v>
      </c>
      <c r="E37" s="207">
        <f t="shared" si="4"/>
        <v>4.4665600899460589</v>
      </c>
      <c r="F37" s="208">
        <f>100*((C37/C25)-1)</f>
        <v>6.8111399498864023</v>
      </c>
      <c r="G37" s="80">
        <f>+$C$383/C37</f>
        <v>11.766580611640606</v>
      </c>
    </row>
    <row r="38" spans="1:7" ht="16.5" hidden="1" thickBot="1" x14ac:dyDescent="0.3">
      <c r="A38" s="75">
        <v>1996</v>
      </c>
      <c r="B38" s="76" t="s">
        <v>19</v>
      </c>
      <c r="C38" s="81">
        <v>120.568</v>
      </c>
      <c r="D38" s="207">
        <f t="shared" si="5"/>
        <v>1.3764283492108786</v>
      </c>
      <c r="E38" s="207">
        <f t="shared" si="4"/>
        <v>5.9044674384695073</v>
      </c>
      <c r="F38" s="208">
        <f t="shared" si="3"/>
        <v>5.9067000692177629</v>
      </c>
      <c r="G38" s="80">
        <f>+$C$383/C38</f>
        <v>11.606821036452699</v>
      </c>
    </row>
    <row r="39" spans="1:7" ht="16.5" hidden="1" thickBot="1" x14ac:dyDescent="0.3">
      <c r="A39" s="75">
        <v>1996</v>
      </c>
      <c r="B39" s="76" t="s">
        <v>20</v>
      </c>
      <c r="C39" s="81">
        <v>120.509</v>
      </c>
      <c r="D39" s="207">
        <f t="shared" si="5"/>
        <v>-4.893504080684119E-2</v>
      </c>
      <c r="E39" s="207">
        <f t="shared" si="4"/>
        <v>5.8526430441122157</v>
      </c>
      <c r="F39" s="208">
        <f t="shared" si="3"/>
        <v>4.0503203301732071</v>
      </c>
      <c r="G39" s="80">
        <f>+$C$383/C39</f>
        <v>11.612503619837764</v>
      </c>
    </row>
    <row r="40" spans="1:7" ht="16.5" hidden="1" thickBot="1" x14ac:dyDescent="0.3">
      <c r="A40" s="75">
        <v>1996</v>
      </c>
      <c r="B40" s="76" t="s">
        <v>21</v>
      </c>
      <c r="C40" s="81">
        <v>121.003</v>
      </c>
      <c r="D40" s="207">
        <f t="shared" si="5"/>
        <v>0.4099278892032876</v>
      </c>
      <c r="E40" s="207">
        <f t="shared" si="4"/>
        <v>6.2865625494088473</v>
      </c>
      <c r="F40" s="208">
        <f t="shared" si="3"/>
        <v>7.0718779587827685</v>
      </c>
      <c r="G40" s="80">
        <f>+$C$383/C40</f>
        <v>11.565095069734047</v>
      </c>
    </row>
    <row r="41" spans="1:7" ht="16.5" hidden="1" thickBot="1" x14ac:dyDescent="0.3">
      <c r="A41" s="75">
        <v>1996</v>
      </c>
      <c r="B41" s="76" t="s">
        <v>22</v>
      </c>
      <c r="C41" s="81">
        <v>121.29</v>
      </c>
      <c r="D41" s="207">
        <f t="shared" si="5"/>
        <v>0.23718420204459356</v>
      </c>
      <c r="E41" s="207">
        <f t="shared" si="4"/>
        <v>6.5386574846722834</v>
      </c>
      <c r="F41" s="208">
        <f t="shared" si="3"/>
        <v>7.4751448774522888</v>
      </c>
      <c r="G41" s="80">
        <f>+$C$383/C41</f>
        <v>11.537729398326563</v>
      </c>
    </row>
    <row r="42" spans="1:7" ht="16.5" hidden="1" thickBot="1" x14ac:dyDescent="0.3">
      <c r="A42" s="75">
        <v>1996</v>
      </c>
      <c r="B42" s="76" t="s">
        <v>23</v>
      </c>
      <c r="C42" s="81">
        <v>121.584</v>
      </c>
      <c r="D42" s="207">
        <f t="shared" si="5"/>
        <v>0.2423942616868624</v>
      </c>
      <c r="E42" s="207">
        <f t="shared" si="4"/>
        <v>6.7969010768933469</v>
      </c>
      <c r="F42" s="208">
        <f t="shared" si="3"/>
        <v>6.1498166579360802</v>
      </c>
      <c r="G42" s="80">
        <f>+$C$383/C42</f>
        <v>11.509830230318371</v>
      </c>
    </row>
    <row r="43" spans="1:7" ht="16.5" hidden="1" thickBot="1" x14ac:dyDescent="0.3">
      <c r="A43" s="75">
        <v>1996</v>
      </c>
      <c r="B43" s="76" t="s">
        <v>12</v>
      </c>
      <c r="C43" s="77">
        <f>+C42*(1+D43/100)</f>
        <v>123.0551664</v>
      </c>
      <c r="D43" s="207">
        <v>1.21</v>
      </c>
      <c r="E43" s="207">
        <f>100*((C43/C$31)-1)</f>
        <v>8.0891435799237641</v>
      </c>
      <c r="F43" s="208">
        <f t="shared" si="3"/>
        <v>8.0891435799237641</v>
      </c>
      <c r="G43" s="80">
        <f>+$C$383/C43</f>
        <v>11.372226292182958</v>
      </c>
    </row>
    <row r="44" spans="1:7" ht="16.5" hidden="1" thickBot="1" x14ac:dyDescent="0.3">
      <c r="A44" s="75">
        <v>1997</v>
      </c>
      <c r="B44" s="76" t="s">
        <v>13</v>
      </c>
      <c r="C44" s="77">
        <f t="shared" ref="C44:C52" si="6">+C43*(1+D44/100)</f>
        <v>125.11018767888</v>
      </c>
      <c r="D44" s="207">
        <v>1.67</v>
      </c>
      <c r="E44" s="207">
        <f t="shared" ref="E44:E55" si="7">100*((C44/C$31)-1)</f>
        <v>9.8942322777084701</v>
      </c>
      <c r="F44" s="208">
        <f t="shared" si="3"/>
        <v>8.4764143087727728</v>
      </c>
      <c r="G44" s="80">
        <f>+$C$383/C44</f>
        <v>11.185429617569547</v>
      </c>
    </row>
    <row r="45" spans="1:7" ht="16.5" hidden="1" thickBot="1" x14ac:dyDescent="0.3">
      <c r="A45" s="75">
        <v>1997</v>
      </c>
      <c r="B45" s="76" t="s">
        <v>14</v>
      </c>
      <c r="C45" s="77">
        <f t="shared" si="6"/>
        <v>125.53556231698819</v>
      </c>
      <c r="D45" s="207">
        <v>0.34</v>
      </c>
      <c r="E45" s="207">
        <f t="shared" si="7"/>
        <v>10.267872667452682</v>
      </c>
      <c r="F45" s="208">
        <f t="shared" si="3"/>
        <v>8.333315196876212</v>
      </c>
      <c r="G45" s="80">
        <f>+$C$383/C45</f>
        <v>11.147528022293749</v>
      </c>
    </row>
    <row r="46" spans="1:7" ht="16.5" hidden="1" thickBot="1" x14ac:dyDescent="0.3">
      <c r="A46" s="75">
        <v>1997</v>
      </c>
      <c r="B46" s="76" t="s">
        <v>15</v>
      </c>
      <c r="C46" s="77">
        <f t="shared" si="6"/>
        <v>127.5315777578283</v>
      </c>
      <c r="D46" s="207">
        <v>1.59</v>
      </c>
      <c r="E46" s="207">
        <f t="shared" si="7"/>
        <v>12.021131842865174</v>
      </c>
      <c r="F46" s="208">
        <f t="shared" si="3"/>
        <v>10.132798284796207</v>
      </c>
      <c r="G46" s="80">
        <f>+$C$383/C46</f>
        <v>10.973056425134116</v>
      </c>
    </row>
    <row r="47" spans="1:7" ht="16.5" hidden="1" thickBot="1" x14ac:dyDescent="0.3">
      <c r="A47" s="75">
        <v>1997</v>
      </c>
      <c r="B47" s="76" t="s">
        <v>16</v>
      </c>
      <c r="C47" s="77">
        <f t="shared" si="6"/>
        <v>128.20749511994481</v>
      </c>
      <c r="D47" s="207">
        <v>0.53</v>
      </c>
      <c r="E47" s="207">
        <f t="shared" si="7"/>
        <v>12.614843841632384</v>
      </c>
      <c r="F47" s="208">
        <f t="shared" si="3"/>
        <v>10.266098270372503</v>
      </c>
      <c r="G47" s="80">
        <f>+$C$383/C47</f>
        <v>10.915205834212786</v>
      </c>
    </row>
    <row r="48" spans="1:7" ht="16.5" hidden="1" thickBot="1" x14ac:dyDescent="0.3">
      <c r="A48" s="75">
        <v>1997</v>
      </c>
      <c r="B48" s="76" t="s">
        <v>17</v>
      </c>
      <c r="C48" s="77">
        <f t="shared" si="6"/>
        <v>128.38698561311273</v>
      </c>
      <c r="D48" s="207">
        <v>0.14000000000000001</v>
      </c>
      <c r="E48" s="207">
        <f t="shared" si="7"/>
        <v>12.772504623010672</v>
      </c>
      <c r="F48" s="208">
        <f t="shared" si="3"/>
        <v>8.9641295252388851</v>
      </c>
      <c r="G48" s="80">
        <f>+$C$383/C48</f>
        <v>10.899945909938873</v>
      </c>
    </row>
    <row r="49" spans="1:7" ht="16.5" hidden="1" thickBot="1" x14ac:dyDescent="0.3">
      <c r="A49" s="75">
        <v>1997</v>
      </c>
      <c r="B49" s="76" t="s">
        <v>18</v>
      </c>
      <c r="C49" s="77">
        <f t="shared" si="6"/>
        <v>128.69511437858418</v>
      </c>
      <c r="D49" s="207">
        <v>0.24</v>
      </c>
      <c r="E49" s="207">
        <f t="shared" si="7"/>
        <v>13.043158634105879</v>
      </c>
      <c r="F49" s="208">
        <f t="shared" si="3"/>
        <v>8.2098984945760058</v>
      </c>
      <c r="G49" s="80">
        <f>+$C$383/C49</f>
        <v>10.873848673123378</v>
      </c>
    </row>
    <row r="50" spans="1:7" ht="16.5" hidden="1" thickBot="1" x14ac:dyDescent="0.3">
      <c r="A50" s="75">
        <v>1997</v>
      </c>
      <c r="B50" s="76" t="s">
        <v>19</v>
      </c>
      <c r="C50" s="77">
        <f t="shared" si="6"/>
        <v>128.57928877564345</v>
      </c>
      <c r="D50" s="207">
        <v>-0.09</v>
      </c>
      <c r="E50" s="207">
        <f t="shared" si="7"/>
        <v>12.941419791335186</v>
      </c>
      <c r="F50" s="208">
        <f t="shared" si="3"/>
        <v>6.6446227652805501</v>
      </c>
      <c r="G50" s="80">
        <f>+$C$383/C50</f>
        <v>10.883643952680792</v>
      </c>
    </row>
    <row r="51" spans="1:7" ht="16.5" hidden="1" thickBot="1" x14ac:dyDescent="0.3">
      <c r="A51" s="75">
        <v>1997</v>
      </c>
      <c r="B51" s="76" t="s">
        <v>20</v>
      </c>
      <c r="C51" s="77">
        <f t="shared" si="6"/>
        <v>128.38641984248</v>
      </c>
      <c r="D51" s="207">
        <v>-0.15</v>
      </c>
      <c r="E51" s="207">
        <f t="shared" si="7"/>
        <v>12.772007661648189</v>
      </c>
      <c r="F51" s="208">
        <f>100*((C51/C39)-1)</f>
        <v>6.5367896526234537</v>
      </c>
      <c r="G51" s="80">
        <f>+$C$383/C51</f>
        <v>10.899993943596185</v>
      </c>
    </row>
    <row r="52" spans="1:7" ht="16.5" hidden="1" thickBot="1" x14ac:dyDescent="0.3">
      <c r="A52" s="75">
        <v>1997</v>
      </c>
      <c r="B52" s="76" t="s">
        <v>21</v>
      </c>
      <c r="C52" s="77">
        <f t="shared" si="6"/>
        <v>129.56757490503082</v>
      </c>
      <c r="D52" s="207">
        <v>0.92</v>
      </c>
      <c r="E52" s="207">
        <f t="shared" si="7"/>
        <v>13.809510132135362</v>
      </c>
      <c r="F52" s="208">
        <f t="shared" ref="F52:F115" si="8">100*((C52/C40)-1)</f>
        <v>7.0779855912918022</v>
      </c>
      <c r="G52" s="80">
        <f>+$C$383/C52</f>
        <v>10.800628164482941</v>
      </c>
    </row>
    <row r="53" spans="1:7" ht="16.5" hidden="1" thickBot="1" x14ac:dyDescent="0.3">
      <c r="A53" s="75">
        <v>1997</v>
      </c>
      <c r="B53" s="76" t="s">
        <v>22</v>
      </c>
      <c r="C53" s="77">
        <v>130.1</v>
      </c>
      <c r="D53" s="207">
        <v>0.41</v>
      </c>
      <c r="E53" s="207">
        <f t="shared" si="7"/>
        <v>14.2771814556506</v>
      </c>
      <c r="F53" s="208">
        <f t="shared" si="8"/>
        <v>7.2635831478275126</v>
      </c>
      <c r="G53" s="80">
        <f>+$C$383/C53</f>
        <v>10.756427353751183</v>
      </c>
    </row>
    <row r="54" spans="1:7" ht="16.5" hidden="1" thickBot="1" x14ac:dyDescent="0.3">
      <c r="A54" s="75">
        <v>1997</v>
      </c>
      <c r="B54" s="76" t="s">
        <v>23</v>
      </c>
      <c r="C54" s="77">
        <v>131.5</v>
      </c>
      <c r="D54" s="207">
        <f>100*($C$54/$C$53-1)</f>
        <v>1.0760953112989968</v>
      </c>
      <c r="E54" s="207">
        <f t="shared" si="7"/>
        <v>15.50691284717951</v>
      </c>
      <c r="F54" s="208">
        <f t="shared" si="8"/>
        <v>8.1556783787340326</v>
      </c>
      <c r="G54" s="80">
        <f>+$C$383/C54</f>
        <v>10.64191025644889</v>
      </c>
    </row>
    <row r="55" spans="1:7" ht="16.5" hidden="1" thickBot="1" x14ac:dyDescent="0.3">
      <c r="A55" s="75">
        <v>1997</v>
      </c>
      <c r="B55" s="76" t="s">
        <v>12</v>
      </c>
      <c r="C55" s="77">
        <v>132.65</v>
      </c>
      <c r="D55" s="207">
        <f>100*($C$55/$C$54-1)</f>
        <v>0.87452471482889482</v>
      </c>
      <c r="E55" s="207">
        <f t="shared" si="7"/>
        <v>16.517049347363976</v>
      </c>
      <c r="F55" s="208">
        <f t="shared" si="8"/>
        <v>7.7971806310116909</v>
      </c>
      <c r="G55" s="80">
        <f>+$C$383/C55</f>
        <v>10.549650951549408</v>
      </c>
    </row>
    <row r="56" spans="1:7" ht="16.5" hidden="1" thickBot="1" x14ac:dyDescent="0.3">
      <c r="A56" s="75">
        <v>1998</v>
      </c>
      <c r="B56" s="76" t="s">
        <v>13</v>
      </c>
      <c r="C56" s="77">
        <v>133.63999999999999</v>
      </c>
      <c r="D56" s="207">
        <f>100*($C$56/$C$55-1)</f>
        <v>0.74632491519033284</v>
      </c>
      <c r="E56" s="207">
        <f>100*($C$56/$C$55-1)</f>
        <v>0.74632491519033284</v>
      </c>
      <c r="F56" s="208">
        <f t="shared" si="8"/>
        <v>6.8178399212488028</v>
      </c>
      <c r="G56" s="80">
        <f>+$C$383/C56</f>
        <v>10.471499541477321</v>
      </c>
    </row>
    <row r="57" spans="1:7" ht="16.5" hidden="1" thickBot="1" x14ac:dyDescent="0.3">
      <c r="A57" s="75">
        <v>1998</v>
      </c>
      <c r="B57" s="76" t="s">
        <v>14</v>
      </c>
      <c r="C57" s="77">
        <v>133.44</v>
      </c>
      <c r="D57" s="207">
        <f>100*($C$57/$C$56-1)</f>
        <v>-0.14965579167912635</v>
      </c>
      <c r="E57" s="207">
        <f>100*($C$57/$C$55-1)</f>
        <v>0.59555220505087547</v>
      </c>
      <c r="F57" s="208">
        <f t="shared" si="8"/>
        <v>6.29657249079143</v>
      </c>
      <c r="G57" s="80">
        <f>+$C$383/C57</f>
        <v>10.487194235034689</v>
      </c>
    </row>
    <row r="58" spans="1:7" ht="16.5" hidden="1" thickBot="1" x14ac:dyDescent="0.3">
      <c r="A58" s="75">
        <v>1998</v>
      </c>
      <c r="B58" s="76" t="s">
        <v>15</v>
      </c>
      <c r="C58" s="77">
        <v>133.62</v>
      </c>
      <c r="D58" s="207">
        <f>100*($C$58/$C$57-1)</f>
        <v>0.13489208633095107</v>
      </c>
      <c r="E58" s="207">
        <f>100*($C$58/$C$55-1)</f>
        <v>0.73124764417640264</v>
      </c>
      <c r="F58" s="208">
        <f t="shared" si="8"/>
        <v>4.7740507482257444</v>
      </c>
      <c r="G58" s="80">
        <f>+$C$383/C58</f>
        <v>10.473066896595038</v>
      </c>
    </row>
    <row r="59" spans="1:7" ht="16.5" hidden="1" thickBot="1" x14ac:dyDescent="0.3">
      <c r="A59" s="75">
        <v>1998</v>
      </c>
      <c r="B59" s="76" t="s">
        <v>16</v>
      </c>
      <c r="C59" s="77">
        <v>133.24</v>
      </c>
      <c r="D59" s="207">
        <f>100*($C$59/$C$58-1)</f>
        <v>-0.28438856458613548</v>
      </c>
      <c r="E59" s="207">
        <f>100*($C$58/$C$55-1)</f>
        <v>0.73124764417640264</v>
      </c>
      <c r="F59" s="208">
        <f t="shared" si="8"/>
        <v>3.9252813381519092</v>
      </c>
      <c r="G59" s="80">
        <f>+$C$383/C59</f>
        <v>10.502936045654675</v>
      </c>
    </row>
    <row r="60" spans="1:7" ht="16.5" hidden="1" thickBot="1" x14ac:dyDescent="0.3">
      <c r="A60" s="75">
        <v>1998</v>
      </c>
      <c r="B60" s="76" t="s">
        <v>17</v>
      </c>
      <c r="C60" s="77">
        <v>133.41999999999999</v>
      </c>
      <c r="D60" s="207">
        <f>100*($C$60/$C$59-1)</f>
        <v>0.13509456619631433</v>
      </c>
      <c r="E60" s="207">
        <f>100*($C$59/$C$55-1)</f>
        <v>0.44477949491141811</v>
      </c>
      <c r="F60" s="208">
        <f t="shared" si="8"/>
        <v>3.9201904794727183</v>
      </c>
      <c r="G60" s="80">
        <f>+$C$383/C60</f>
        <v>10.488766292332702</v>
      </c>
    </row>
    <row r="61" spans="1:7" ht="16.5" hidden="1" thickBot="1" x14ac:dyDescent="0.3">
      <c r="A61" s="75">
        <v>1998</v>
      </c>
      <c r="B61" s="76" t="s">
        <v>18</v>
      </c>
      <c r="C61" s="77">
        <v>133.63999999999999</v>
      </c>
      <c r="D61" s="207">
        <f>100*($C$60/$C$59-1)</f>
        <v>0.13509456619631433</v>
      </c>
      <c r="E61" s="207">
        <f>100*($C$60/$C$55-1)</f>
        <v>0.58047493403692307</v>
      </c>
      <c r="F61" s="208">
        <f t="shared" si="8"/>
        <v>3.8423258297664464</v>
      </c>
      <c r="G61" s="80">
        <f>+$C$383/C61</f>
        <v>10.471499541477321</v>
      </c>
    </row>
    <row r="62" spans="1:7" ht="16.5" hidden="1" thickBot="1" x14ac:dyDescent="0.3">
      <c r="A62" s="75">
        <v>1998</v>
      </c>
      <c r="B62" s="76" t="s">
        <v>19</v>
      </c>
      <c r="C62" s="77">
        <v>132.83000000000001</v>
      </c>
      <c r="D62" s="207">
        <f>100*($C$61/$C$60-1)</f>
        <v>0.16489281966720615</v>
      </c>
      <c r="E62" s="207">
        <f>100*($C$61/$C$55-1)</f>
        <v>0.74632491519033284</v>
      </c>
      <c r="F62" s="208">
        <f t="shared" si="8"/>
        <v>3.3059066237126178</v>
      </c>
      <c r="G62" s="80">
        <f>+$C$383/C62</f>
        <v>10.535354955379272</v>
      </c>
    </row>
    <row r="63" spans="1:7" ht="16.5" hidden="1" thickBot="1" x14ac:dyDescent="0.3">
      <c r="A63" s="75">
        <v>1998</v>
      </c>
      <c r="B63" s="76" t="s">
        <v>20</v>
      </c>
      <c r="C63" s="77">
        <v>132.77000000000001</v>
      </c>
      <c r="D63" s="207">
        <f>100*($C$62/$C$61-1)</f>
        <v>-0.60610595630048447</v>
      </c>
      <c r="E63" s="207">
        <f>100*($C$62/$C$55-1)</f>
        <v>0.13569543912552717</v>
      </c>
      <c r="F63" s="208">
        <f t="shared" si="8"/>
        <v>3.414364356369104</v>
      </c>
      <c r="G63" s="80">
        <f>+$C$383/C63</f>
        <v>10.540115980440076</v>
      </c>
    </row>
    <row r="64" spans="1:7" ht="16.5" hidden="1" thickBot="1" x14ac:dyDescent="0.3">
      <c r="A64" s="75">
        <v>1998</v>
      </c>
      <c r="B64" s="76" t="s">
        <v>21</v>
      </c>
      <c r="C64" s="77">
        <v>132.85</v>
      </c>
      <c r="D64" s="207">
        <f>100*($C$63/$C$62-1)</f>
        <v>-4.5170518708126384E-2</v>
      </c>
      <c r="E64" s="207">
        <f>+$C$63/$C$55*100-100</f>
        <v>9.0463626083689519E-2</v>
      </c>
      <c r="F64" s="208">
        <f t="shared" si="8"/>
        <v>2.5333692456427359</v>
      </c>
      <c r="G64" s="80">
        <f>+$C$383/C64</f>
        <v>10.533768902694987</v>
      </c>
    </row>
    <row r="65" spans="1:7" ht="16.5" hidden="1" thickBot="1" x14ac:dyDescent="0.3">
      <c r="A65" s="75">
        <v>1998</v>
      </c>
      <c r="B65" s="76" t="s">
        <v>22</v>
      </c>
      <c r="C65" s="77">
        <v>132.6</v>
      </c>
      <c r="D65" s="207">
        <f>100*($C$65/$C$64-1)</f>
        <v>-0.18818216033119617</v>
      </c>
      <c r="E65" s="207">
        <f>+$C$65/$C$55*100-100</f>
        <v>-3.7693177534876554E-2</v>
      </c>
      <c r="F65" s="208">
        <f t="shared" si="8"/>
        <v>1.9215987701767911</v>
      </c>
      <c r="G65" s="80">
        <f>+$C$383/C65</f>
        <v>10.55362894964577</v>
      </c>
    </row>
    <row r="66" spans="1:7" ht="16.5" hidden="1" thickBot="1" x14ac:dyDescent="0.3">
      <c r="A66" s="75">
        <v>1998</v>
      </c>
      <c r="B66" s="76" t="s">
        <v>23</v>
      </c>
      <c r="C66" s="77">
        <v>132.34</v>
      </c>
      <c r="D66" s="207">
        <f>100*($C$66/$C$65-1)</f>
        <v>-0.19607843137253722</v>
      </c>
      <c r="E66" s="207">
        <f>+$C$66/$C$55*100-100</f>
        <v>-0.23369770071617779</v>
      </c>
      <c r="F66" s="208">
        <f t="shared" si="8"/>
        <v>0.63878326996198442</v>
      </c>
      <c r="G66" s="80">
        <f>+$C$383/C66</f>
        <v>10.574362994733482</v>
      </c>
    </row>
    <row r="67" spans="1:7" ht="16.5" hidden="1" thickBot="1" x14ac:dyDescent="0.3">
      <c r="A67" s="75">
        <v>1998</v>
      </c>
      <c r="B67" s="76" t="s">
        <v>12</v>
      </c>
      <c r="C67" s="77">
        <v>134.63999999999999</v>
      </c>
      <c r="D67" s="207">
        <f>100*($C$67/$C$66-1)</f>
        <v>1.7379477104427776</v>
      </c>
      <c r="E67" s="207">
        <f>+(($C$67/$C$55)-1)*100</f>
        <v>1.5001884658876641</v>
      </c>
      <c r="F67" s="208">
        <f t="shared" si="8"/>
        <v>1.5001884658876641</v>
      </c>
      <c r="G67" s="80">
        <f>+$C$383/C67</f>
        <v>10.393725480711744</v>
      </c>
    </row>
    <row r="68" spans="1:7" ht="16.5" hidden="1" thickBot="1" x14ac:dyDescent="0.3">
      <c r="A68" s="75">
        <v>1999</v>
      </c>
      <c r="B68" s="76" t="s">
        <v>13</v>
      </c>
      <c r="C68" s="77">
        <v>136.77000000000001</v>
      </c>
      <c r="D68" s="207">
        <f>($C$68/$C$67-1)*100</f>
        <v>1.5819964349376381</v>
      </c>
      <c r="E68" s="207">
        <f>+(($C$68/$C$67)-1)*100</f>
        <v>1.5819964349376381</v>
      </c>
      <c r="F68" s="208">
        <f t="shared" si="8"/>
        <v>2.3421131397785233</v>
      </c>
      <c r="G68" s="80">
        <f>+$C$383/C68</f>
        <v>10.23185785422994</v>
      </c>
    </row>
    <row r="69" spans="1:7" ht="16.5" hidden="1" thickBot="1" x14ac:dyDescent="0.3">
      <c r="A69" s="75">
        <v>1999</v>
      </c>
      <c r="B69" s="76" t="s">
        <v>14</v>
      </c>
      <c r="C69" s="77">
        <v>146.33000000000001</v>
      </c>
      <c r="D69" s="207">
        <f>($C$69/$C$68-1)*100</f>
        <v>6.9898369525480675</v>
      </c>
      <c r="E69" s="207">
        <f>+(($C$69/$C$67)-1)*100</f>
        <v>8.6824123588829636</v>
      </c>
      <c r="F69" s="208">
        <f t="shared" si="8"/>
        <v>9.6597721822542013</v>
      </c>
      <c r="G69" s="80">
        <f>+$C$383/C69</f>
        <v>9.5633923236727174</v>
      </c>
    </row>
    <row r="70" spans="1:7" ht="16.5" hidden="1" thickBot="1" x14ac:dyDescent="0.3">
      <c r="A70" s="75">
        <v>1999</v>
      </c>
      <c r="B70" s="76" t="s">
        <v>15</v>
      </c>
      <c r="C70" s="77">
        <v>150.47999999999999</v>
      </c>
      <c r="D70" s="207">
        <f>($C$70/$C$69-1)*100</f>
        <v>2.836055491013445</v>
      </c>
      <c r="E70" s="207">
        <f>+(($C$70/$C$67)-1)*100</f>
        <v>11.764705882352944</v>
      </c>
      <c r="F70" s="208">
        <f t="shared" si="8"/>
        <v>12.617871576111339</v>
      </c>
      <c r="G70" s="80">
        <f>+$C$383/C70</f>
        <v>9.2996491143210331</v>
      </c>
    </row>
    <row r="71" spans="1:7" ht="16.5" hidden="1" thickBot="1" x14ac:dyDescent="0.3">
      <c r="A71" s="75">
        <v>1999</v>
      </c>
      <c r="B71" s="76" t="s">
        <v>16</v>
      </c>
      <c r="C71" s="77">
        <v>149.97</v>
      </c>
      <c r="D71" s="207">
        <f>($C$71/$C$70-1)*100</f>
        <v>-0.33891547049441639</v>
      </c>
      <c r="E71" s="207">
        <f>+(($C$71/$C$67)-1)*100</f>
        <v>11.385918003565077</v>
      </c>
      <c r="F71" s="208">
        <f t="shared" si="8"/>
        <v>12.5562894025818</v>
      </c>
      <c r="G71" s="80">
        <f>+$C$383/C71</f>
        <v>9.3312742463361271</v>
      </c>
    </row>
    <row r="72" spans="1:7" ht="16.5" hidden="1" thickBot="1" x14ac:dyDescent="0.3">
      <c r="A72" s="75">
        <v>1999</v>
      </c>
      <c r="B72" s="76" t="s">
        <v>17</v>
      </c>
      <c r="C72" s="77">
        <v>148.74</v>
      </c>
      <c r="D72" s="207">
        <f>($C$72/$C$71-1)*100</f>
        <v>-0.82016403280655847</v>
      </c>
      <c r="E72" s="207">
        <f>+(($C$72/$C$67)-1)*100</f>
        <v>10.472370766488437</v>
      </c>
      <c r="F72" s="208">
        <f t="shared" si="8"/>
        <v>11.482536351371619</v>
      </c>
      <c r="G72" s="80">
        <f>+$C$383/C72</f>
        <v>9.4084388780625847</v>
      </c>
    </row>
    <row r="73" spans="1:7" ht="16.5" hidden="1" thickBot="1" x14ac:dyDescent="0.3">
      <c r="A73" s="75">
        <v>1999</v>
      </c>
      <c r="B73" s="76" t="s">
        <v>18</v>
      </c>
      <c r="C73" s="77">
        <v>150.75</v>
      </c>
      <c r="D73" s="207">
        <f>($C$73/$C$72-1)*100</f>
        <v>1.3513513513513375</v>
      </c>
      <c r="E73" s="207">
        <f>+(($C$73/$C$67)-1)*100</f>
        <v>11.965240641711251</v>
      </c>
      <c r="F73" s="208">
        <f t="shared" si="8"/>
        <v>12.803052978150276</v>
      </c>
      <c r="G73" s="80">
        <f>+$C$383/C73</f>
        <v>9.2829930263550846</v>
      </c>
    </row>
    <row r="74" spans="1:7" ht="16.5" hidden="1" thickBot="1" x14ac:dyDescent="0.3">
      <c r="A74" s="75">
        <v>1999</v>
      </c>
      <c r="B74" s="76" t="s">
        <v>19</v>
      </c>
      <c r="C74" s="77">
        <v>153.81</v>
      </c>
      <c r="D74" s="207">
        <f>($C$74/$C$73-1)*100</f>
        <v>2.0298507462686688</v>
      </c>
      <c r="E74" s="207">
        <f>+(($C$74/$C$67)-1)*100</f>
        <v>14.237967914438521</v>
      </c>
      <c r="F74" s="208">
        <f t="shared" si="8"/>
        <v>15.79462470827373</v>
      </c>
      <c r="G74" s="80">
        <f>+$C$383/C74</f>
        <v>9.0983108947599565</v>
      </c>
    </row>
    <row r="75" spans="1:7" ht="16.5" hidden="1" thickBot="1" x14ac:dyDescent="0.3">
      <c r="A75" s="75">
        <v>1999</v>
      </c>
      <c r="B75" s="76" t="s">
        <v>20</v>
      </c>
      <c r="C75" s="77">
        <v>157.12</v>
      </c>
      <c r="D75" s="207">
        <f>($C$75/$C$74-1)*100</f>
        <v>2.1520057213445076</v>
      </c>
      <c r="E75" s="207">
        <f>+(($C$75/$C$67)-1)*100</f>
        <v>16.696375519904947</v>
      </c>
      <c r="F75" s="208">
        <f t="shared" si="8"/>
        <v>18.33998644272048</v>
      </c>
      <c r="G75" s="80">
        <f>+$C$383/C75</f>
        <v>8.9066395030742669</v>
      </c>
    </row>
    <row r="76" spans="1:7" ht="16.5" hidden="1" thickBot="1" x14ac:dyDescent="0.3">
      <c r="A76" s="75">
        <v>1999</v>
      </c>
      <c r="B76" s="76" t="s">
        <v>21</v>
      </c>
      <c r="C76" s="77">
        <f>+$C$75*(1+$D$76/100)</f>
        <v>160.73375999999999</v>
      </c>
      <c r="D76" s="207">
        <v>2.2999999999999998</v>
      </c>
      <c r="E76" s="207">
        <f>+(($C$76/$C$67)-1)*100</f>
        <v>19.380392156862758</v>
      </c>
      <c r="F76" s="208">
        <f t="shared" si="8"/>
        <v>20.988904779826868</v>
      </c>
      <c r="G76" s="80">
        <f>+$C$383/C76</f>
        <v>8.7063924761234297</v>
      </c>
    </row>
    <row r="77" spans="1:7" ht="16.5" hidden="1" thickBot="1" x14ac:dyDescent="0.3">
      <c r="A77" s="75">
        <v>1999</v>
      </c>
      <c r="B77" s="76" t="s">
        <v>22</v>
      </c>
      <c r="C77" s="77">
        <f>+$C$76*(1+$D$77/100)</f>
        <v>164.88069100799999</v>
      </c>
      <c r="D77" s="207">
        <v>2.58</v>
      </c>
      <c r="E77" s="207">
        <f>+(($C$77/$C$67)-1)*100</f>
        <v>22.460406274509804</v>
      </c>
      <c r="F77" s="208">
        <f t="shared" si="8"/>
        <v>24.344412524886884</v>
      </c>
      <c r="G77" s="80">
        <f>+$C$383/C77</f>
        <v>8.4874171145675863</v>
      </c>
    </row>
    <row r="78" spans="1:7" ht="16.5" hidden="1" thickBot="1" x14ac:dyDescent="0.3">
      <c r="A78" s="75">
        <v>1999</v>
      </c>
      <c r="B78" s="76" t="s">
        <v>23</v>
      </c>
      <c r="C78" s="77">
        <f>+$C$77*(1+$D$78/100)</f>
        <v>170.7999078151872</v>
      </c>
      <c r="D78" s="207">
        <v>3.59</v>
      </c>
      <c r="E78" s="207">
        <f>+(($C$78/$C$67)-1)*100</f>
        <v>26.856734859764721</v>
      </c>
      <c r="F78" s="208">
        <f t="shared" si="8"/>
        <v>29.06143857880248</v>
      </c>
      <c r="G78" s="80">
        <f>+$C$383/C78</f>
        <v>8.1932784193142059</v>
      </c>
    </row>
    <row r="79" spans="1:7" ht="16.5" hidden="1" thickBot="1" x14ac:dyDescent="0.3">
      <c r="A79" s="75">
        <v>1999</v>
      </c>
      <c r="B79" s="76" t="s">
        <v>12</v>
      </c>
      <c r="C79" s="77">
        <f>+$C$78*(1+$D$79/100)</f>
        <v>173.53270634023019</v>
      </c>
      <c r="D79" s="207">
        <v>1.6</v>
      </c>
      <c r="E79" s="207">
        <f>+(($C$79/$C$67)-1)*100</f>
        <v>28.886442617520956</v>
      </c>
      <c r="F79" s="208">
        <f t="shared" si="8"/>
        <v>28.886442617520956</v>
      </c>
      <c r="G79" s="80">
        <f>+$C$383/C79</f>
        <v>8.0642504127108321</v>
      </c>
    </row>
    <row r="80" spans="1:7" ht="16.5" hidden="1" thickBot="1" x14ac:dyDescent="0.3">
      <c r="A80" s="75">
        <v>2000</v>
      </c>
      <c r="B80" s="82" t="s">
        <v>13</v>
      </c>
      <c r="C80" s="77">
        <f>+$C$79*(1+$D$80/100)</f>
        <v>175.30273994490054</v>
      </c>
      <c r="D80" s="207">
        <v>1.02</v>
      </c>
      <c r="E80" s="207">
        <f>+(($C$80/$C$79)-1)*100</f>
        <v>1.0199999999999987</v>
      </c>
      <c r="F80" s="208">
        <f t="shared" si="8"/>
        <v>28.173385936170604</v>
      </c>
      <c r="G80" s="80">
        <f>+$C$383/C80</f>
        <v>7.9828255916757396</v>
      </c>
    </row>
    <row r="81" spans="1:7" ht="16.5" hidden="1" thickBot="1" x14ac:dyDescent="0.3">
      <c r="A81" s="75">
        <v>2000</v>
      </c>
      <c r="B81" s="82" t="s">
        <v>14</v>
      </c>
      <c r="C81" s="77">
        <f>+$C$80*(1+$D$81/100)</f>
        <v>175.60075460280689</v>
      </c>
      <c r="D81" s="207">
        <v>0.17</v>
      </c>
      <c r="E81" s="207">
        <f>+(($C$81/$C$79)-1)*100</f>
        <v>1.191734000000011</v>
      </c>
      <c r="F81" s="208">
        <f t="shared" si="8"/>
        <v>20.003249233107965</v>
      </c>
      <c r="G81" s="80">
        <f>+$C$383/C81</f>
        <v>7.9692778193827882</v>
      </c>
    </row>
    <row r="82" spans="1:7" ht="16.5" hidden="1" thickBot="1" x14ac:dyDescent="0.3">
      <c r="A82" s="75">
        <v>2000</v>
      </c>
      <c r="B82" s="82" t="s">
        <v>15</v>
      </c>
      <c r="C82" s="77">
        <f>+$C$81*(1+$D$82/100)</f>
        <v>175.5129542255055</v>
      </c>
      <c r="D82" s="207">
        <v>-0.05</v>
      </c>
      <c r="E82" s="207">
        <f>+(($C$82/$C$79)-1)*100</f>
        <v>1.1411381330000081</v>
      </c>
      <c r="F82" s="208">
        <f t="shared" si="8"/>
        <v>16.635402861181213</v>
      </c>
      <c r="G82" s="80">
        <f>+$C$383/C82</f>
        <v>7.9732644516085918</v>
      </c>
    </row>
    <row r="83" spans="1:7" ht="16.5" hidden="1" thickBot="1" x14ac:dyDescent="0.3">
      <c r="A83" s="75">
        <v>2000</v>
      </c>
      <c r="B83" s="82" t="s">
        <v>16</v>
      </c>
      <c r="C83" s="77">
        <f>+$C$82*(1+$D$83/100)</f>
        <v>175.4778516346604</v>
      </c>
      <c r="D83" s="207">
        <v>-0.02</v>
      </c>
      <c r="E83" s="207">
        <f>+(($C$83/$C$79)-1)*100</f>
        <v>1.1209099053734128</v>
      </c>
      <c r="F83" s="208">
        <f t="shared" si="8"/>
        <v>17.008636150337008</v>
      </c>
      <c r="G83" s="80">
        <f>+$C$383/C83</f>
        <v>7.9748594234932906</v>
      </c>
    </row>
    <row r="84" spans="1:7" ht="16.5" hidden="1" thickBot="1" x14ac:dyDescent="0.3">
      <c r="A84" s="75">
        <v>2000</v>
      </c>
      <c r="B84" s="82" t="s">
        <v>17</v>
      </c>
      <c r="C84" s="77">
        <f>+$C$83*(1+$D$84/100)</f>
        <v>176.68864881093953</v>
      </c>
      <c r="D84" s="207">
        <v>0.69</v>
      </c>
      <c r="E84" s="207">
        <f>+(($C$84/$C$79)-1)*100</f>
        <v>1.8186441837204859</v>
      </c>
      <c r="F84" s="208">
        <f t="shared" si="8"/>
        <v>18.790270815476351</v>
      </c>
      <c r="G84" s="80">
        <f>+$C$383/C84</f>
        <v>7.9202099746680821</v>
      </c>
    </row>
    <row r="85" spans="1:7" ht="16.5" hidden="1" thickBot="1" x14ac:dyDescent="0.3">
      <c r="A85" s="75">
        <v>2000</v>
      </c>
      <c r="B85" s="82" t="s">
        <v>18</v>
      </c>
      <c r="C85" s="77">
        <f>+$C$84*(1+$D$85/100)</f>
        <v>179.25063421869814</v>
      </c>
      <c r="D85" s="207">
        <v>1.45</v>
      </c>
      <c r="E85" s="207">
        <f>+(($C$85/$C$79)-1)*100</f>
        <v>3.2950145243844098</v>
      </c>
      <c r="F85" s="208">
        <f t="shared" si="8"/>
        <v>18.905893345736736</v>
      </c>
      <c r="G85" s="80">
        <f>+$C$383/C85</f>
        <v>7.8070083535417272</v>
      </c>
    </row>
    <row r="86" spans="1:7" ht="16.5" hidden="1" thickBot="1" x14ac:dyDescent="0.3">
      <c r="A86" s="75">
        <v>2000</v>
      </c>
      <c r="B86" s="82" t="s">
        <v>19</v>
      </c>
      <c r="C86" s="77">
        <f>+$C$85*(1+$D$86/100)</f>
        <v>184.25172691339984</v>
      </c>
      <c r="D86" s="207">
        <v>2.79</v>
      </c>
      <c r="E86" s="207">
        <f>+(($C$86/$C$79)-1)*100</f>
        <v>6.1769454296147552</v>
      </c>
      <c r="F86" s="208">
        <f t="shared" si="8"/>
        <v>19.791773560496615</v>
      </c>
      <c r="G86" s="80">
        <f>+$C$383/C86</f>
        <v>7.5951049261034402</v>
      </c>
    </row>
    <row r="87" spans="1:7" ht="16.5" hidden="1" thickBot="1" x14ac:dyDescent="0.3">
      <c r="A87" s="75">
        <v>2000</v>
      </c>
      <c r="B87" s="82" t="s">
        <v>20</v>
      </c>
      <c r="C87" s="77">
        <f>+$C$86*(1+$D$87/100)</f>
        <v>188.96857112238288</v>
      </c>
      <c r="D87" s="207">
        <v>2.56</v>
      </c>
      <c r="E87" s="207">
        <f>+(($C$87/$C$79)-1)*100</f>
        <v>8.8950752326129034</v>
      </c>
      <c r="F87" s="208">
        <f t="shared" si="8"/>
        <v>20.270220928196835</v>
      </c>
      <c r="G87" s="80">
        <f>+$C$383/C87</f>
        <v>7.4055235238918096</v>
      </c>
    </row>
    <row r="88" spans="1:7" ht="16.5" hidden="1" thickBot="1" x14ac:dyDescent="0.3">
      <c r="A88" s="75">
        <v>2000</v>
      </c>
      <c r="B88" s="82" t="s">
        <v>21</v>
      </c>
      <c r="C88" s="77">
        <f>+$C$87*(1+$D$88/100)</f>
        <v>191.02832854761684</v>
      </c>
      <c r="D88" s="207">
        <v>1.0900000000000001</v>
      </c>
      <c r="E88" s="207">
        <f>+(($C$88/$C$79)-1)*100</f>
        <v>10.082031552648374</v>
      </c>
      <c r="F88" s="208">
        <f t="shared" si="8"/>
        <v>18.847669927970866</v>
      </c>
      <c r="G88" s="80">
        <f>+$C$383/C88</f>
        <v>7.325673680771402</v>
      </c>
    </row>
    <row r="89" spans="1:7" ht="16.5" hidden="1" thickBot="1" x14ac:dyDescent="0.3">
      <c r="A89" s="75">
        <v>2000</v>
      </c>
      <c r="B89" s="82" t="s">
        <v>22</v>
      </c>
      <c r="C89" s="77">
        <f>+$C$88*(1+$D$89/100)</f>
        <v>192.09808718748351</v>
      </c>
      <c r="D89" s="207">
        <v>0.56000000000000005</v>
      </c>
      <c r="E89" s="207">
        <f>+(($C$89/$C$79)-1)*100</f>
        <v>10.698490929343208</v>
      </c>
      <c r="F89" s="208">
        <f t="shared" si="8"/>
        <v>16.507327821765962</v>
      </c>
      <c r="G89" s="80">
        <f>+$C$383/C89</f>
        <v>7.2848783619445125</v>
      </c>
    </row>
    <row r="90" spans="1:7" ht="16.5" hidden="1" thickBot="1" x14ac:dyDescent="0.3">
      <c r="A90" s="75">
        <v>2000</v>
      </c>
      <c r="B90" s="82" t="s">
        <v>23</v>
      </c>
      <c r="C90" s="77">
        <f>+$C$89*(1+$D$90/100)</f>
        <v>192.82805991879596</v>
      </c>
      <c r="D90" s="207">
        <v>0.38</v>
      </c>
      <c r="E90" s="207">
        <f>+(($C$90/$C$79)-1)*100</f>
        <v>11.119145194874713</v>
      </c>
      <c r="F90" s="208">
        <f t="shared" si="8"/>
        <v>12.897051517992718</v>
      </c>
      <c r="G90" s="80">
        <f>+$C$383/C90</f>
        <v>7.2573006195900698</v>
      </c>
    </row>
    <row r="91" spans="1:7" ht="16.5" hidden="1" thickBot="1" x14ac:dyDescent="0.3">
      <c r="A91" s="75">
        <v>2000</v>
      </c>
      <c r="B91" s="82" t="s">
        <v>12</v>
      </c>
      <c r="C91" s="77">
        <f>+$C$90*(1+$D$91/100)</f>
        <v>194.46709842810571</v>
      </c>
      <c r="D91" s="207">
        <v>0.85</v>
      </c>
      <c r="E91" s="207">
        <f>+(($C$91/$C$79)-1)*100</f>
        <v>12.063657929031146</v>
      </c>
      <c r="F91" s="208">
        <f t="shared" si="8"/>
        <v>12.063657929031146</v>
      </c>
      <c r="G91" s="80">
        <f>+$C$383/C91</f>
        <v>7.1961334849678433</v>
      </c>
    </row>
    <row r="92" spans="1:7" ht="16.5" hidden="1" thickBot="1" x14ac:dyDescent="0.3">
      <c r="A92" s="75">
        <v>2001</v>
      </c>
      <c r="B92" s="82" t="s">
        <v>13</v>
      </c>
      <c r="C92" s="77">
        <f>+$C$91*(1+$D$92/100)</f>
        <v>195.24496682181814</v>
      </c>
      <c r="D92" s="207">
        <v>0.4</v>
      </c>
      <c r="E92" s="207">
        <f>+(($C$92/$C$91)-1)*100</f>
        <v>0.40000000000000036</v>
      </c>
      <c r="F92" s="208">
        <f t="shared" si="8"/>
        <v>11.375878599037105</v>
      </c>
      <c r="G92" s="80">
        <f>+$C$383/C92</f>
        <v>7.1674636304460586</v>
      </c>
    </row>
    <row r="93" spans="1:7" ht="16.5" hidden="1" thickBot="1" x14ac:dyDescent="0.3">
      <c r="A93" s="75">
        <v>2001</v>
      </c>
      <c r="B93" s="82" t="s">
        <v>14</v>
      </c>
      <c r="C93" s="77">
        <f>+$C$92*(1+$D$93/100)</f>
        <v>195.83070172228358</v>
      </c>
      <c r="D93" s="207">
        <v>0.3</v>
      </c>
      <c r="E93" s="207">
        <f>+(($C$93/$C$91)-1)*100</f>
        <v>0.70120000000000182</v>
      </c>
      <c r="F93" s="208">
        <f t="shared" si="8"/>
        <v>11.520421518253166</v>
      </c>
      <c r="G93" s="80">
        <f>+$C$383/C93</f>
        <v>7.1460255537847051</v>
      </c>
    </row>
    <row r="94" spans="1:7" ht="16.5" hidden="1" thickBot="1" x14ac:dyDescent="0.3">
      <c r="A94" s="75">
        <v>2001</v>
      </c>
      <c r="B94" s="82" t="s">
        <v>15</v>
      </c>
      <c r="C94" s="77">
        <f>+$C$93*(1+$D$94/100)</f>
        <v>197.80859180967863</v>
      </c>
      <c r="D94" s="207">
        <v>1.01</v>
      </c>
      <c r="E94" s="207">
        <f>+(($C$94/$C$91)-1)*100</f>
        <v>1.7182821199999809</v>
      </c>
      <c r="F94" s="208">
        <f t="shared" si="8"/>
        <v>12.703129340257636</v>
      </c>
      <c r="G94" s="80">
        <f>+$C$383/C94</f>
        <v>7.0745723728192313</v>
      </c>
    </row>
    <row r="95" spans="1:7" ht="16.5" hidden="1" thickBot="1" x14ac:dyDescent="0.3">
      <c r="A95" s="75">
        <v>2001</v>
      </c>
      <c r="B95" s="82" t="s">
        <v>16</v>
      </c>
      <c r="C95" s="77">
        <f t="shared" ref="C95:C158" si="9">+C94*(1+D95/100)</f>
        <v>200.55813123583317</v>
      </c>
      <c r="D95" s="207">
        <v>1.39</v>
      </c>
      <c r="E95" s="207">
        <f t="shared" ref="E95:E100" si="10">+((C95/$C$91)-1)*100</f>
        <v>3.1321662414679929</v>
      </c>
      <c r="F95" s="208">
        <f t="shared" si="8"/>
        <v>14.29256135035728</v>
      </c>
      <c r="G95" s="80">
        <f>+$C$383/C95</f>
        <v>6.9775839558331505</v>
      </c>
    </row>
    <row r="96" spans="1:7" ht="16.5" hidden="1" thickBot="1" x14ac:dyDescent="0.3">
      <c r="A96" s="75">
        <v>2001</v>
      </c>
      <c r="B96" s="82" t="s">
        <v>17</v>
      </c>
      <c r="C96" s="77">
        <f t="shared" si="9"/>
        <v>200.91913587205767</v>
      </c>
      <c r="D96" s="207">
        <v>0.18</v>
      </c>
      <c r="E96" s="207">
        <f t="shared" si="10"/>
        <v>3.3178041407026404</v>
      </c>
      <c r="F96" s="208">
        <f t="shared" si="8"/>
        <v>13.713663681386379</v>
      </c>
      <c r="G96" s="80">
        <f>+$C$383/C96</f>
        <v>6.9650468714645148</v>
      </c>
    </row>
    <row r="97" spans="1:7" ht="16.5" hidden="1" thickBot="1" x14ac:dyDescent="0.3">
      <c r="A97" s="75">
        <v>2001</v>
      </c>
      <c r="B97" s="82" t="s">
        <v>18</v>
      </c>
      <c r="C97" s="77">
        <f>+C96*(1+D97/100)</f>
        <v>204.85715093515</v>
      </c>
      <c r="D97" s="207">
        <v>1.96</v>
      </c>
      <c r="E97" s="207">
        <f t="shared" si="10"/>
        <v>5.3428331018604114</v>
      </c>
      <c r="F97" s="208">
        <f t="shared" si="8"/>
        <v>14.285314430302186</v>
      </c>
      <c r="G97" s="80">
        <f>+$C$383/C97</f>
        <v>6.8311562097533489</v>
      </c>
    </row>
    <row r="98" spans="1:7" ht="16.5" hidden="1" thickBot="1" x14ac:dyDescent="0.3">
      <c r="A98" s="75">
        <v>2001</v>
      </c>
      <c r="B98" s="82" t="s">
        <v>19</v>
      </c>
      <c r="C98" s="77">
        <f>+C97*(1+D98/100)</f>
        <v>208.81089394819841</v>
      </c>
      <c r="D98" s="207">
        <v>1.93</v>
      </c>
      <c r="E98" s="207">
        <f t="shared" si="10"/>
        <v>7.3759497807263097</v>
      </c>
      <c r="F98" s="208">
        <f t="shared" si="8"/>
        <v>13.329138047287682</v>
      </c>
      <c r="G98" s="80">
        <f>+$C$383/C98</f>
        <v>6.7018112525785813</v>
      </c>
    </row>
    <row r="99" spans="1:7" ht="16.5" hidden="1" thickBot="1" x14ac:dyDescent="0.3">
      <c r="A99" s="75">
        <v>2001</v>
      </c>
      <c r="B99" s="82" t="s">
        <v>20</v>
      </c>
      <c r="C99" s="77">
        <f t="shared" si="9"/>
        <v>211.17045704981308</v>
      </c>
      <c r="D99" s="207">
        <v>1.1299999999999999</v>
      </c>
      <c r="E99" s="207">
        <f t="shared" si="10"/>
        <v>8.5892980132485484</v>
      </c>
      <c r="F99" s="208">
        <f t="shared" si="8"/>
        <v>11.74898333387484</v>
      </c>
      <c r="G99" s="80">
        <f>+$C$383/C99</f>
        <v>6.6269269777302293</v>
      </c>
    </row>
    <row r="100" spans="1:7" ht="16.5" hidden="1" thickBot="1" x14ac:dyDescent="0.3">
      <c r="A100" s="75">
        <v>2001</v>
      </c>
      <c r="B100" s="82" t="s">
        <v>21</v>
      </c>
      <c r="C100" s="77">
        <f t="shared" si="9"/>
        <v>212.18407524365216</v>
      </c>
      <c r="D100" s="207">
        <v>0.48</v>
      </c>
      <c r="E100" s="207">
        <f t="shared" si="10"/>
        <v>9.1105266437121237</v>
      </c>
      <c r="F100" s="208">
        <f t="shared" si="8"/>
        <v>11.074664609632446</v>
      </c>
      <c r="G100" s="80">
        <f>+$C$383/C100</f>
        <v>6.5952696832506268</v>
      </c>
    </row>
    <row r="101" spans="1:7" ht="16.5" hidden="1" thickBot="1" x14ac:dyDescent="0.3">
      <c r="A101" s="75">
        <v>2001</v>
      </c>
      <c r="B101" s="82" t="s">
        <v>22</v>
      </c>
      <c r="C101" s="77">
        <f t="shared" si="9"/>
        <v>216.1731358582328</v>
      </c>
      <c r="D101" s="207">
        <v>1.88</v>
      </c>
      <c r="E101" s="207">
        <f>+((C101/$C$91)-1)*100</f>
        <v>11.161804544613908</v>
      </c>
      <c r="F101" s="208">
        <f t="shared" si="8"/>
        <v>12.532685266799426</v>
      </c>
      <c r="G101" s="80">
        <f>+$C$383/C101</f>
        <v>6.4735666305954336</v>
      </c>
    </row>
    <row r="102" spans="1:7" ht="16.5" hidden="1" thickBot="1" x14ac:dyDescent="0.3">
      <c r="A102" s="75">
        <v>2001</v>
      </c>
      <c r="B102" s="82" t="s">
        <v>23</v>
      </c>
      <c r="C102" s="77">
        <f t="shared" si="9"/>
        <v>217.75119974999791</v>
      </c>
      <c r="D102" s="207">
        <v>0.73</v>
      </c>
      <c r="E102" s="207">
        <f>+((C102/$C$91)-1)*100</f>
        <v>11.973285717789594</v>
      </c>
      <c r="F102" s="208">
        <f t="shared" si="8"/>
        <v>12.925058646390797</v>
      </c>
      <c r="G102" s="80">
        <f>+$C$383/C102</f>
        <v>6.4266520704809222</v>
      </c>
    </row>
    <row r="103" spans="1:7" ht="16.5" hidden="1" thickBot="1" x14ac:dyDescent="0.3">
      <c r="A103" s="75">
        <v>2001</v>
      </c>
      <c r="B103" s="82" t="s">
        <v>12</v>
      </c>
      <c r="C103" s="77">
        <f t="shared" si="9"/>
        <v>217.55522367022292</v>
      </c>
      <c r="D103" s="207">
        <v>-0.09</v>
      </c>
      <c r="E103" s="207">
        <f>+((C103/$C$91)-1)*100</f>
        <v>11.872509760643579</v>
      </c>
      <c r="F103" s="208">
        <f t="shared" si="8"/>
        <v>11.872509760643579</v>
      </c>
      <c r="G103" s="80">
        <f>+$C$383/C103</f>
        <v>6.4324412676217815</v>
      </c>
    </row>
    <row r="104" spans="1:7" ht="16.5" hidden="1" thickBot="1" x14ac:dyDescent="0.3">
      <c r="A104" s="75">
        <v>2002</v>
      </c>
      <c r="B104" s="82" t="s">
        <v>13</v>
      </c>
      <c r="C104" s="77">
        <f>+C103*(1+D104/100)</f>
        <v>217.27240187945162</v>
      </c>
      <c r="D104" s="207">
        <v>-0.13</v>
      </c>
      <c r="E104" s="207">
        <f t="shared" ref="E104:E110" si="11">+((C104/$C$103)-1)*100</f>
        <v>-0.12999999999999678</v>
      </c>
      <c r="F104" s="208">
        <f t="shared" si="8"/>
        <v>11.281947707126228</v>
      </c>
      <c r="G104" s="80">
        <f>+$C$383/C104</f>
        <v>6.4408143262459019</v>
      </c>
    </row>
    <row r="105" spans="1:7" ht="16.5" hidden="1" thickBot="1" x14ac:dyDescent="0.3">
      <c r="A105" s="75">
        <v>2002</v>
      </c>
      <c r="B105" s="82" t="s">
        <v>14</v>
      </c>
      <c r="C105" s="77">
        <f t="shared" si="9"/>
        <v>217.57658324208288</v>
      </c>
      <c r="D105" s="207">
        <v>0.14000000000000001</v>
      </c>
      <c r="E105" s="207">
        <f t="shared" si="11"/>
        <v>9.8180000000169798E-3</v>
      </c>
      <c r="F105" s="208">
        <f t="shared" si="8"/>
        <v>11.104429146476802</v>
      </c>
      <c r="G105" s="80">
        <f>+$C$383/C105</f>
        <v>6.4318097925363498</v>
      </c>
    </row>
    <row r="106" spans="1:7" ht="16.5" hidden="1" thickBot="1" x14ac:dyDescent="0.3">
      <c r="A106" s="75">
        <v>2002</v>
      </c>
      <c r="B106" s="82" t="s">
        <v>15</v>
      </c>
      <c r="C106" s="77">
        <f t="shared" si="9"/>
        <v>217.33724900051658</v>
      </c>
      <c r="D106" s="207">
        <v>-0.11</v>
      </c>
      <c r="E106" s="207">
        <f t="shared" si="11"/>
        <v>-0.10019279979999185</v>
      </c>
      <c r="F106" s="208">
        <f t="shared" si="8"/>
        <v>9.8725020041735334</v>
      </c>
      <c r="G106" s="80">
        <f>+$C$383/C106</f>
        <v>6.4388925743681549</v>
      </c>
    </row>
    <row r="107" spans="1:7" ht="16.5" hidden="1" thickBot="1" x14ac:dyDescent="0.3">
      <c r="A107" s="75">
        <v>2002</v>
      </c>
      <c r="B107" s="82" t="s">
        <v>16</v>
      </c>
      <c r="C107" s="77">
        <f t="shared" si="9"/>
        <v>218.96727836802046</v>
      </c>
      <c r="D107" s="207">
        <v>0.75</v>
      </c>
      <c r="E107" s="207">
        <f t="shared" si="11"/>
        <v>0.64905575420151074</v>
      </c>
      <c r="F107" s="208">
        <f t="shared" si="8"/>
        <v>9.1789582495362723</v>
      </c>
      <c r="G107" s="80">
        <f>+$C$383/C107</f>
        <v>6.3909603715812953</v>
      </c>
    </row>
    <row r="108" spans="1:7" ht="16.5" hidden="1" thickBot="1" x14ac:dyDescent="0.3">
      <c r="A108" s="75">
        <v>2002</v>
      </c>
      <c r="B108" s="82" t="s">
        <v>17</v>
      </c>
      <c r="C108" s="77">
        <f t="shared" si="9"/>
        <v>221.74816280329429</v>
      </c>
      <c r="D108" s="207">
        <v>1.27</v>
      </c>
      <c r="E108" s="207">
        <f t="shared" si="11"/>
        <v>1.927298762279861</v>
      </c>
      <c r="F108" s="208">
        <f t="shared" si="8"/>
        <v>10.366870652131531</v>
      </c>
      <c r="G108" s="80">
        <f>+$C$383/C108</f>
        <v>6.3108130458983869</v>
      </c>
    </row>
    <row r="109" spans="1:7" ht="16.5" hidden="1" thickBot="1" x14ac:dyDescent="0.3">
      <c r="A109" s="75">
        <v>2002</v>
      </c>
      <c r="B109" s="82" t="s">
        <v>18</v>
      </c>
      <c r="C109" s="77">
        <f t="shared" si="9"/>
        <v>227.29186687337662</v>
      </c>
      <c r="D109" s="207">
        <v>2.5</v>
      </c>
      <c r="E109" s="207">
        <f t="shared" si="11"/>
        <v>4.4754812313368308</v>
      </c>
      <c r="F109" s="208">
        <f t="shared" si="8"/>
        <v>10.951395074965475</v>
      </c>
      <c r="G109" s="80">
        <f>+$C$383/C109</f>
        <v>6.1568907764862315</v>
      </c>
    </row>
    <row r="110" spans="1:7" ht="16.5" hidden="1" thickBot="1" x14ac:dyDescent="0.3">
      <c r="A110" s="75">
        <v>2002</v>
      </c>
      <c r="B110" s="82" t="s">
        <v>19</v>
      </c>
      <c r="C110" s="77">
        <f t="shared" si="9"/>
        <v>233.70149751920584</v>
      </c>
      <c r="D110" s="207">
        <v>2.82</v>
      </c>
      <c r="E110" s="207">
        <f t="shared" si="11"/>
        <v>7.4216898020605493</v>
      </c>
      <c r="F110" s="208">
        <f t="shared" si="8"/>
        <v>11.920165227194634</v>
      </c>
      <c r="G110" s="80">
        <f>+$C$383/C110</f>
        <v>5.9880283762752686</v>
      </c>
    </row>
    <row r="111" spans="1:7" ht="16.5" hidden="1" thickBot="1" x14ac:dyDescent="0.3">
      <c r="A111" s="75">
        <v>2002</v>
      </c>
      <c r="B111" s="82" t="s">
        <v>20</v>
      </c>
      <c r="C111" s="77">
        <f t="shared" si="9"/>
        <v>241.46038723684345</v>
      </c>
      <c r="D111" s="207">
        <v>3.32</v>
      </c>
      <c r="E111" s="207">
        <f>+((C111/$C$103)-1)*100</f>
        <v>10.988089903488941</v>
      </c>
      <c r="F111" s="208">
        <f t="shared" si="8"/>
        <v>14.343829440064738</v>
      </c>
      <c r="G111" s="80">
        <f>+$C$383/C111</f>
        <v>5.7956139917491969</v>
      </c>
    </row>
    <row r="112" spans="1:7" ht="16.5" hidden="1" thickBot="1" x14ac:dyDescent="0.3">
      <c r="A112" s="75">
        <v>2002</v>
      </c>
      <c r="B112" s="82" t="s">
        <v>21</v>
      </c>
      <c r="C112" s="77">
        <f t="shared" si="9"/>
        <v>250.73246610673823</v>
      </c>
      <c r="D112" s="207">
        <v>3.84</v>
      </c>
      <c r="E112" s="207">
        <f>+((C112/$C$103)-1)*100</f>
        <v>15.2500325557829</v>
      </c>
      <c r="F112" s="208">
        <f t="shared" si="8"/>
        <v>18.167428832168842</v>
      </c>
      <c r="G112" s="80">
        <f>+$C$383/C112</f>
        <v>5.5812923649356669</v>
      </c>
    </row>
    <row r="113" spans="1:7" ht="16.5" hidden="1" thickBot="1" x14ac:dyDescent="0.3">
      <c r="A113" s="75">
        <v>2002</v>
      </c>
      <c r="B113" s="82" t="s">
        <v>22</v>
      </c>
      <c r="C113" s="77">
        <f t="shared" si="9"/>
        <v>265.82656056636387</v>
      </c>
      <c r="D113" s="207">
        <v>6.02</v>
      </c>
      <c r="E113" s="207">
        <f>+((C113/$C$103)-1)*100</f>
        <v>22.188084515641027</v>
      </c>
      <c r="F113" s="208">
        <f t="shared" si="8"/>
        <v>22.969285480825885</v>
      </c>
      <c r="G113" s="80">
        <f>+$C$383/C113</f>
        <v>5.2643768769436585</v>
      </c>
    </row>
    <row r="114" spans="1:7" ht="16.5" hidden="1" thickBot="1" x14ac:dyDescent="0.3">
      <c r="A114" s="75">
        <v>2002</v>
      </c>
      <c r="B114" s="82" t="s">
        <v>23</v>
      </c>
      <c r="C114" s="77">
        <f t="shared" si="9"/>
        <v>285.630639328558</v>
      </c>
      <c r="D114" s="207">
        <v>7.45</v>
      </c>
      <c r="E114" s="207">
        <f>+((C114/$C$103)-1)*100</f>
        <v>31.291096812056306</v>
      </c>
      <c r="F114" s="208">
        <f t="shared" si="8"/>
        <v>31.17293482492547</v>
      </c>
      <c r="G114" s="80">
        <f>+$C$383/C114</f>
        <v>4.899373547644168</v>
      </c>
    </row>
    <row r="115" spans="1:7" ht="16.5" hidden="1" thickBot="1" x14ac:dyDescent="0.3">
      <c r="A115" s="75">
        <v>2002</v>
      </c>
      <c r="B115" s="82" t="s">
        <v>12</v>
      </c>
      <c r="C115" s="77">
        <f t="shared" si="9"/>
        <v>294.59944140347477</v>
      </c>
      <c r="D115" s="207">
        <v>3.14</v>
      </c>
      <c r="E115" s="207">
        <f>+((C115/$C$103)-1)*100</f>
        <v>35.413637251954896</v>
      </c>
      <c r="F115" s="208">
        <f t="shared" si="8"/>
        <v>35.413637251954896</v>
      </c>
      <c r="G115" s="80">
        <f>+$C$383/C115</f>
        <v>4.75021674194703</v>
      </c>
    </row>
    <row r="116" spans="1:7" ht="16.5" hidden="1" thickBot="1" x14ac:dyDescent="0.3">
      <c r="A116" s="75">
        <v>2003</v>
      </c>
      <c r="B116" s="82" t="s">
        <v>13</v>
      </c>
      <c r="C116" s="77">
        <f t="shared" si="9"/>
        <v>301.11008905849155</v>
      </c>
      <c r="D116" s="207">
        <v>2.21</v>
      </c>
      <c r="E116" s="207">
        <f t="shared" ref="E116:E127" si="12">+((C116/$C$115)-1)*100</f>
        <v>2.2100000000000009</v>
      </c>
      <c r="F116" s="208">
        <f t="shared" ref="F116:F179" si="13">100*((C116/C104)-1)</f>
        <v>38.586441008534187</v>
      </c>
      <c r="G116" s="80">
        <f>+$C$383/C116</f>
        <v>4.6475068407660993</v>
      </c>
    </row>
    <row r="117" spans="1:7" ht="16.5" hidden="1" thickBot="1" x14ac:dyDescent="0.3">
      <c r="A117" s="75">
        <v>2003</v>
      </c>
      <c r="B117" s="82" t="s">
        <v>14</v>
      </c>
      <c r="C117" s="77">
        <f t="shared" si="9"/>
        <v>306.25907158139171</v>
      </c>
      <c r="D117" s="207">
        <v>1.71</v>
      </c>
      <c r="E117" s="207">
        <f t="shared" si="12"/>
        <v>3.9577909999999772</v>
      </c>
      <c r="F117" s="208">
        <f t="shared" si="13"/>
        <v>40.759206261014654</v>
      </c>
      <c r="G117" s="80">
        <f>+$C$383/C117</f>
        <v>4.5693706034471537</v>
      </c>
    </row>
    <row r="118" spans="1:7" ht="16.5" hidden="1" thickBot="1" x14ac:dyDescent="0.3">
      <c r="A118" s="75">
        <v>2003</v>
      </c>
      <c r="B118" s="82" t="s">
        <v>15</v>
      </c>
      <c r="C118" s="77">
        <f t="shared" si="9"/>
        <v>312.16987166291261</v>
      </c>
      <c r="D118" s="207">
        <v>1.93</v>
      </c>
      <c r="E118" s="207">
        <f t="shared" si="12"/>
        <v>5.9641763663000003</v>
      </c>
      <c r="F118" s="208">
        <f t="shared" si="13"/>
        <v>43.633856183654295</v>
      </c>
      <c r="G118" s="80">
        <f>+$C$383/C118</f>
        <v>4.4828515681812551</v>
      </c>
    </row>
    <row r="119" spans="1:7" ht="16.5" hidden="1" thickBot="1" x14ac:dyDescent="0.3">
      <c r="A119" s="75">
        <v>2003</v>
      </c>
      <c r="B119" s="82" t="s">
        <v>16</v>
      </c>
      <c r="C119" s="77">
        <f t="shared" si="9"/>
        <v>312.38839057307661</v>
      </c>
      <c r="D119" s="207">
        <v>7.0000000000000007E-2</v>
      </c>
      <c r="E119" s="207">
        <f t="shared" si="12"/>
        <v>6.0383512897563829</v>
      </c>
      <c r="F119" s="208">
        <f t="shared" si="13"/>
        <v>42.664416757303059</v>
      </c>
      <c r="G119" s="80">
        <f>+$C$383/C119</f>
        <v>4.4797157671442545</v>
      </c>
    </row>
    <row r="120" spans="1:7" ht="16.5" hidden="1" thickBot="1" x14ac:dyDescent="0.3">
      <c r="A120" s="75">
        <v>2003</v>
      </c>
      <c r="B120" s="82" t="s">
        <v>17</v>
      </c>
      <c r="C120" s="77">
        <f t="shared" si="9"/>
        <v>307.14026561144891</v>
      </c>
      <c r="D120" s="207">
        <v>-1.68</v>
      </c>
      <c r="E120" s="207">
        <f t="shared" si="12"/>
        <v>4.2569069880884713</v>
      </c>
      <c r="F120" s="208">
        <f t="shared" si="13"/>
        <v>38.508595394273115</v>
      </c>
      <c r="G120" s="80">
        <f>+$C$383/C120</f>
        <v>4.5562609511231233</v>
      </c>
    </row>
    <row r="121" spans="1:7" ht="16.5" hidden="1" thickBot="1" x14ac:dyDescent="0.3">
      <c r="A121" s="75">
        <v>2003</v>
      </c>
      <c r="B121" s="82" t="s">
        <v>18</v>
      </c>
      <c r="C121" s="77">
        <f t="shared" si="9"/>
        <v>303.57743853035606</v>
      </c>
      <c r="D121" s="207">
        <v>-1.1599999999999999</v>
      </c>
      <c r="E121" s="207">
        <f t="shared" si="12"/>
        <v>3.0475268670266287</v>
      </c>
      <c r="F121" s="208">
        <f t="shared" si="13"/>
        <v>33.562825061170273</v>
      </c>
      <c r="G121" s="80">
        <f>+$C$383/C121</f>
        <v>4.6097338639448848</v>
      </c>
    </row>
    <row r="122" spans="1:7" ht="16.5" hidden="1" thickBot="1" x14ac:dyDescent="0.3">
      <c r="A122" s="75">
        <v>2003</v>
      </c>
      <c r="B122" s="82" t="s">
        <v>19</v>
      </c>
      <c r="C122" s="77">
        <f t="shared" si="9"/>
        <v>301.78633164302698</v>
      </c>
      <c r="D122" s="207">
        <v>-0.59</v>
      </c>
      <c r="E122" s="207">
        <f t="shared" si="12"/>
        <v>2.4395464585111881</v>
      </c>
      <c r="F122" s="208">
        <f t="shared" si="13"/>
        <v>29.133246832629233</v>
      </c>
      <c r="G122" s="80">
        <f>+$C$383/C122</f>
        <v>4.6370927109394273</v>
      </c>
    </row>
    <row r="123" spans="1:7" ht="16.5" hidden="1" thickBot="1" x14ac:dyDescent="0.3">
      <c r="A123" s="75">
        <v>2003</v>
      </c>
      <c r="B123" s="82" t="s">
        <v>20</v>
      </c>
      <c r="C123" s="77">
        <f t="shared" si="9"/>
        <v>303.89883596452813</v>
      </c>
      <c r="D123" s="207">
        <v>0.7</v>
      </c>
      <c r="E123" s="207">
        <f t="shared" si="12"/>
        <v>3.1566232837207497</v>
      </c>
      <c r="F123" s="208">
        <f t="shared" si="13"/>
        <v>25.858671661302402</v>
      </c>
      <c r="G123" s="80">
        <f>+$C$383/C123</f>
        <v>4.6048587000391539</v>
      </c>
    </row>
    <row r="124" spans="1:7" ht="16.5" hidden="1" thickBot="1" x14ac:dyDescent="0.3">
      <c r="A124" s="75">
        <v>2003</v>
      </c>
      <c r="B124" s="82" t="s">
        <v>21</v>
      </c>
      <c r="C124" s="77">
        <f t="shared" si="9"/>
        <v>307.8191309484705</v>
      </c>
      <c r="D124" s="207">
        <v>1.29</v>
      </c>
      <c r="E124" s="207">
        <f t="shared" si="12"/>
        <v>4.4873437240807279</v>
      </c>
      <c r="F124" s="208">
        <f t="shared" si="13"/>
        <v>22.767958903826258</v>
      </c>
      <c r="G124" s="80">
        <f>+$C$383/C124</f>
        <v>4.5462125580404322</v>
      </c>
    </row>
    <row r="125" spans="1:7" ht="16.5" hidden="1" thickBot="1" x14ac:dyDescent="0.3">
      <c r="A125" s="75">
        <v>2003</v>
      </c>
      <c r="B125" s="82" t="s">
        <v>22</v>
      </c>
      <c r="C125" s="77">
        <f t="shared" si="9"/>
        <v>309.35822660321281</v>
      </c>
      <c r="D125" s="207">
        <v>0.5</v>
      </c>
      <c r="E125" s="207">
        <f t="shared" si="12"/>
        <v>5.0097804427011283</v>
      </c>
      <c r="F125" s="208">
        <f t="shared" si="13"/>
        <v>16.375965570972806</v>
      </c>
      <c r="G125" s="80">
        <f>+$C$383/C125</f>
        <v>4.5235945851148589</v>
      </c>
    </row>
    <row r="126" spans="1:7" ht="16.5" hidden="1" thickBot="1" x14ac:dyDescent="0.3">
      <c r="A126" s="75">
        <v>2003</v>
      </c>
      <c r="B126" s="82" t="s">
        <v>23</v>
      </c>
      <c r="C126" s="77">
        <f t="shared" si="9"/>
        <v>310.7812744455876</v>
      </c>
      <c r="D126" s="207">
        <v>0.46</v>
      </c>
      <c r="E126" s="207">
        <f t="shared" si="12"/>
        <v>5.492825432737547</v>
      </c>
      <c r="F126" s="208">
        <f t="shared" si="13"/>
        <v>8.8053001513255236</v>
      </c>
      <c r="G126" s="80">
        <f>+$C$383/C126</f>
        <v>4.5028813309922944</v>
      </c>
    </row>
    <row r="127" spans="1:7" ht="16.5" hidden="1" thickBot="1" x14ac:dyDescent="0.3">
      <c r="A127" s="75">
        <v>2003</v>
      </c>
      <c r="B127" s="82" t="s">
        <v>12</v>
      </c>
      <c r="C127" s="77">
        <f t="shared" si="9"/>
        <v>313.08105587648498</v>
      </c>
      <c r="D127" s="207">
        <v>0.74</v>
      </c>
      <c r="E127" s="207">
        <f t="shared" si="12"/>
        <v>6.273472340939823</v>
      </c>
      <c r="F127" s="208">
        <f t="shared" si="13"/>
        <v>6.273472340939823</v>
      </c>
      <c r="G127" s="80">
        <f>+$C$383/C127</f>
        <v>4.4698047756524657</v>
      </c>
    </row>
    <row r="128" spans="1:7" ht="16.5" hidden="1" thickBot="1" x14ac:dyDescent="0.3">
      <c r="A128" s="75">
        <v>2004</v>
      </c>
      <c r="B128" s="82" t="s">
        <v>13</v>
      </c>
      <c r="C128" s="77">
        <f t="shared" si="9"/>
        <v>315.42916379555862</v>
      </c>
      <c r="D128" s="207">
        <v>0.75</v>
      </c>
      <c r="E128" s="207">
        <f t="shared" ref="E128:E139" si="14">+((C128/$C$127)-1)*100</f>
        <v>0.75000000000000622</v>
      </c>
      <c r="F128" s="208">
        <f t="shared" si="13"/>
        <v>4.7554284155140181</v>
      </c>
      <c r="G128" s="80">
        <f>+$C$383/C128</f>
        <v>4.4365307946922732</v>
      </c>
    </row>
    <row r="129" spans="1:7" ht="16.5" hidden="1" thickBot="1" x14ac:dyDescent="0.3">
      <c r="A129" s="75">
        <v>2004</v>
      </c>
      <c r="B129" s="82" t="s">
        <v>14</v>
      </c>
      <c r="C129" s="77">
        <f t="shared" si="9"/>
        <v>319.90825792145557</v>
      </c>
      <c r="D129" s="207">
        <v>1.42</v>
      </c>
      <c r="E129" s="207">
        <f t="shared" si="14"/>
        <v>2.1806500000000062</v>
      </c>
      <c r="F129" s="208">
        <f t="shared" si="13"/>
        <v>4.4567451568324978</v>
      </c>
      <c r="G129" s="80">
        <f>+$C$383/C129</f>
        <v>4.3744141142696442</v>
      </c>
    </row>
    <row r="130" spans="1:7" ht="16.5" hidden="1" thickBot="1" x14ac:dyDescent="0.3">
      <c r="A130" s="75">
        <v>2004</v>
      </c>
      <c r="B130" s="82" t="s">
        <v>15</v>
      </c>
      <c r="C130" s="77">
        <f t="shared" si="9"/>
        <v>323.39525793279938</v>
      </c>
      <c r="D130" s="207">
        <v>1.0900000000000001</v>
      </c>
      <c r="E130" s="207">
        <f t="shared" si="14"/>
        <v>3.2944190849999888</v>
      </c>
      <c r="F130" s="208">
        <f t="shared" si="13"/>
        <v>3.595922377162708</v>
      </c>
      <c r="G130" s="80">
        <f>+$C$383/C130</f>
        <v>4.3272471206545111</v>
      </c>
    </row>
    <row r="131" spans="1:7" ht="16.5" hidden="1" thickBot="1" x14ac:dyDescent="0.3">
      <c r="A131" s="75">
        <v>2004</v>
      </c>
      <c r="B131" s="82" t="s">
        <v>16</v>
      </c>
      <c r="C131" s="77">
        <f t="shared" si="9"/>
        <v>328.47256348234436</v>
      </c>
      <c r="D131" s="207">
        <v>1.57</v>
      </c>
      <c r="E131" s="207">
        <f t="shared" si="14"/>
        <v>4.9161414646345047</v>
      </c>
      <c r="F131" s="208">
        <f t="shared" si="13"/>
        <v>5.1487742165326145</v>
      </c>
      <c r="G131" s="80">
        <f>+$C$383/C131</f>
        <v>4.2603594768676878</v>
      </c>
    </row>
    <row r="132" spans="1:7" ht="16.5" hidden="1" thickBot="1" x14ac:dyDescent="0.3">
      <c r="A132" s="75">
        <v>2004</v>
      </c>
      <c r="B132" s="82" t="s">
        <v>17</v>
      </c>
      <c r="C132" s="77">
        <f t="shared" si="9"/>
        <v>334.0894443178924</v>
      </c>
      <c r="D132" s="207">
        <v>1.71</v>
      </c>
      <c r="E132" s="207">
        <f t="shared" si="14"/>
        <v>6.7102074836797421</v>
      </c>
      <c r="F132" s="208">
        <f t="shared" si="13"/>
        <v>8.7742252396616252</v>
      </c>
      <c r="G132" s="80">
        <f>+$C$383/C132</f>
        <v>4.1887321569832743</v>
      </c>
    </row>
    <row r="133" spans="1:7" ht="16.5" hidden="1" thickBot="1" x14ac:dyDescent="0.3">
      <c r="A133" s="75">
        <v>2004</v>
      </c>
      <c r="B133" s="82" t="s">
        <v>18</v>
      </c>
      <c r="C133" s="77">
        <f t="shared" si="9"/>
        <v>339.33464859368331</v>
      </c>
      <c r="D133" s="207">
        <v>1.57</v>
      </c>
      <c r="E133" s="207">
        <f t="shared" si="14"/>
        <v>8.3855577411735105</v>
      </c>
      <c r="F133" s="208">
        <f t="shared" si="13"/>
        <v>11.778612480700446</v>
      </c>
      <c r="G133" s="80">
        <f>+$C$383/C133</f>
        <v>4.1239855833250711</v>
      </c>
    </row>
    <row r="134" spans="1:7" ht="16.5" hidden="1" thickBot="1" x14ac:dyDescent="0.3">
      <c r="A134" s="75">
        <v>2004</v>
      </c>
      <c r="B134" s="82" t="s">
        <v>19</v>
      </c>
      <c r="C134" s="77">
        <f t="shared" si="9"/>
        <v>343.91566634969809</v>
      </c>
      <c r="D134" s="207">
        <v>1.35</v>
      </c>
      <c r="E134" s="207">
        <f t="shared" si="14"/>
        <v>9.8487627706793646</v>
      </c>
      <c r="F134" s="208">
        <f t="shared" si="13"/>
        <v>13.959987676481145</v>
      </c>
      <c r="G134" s="80">
        <f>+$C$383/C134</f>
        <v>4.0690533629255752</v>
      </c>
    </row>
    <row r="135" spans="1:7" ht="16.5" hidden="1" thickBot="1" x14ac:dyDescent="0.3">
      <c r="A135" s="75">
        <v>2004</v>
      </c>
      <c r="B135" s="82" t="s">
        <v>20</v>
      </c>
      <c r="C135" s="77">
        <f t="shared" si="9"/>
        <v>349.3839254446583</v>
      </c>
      <c r="D135" s="207">
        <v>1.59</v>
      </c>
      <c r="E135" s="207">
        <f t="shared" si="14"/>
        <v>11.595358098733177</v>
      </c>
      <c r="F135" s="208">
        <f t="shared" si="13"/>
        <v>14.96718121205285</v>
      </c>
      <c r="G135" s="80">
        <f>+$C$383/C135</f>
        <v>4.005368011542056</v>
      </c>
    </row>
    <row r="136" spans="1:7" ht="16.5" hidden="1" thickBot="1" x14ac:dyDescent="0.3">
      <c r="A136" s="75">
        <v>2004</v>
      </c>
      <c r="B136" s="82" t="s">
        <v>21</v>
      </c>
      <c r="C136" s="77">
        <f t="shared" si="9"/>
        <v>351.65492096004857</v>
      </c>
      <c r="D136" s="207">
        <v>0.65</v>
      </c>
      <c r="E136" s="207">
        <f t="shared" si="14"/>
        <v>12.32072792637493</v>
      </c>
      <c r="F136" s="208">
        <f t="shared" si="13"/>
        <v>14.240762059365398</v>
      </c>
      <c r="G136" s="80">
        <f>+$C$383/C136</f>
        <v>3.9795012533949885</v>
      </c>
    </row>
    <row r="137" spans="1:7" ht="16.5" hidden="1" thickBot="1" x14ac:dyDescent="0.3">
      <c r="A137" s="75">
        <v>2004</v>
      </c>
      <c r="B137" s="82" t="s">
        <v>22</v>
      </c>
      <c r="C137" s="77">
        <f t="shared" si="9"/>
        <v>353.80001597790488</v>
      </c>
      <c r="D137" s="207">
        <v>0.61</v>
      </c>
      <c r="E137" s="207">
        <f t="shared" si="14"/>
        <v>13.005884366725828</v>
      </c>
      <c r="F137" s="208">
        <f t="shared" si="13"/>
        <v>14.365801699430381</v>
      </c>
      <c r="G137" s="80">
        <f>+$C$383/C137</f>
        <v>3.955373475196291</v>
      </c>
    </row>
    <row r="138" spans="1:7" ht="16.5" hidden="1" thickBot="1" x14ac:dyDescent="0.3">
      <c r="A138" s="75">
        <v>2004</v>
      </c>
      <c r="B138" s="82" t="s">
        <v>23</v>
      </c>
      <c r="C138" s="77">
        <f t="shared" si="9"/>
        <v>357.33801613768395</v>
      </c>
      <c r="D138" s="207">
        <v>1</v>
      </c>
      <c r="E138" s="207">
        <f t="shared" si="14"/>
        <v>14.135943210393087</v>
      </c>
      <c r="F138" s="208">
        <f t="shared" si="13"/>
        <v>14.980549190150017</v>
      </c>
      <c r="G138" s="80">
        <f>+$C$383/C138</f>
        <v>3.9162113615804861</v>
      </c>
    </row>
    <row r="139" spans="1:7" ht="16.5" hidden="1" thickBot="1" x14ac:dyDescent="0.3">
      <c r="A139" s="75">
        <v>2004</v>
      </c>
      <c r="B139" s="82" t="s">
        <v>12</v>
      </c>
      <c r="C139" s="77">
        <f t="shared" si="9"/>
        <v>359.05323861514478</v>
      </c>
      <c r="D139" s="207">
        <v>0.48</v>
      </c>
      <c r="E139" s="207">
        <f t="shared" si="14"/>
        <v>14.683795737802964</v>
      </c>
      <c r="F139" s="208">
        <f t="shared" si="13"/>
        <v>14.683795737802964</v>
      </c>
      <c r="G139" s="80">
        <f>+$C$383/C139</f>
        <v>3.8975033455219812</v>
      </c>
    </row>
    <row r="140" spans="1:7" ht="16.5" hidden="1" thickBot="1" x14ac:dyDescent="0.3">
      <c r="A140" s="75">
        <v>2005</v>
      </c>
      <c r="B140" s="82" t="s">
        <v>13</v>
      </c>
      <c r="C140" s="77">
        <f t="shared" si="9"/>
        <v>359.34048120603688</v>
      </c>
      <c r="D140" s="207">
        <v>0.08</v>
      </c>
      <c r="E140" s="207">
        <f t="shared" ref="E140:E151" si="15">+((C140/$C$139)-1)*100</f>
        <v>7.9999999999991189E-2</v>
      </c>
      <c r="F140" s="208">
        <f t="shared" si="13"/>
        <v>13.921134267387792</v>
      </c>
      <c r="G140" s="80">
        <f>+$C$383/C140</f>
        <v>3.8943878352537782</v>
      </c>
    </row>
    <row r="141" spans="1:7" ht="16.5" hidden="1" thickBot="1" x14ac:dyDescent="0.3">
      <c r="A141" s="75">
        <v>2005</v>
      </c>
      <c r="B141" s="82" t="s">
        <v>14</v>
      </c>
      <c r="C141" s="77">
        <f t="shared" si="9"/>
        <v>360.74190908274045</v>
      </c>
      <c r="D141" s="207">
        <v>0.39</v>
      </c>
      <c r="E141" s="207">
        <f t="shared" si="15"/>
        <v>0.47031200000000606</v>
      </c>
      <c r="F141" s="208">
        <f t="shared" si="13"/>
        <v>12.764175400345689</v>
      </c>
      <c r="G141" s="80">
        <f>+$C$383/C141</f>
        <v>3.8792587262215141</v>
      </c>
    </row>
    <row r="142" spans="1:7" ht="16.5" hidden="1" thickBot="1" x14ac:dyDescent="0.3">
      <c r="A142" s="75">
        <v>2005</v>
      </c>
      <c r="B142" s="82" t="s">
        <v>15</v>
      </c>
      <c r="C142" s="77">
        <f t="shared" si="9"/>
        <v>364.85436684628371</v>
      </c>
      <c r="D142" s="207">
        <v>1.1399999999999999</v>
      </c>
      <c r="E142" s="207">
        <f t="shared" si="15"/>
        <v>1.6156735568000125</v>
      </c>
      <c r="F142" s="208">
        <f t="shared" si="13"/>
        <v>12.819949549816666</v>
      </c>
      <c r="G142" s="80">
        <f>+$C$383/C142</f>
        <v>3.8355336426947932</v>
      </c>
    </row>
    <row r="143" spans="1:7" ht="16.5" hidden="1" thickBot="1" x14ac:dyDescent="0.3">
      <c r="A143" s="75">
        <v>2005</v>
      </c>
      <c r="B143" s="82" t="s">
        <v>16</v>
      </c>
      <c r="C143" s="77">
        <f t="shared" si="9"/>
        <v>366.05838625687647</v>
      </c>
      <c r="D143" s="207">
        <v>0.33</v>
      </c>
      <c r="E143" s="207">
        <f t="shared" si="15"/>
        <v>1.9510052795374655</v>
      </c>
      <c r="F143" s="208">
        <f t="shared" si="13"/>
        <v>11.442606461879535</v>
      </c>
      <c r="G143" s="80">
        <f>+$C$383/C143</f>
        <v>3.8229180132510643</v>
      </c>
    </row>
    <row r="144" spans="1:7" ht="16.5" hidden="1" thickBot="1" x14ac:dyDescent="0.3">
      <c r="A144" s="75">
        <v>2005</v>
      </c>
      <c r="B144" s="82" t="s">
        <v>17</v>
      </c>
      <c r="C144" s="77">
        <f t="shared" si="9"/>
        <v>362.47101407155907</v>
      </c>
      <c r="D144" s="207">
        <v>-0.98</v>
      </c>
      <c r="E144" s="207">
        <f t="shared" si="15"/>
        <v>0.95188542779798269</v>
      </c>
      <c r="F144" s="208">
        <f t="shared" si="13"/>
        <v>8.495200981764949</v>
      </c>
      <c r="G144" s="80">
        <f>+$C$383/C144</f>
        <v>3.8607533965371283</v>
      </c>
    </row>
    <row r="145" spans="1:7" ht="16.5" hidden="1" thickBot="1" x14ac:dyDescent="0.3">
      <c r="A145" s="75">
        <v>2005</v>
      </c>
      <c r="B145" s="82" t="s">
        <v>18</v>
      </c>
      <c r="C145" s="77">
        <f t="shared" si="9"/>
        <v>359.64374016180091</v>
      </c>
      <c r="D145" s="207">
        <v>-0.78</v>
      </c>
      <c r="E145" s="207">
        <f t="shared" si="15"/>
        <v>0.16446072146116819</v>
      </c>
      <c r="F145" s="208">
        <f t="shared" si="13"/>
        <v>5.9849743173251868</v>
      </c>
      <c r="G145" s="80">
        <f>+$C$383/C145</f>
        <v>3.8911040077979524</v>
      </c>
    </row>
    <row r="146" spans="1:7" ht="16.5" hidden="1" thickBot="1" x14ac:dyDescent="0.3">
      <c r="A146" s="75">
        <v>2005</v>
      </c>
      <c r="B146" s="82" t="s">
        <v>19</v>
      </c>
      <c r="C146" s="77">
        <f t="shared" si="9"/>
        <v>357.16219835468445</v>
      </c>
      <c r="D146" s="207">
        <v>-0.69</v>
      </c>
      <c r="E146" s="207">
        <f t="shared" si="15"/>
        <v>-0.52667405751692931</v>
      </c>
      <c r="F146" s="208">
        <f t="shared" si="13"/>
        <v>3.8516803103459507</v>
      </c>
      <c r="G146" s="80">
        <f>+$C$383/C146</f>
        <v>3.9181391680575501</v>
      </c>
    </row>
    <row r="147" spans="1:7" ht="16.5" hidden="1" thickBot="1" x14ac:dyDescent="0.3">
      <c r="A147" s="75">
        <v>2005</v>
      </c>
      <c r="B147" s="82" t="s">
        <v>20</v>
      </c>
      <c r="C147" s="77">
        <f t="shared" si="9"/>
        <v>353.44771149179576</v>
      </c>
      <c r="D147" s="207">
        <v>-1.04</v>
      </c>
      <c r="E147" s="207">
        <f t="shared" si="15"/>
        <v>-1.5611966473187522</v>
      </c>
      <c r="F147" s="208">
        <f t="shared" si="13"/>
        <v>1.1631290827033736</v>
      </c>
      <c r="G147" s="80">
        <f>+$C$383/C147</f>
        <v>3.9593160550298601</v>
      </c>
    </row>
    <row r="148" spans="1:7" ht="16.5" hidden="1" thickBot="1" x14ac:dyDescent="0.3">
      <c r="A148" s="85">
        <v>2005</v>
      </c>
      <c r="B148" s="82" t="s">
        <v>21</v>
      </c>
      <c r="C148" s="77">
        <f t="shared" si="9"/>
        <v>352.45805789961872</v>
      </c>
      <c r="D148" s="207">
        <v>-0.28000000000000003</v>
      </c>
      <c r="E148" s="207">
        <f t="shared" si="15"/>
        <v>-1.836825296706257</v>
      </c>
      <c r="F148" s="208">
        <f t="shared" si="13"/>
        <v>0.22838780056810837</v>
      </c>
      <c r="G148" s="80">
        <f>+$C$383/C148</f>
        <v>3.9704332681807664</v>
      </c>
    </row>
    <row r="149" spans="1:7" ht="16.5" hidden="1" thickBot="1" x14ac:dyDescent="0.3">
      <c r="A149" s="85">
        <v>2005</v>
      </c>
      <c r="B149" s="82" t="s">
        <v>22</v>
      </c>
      <c r="C149" s="77">
        <f t="shared" si="9"/>
        <v>355.24247655702573</v>
      </c>
      <c r="D149" s="207">
        <v>0.79</v>
      </c>
      <c r="E149" s="207">
        <f t="shared" si="15"/>
        <v>-1.0613362165502349</v>
      </c>
      <c r="F149" s="208">
        <f t="shared" si="13"/>
        <v>0.40770506330642942</v>
      </c>
      <c r="G149" s="80">
        <f>+$C$383/C149</f>
        <v>3.9393126978676123</v>
      </c>
    </row>
    <row r="150" spans="1:7" ht="16.5" hidden="1" thickBot="1" x14ac:dyDescent="0.3">
      <c r="A150" s="85">
        <v>2005</v>
      </c>
      <c r="B150" s="82" t="s">
        <v>23</v>
      </c>
      <c r="C150" s="77">
        <f t="shared" si="9"/>
        <v>356.09505850076255</v>
      </c>
      <c r="D150" s="207">
        <v>0.24</v>
      </c>
      <c r="E150" s="207">
        <f t="shared" si="15"/>
        <v>-0.82388342346996213</v>
      </c>
      <c r="F150" s="208">
        <f t="shared" si="13"/>
        <v>-0.34783806390263905</v>
      </c>
      <c r="G150" s="80">
        <f>+$C$383/C150</f>
        <v>3.9298809835071955</v>
      </c>
    </row>
    <row r="151" spans="1:7" ht="16.5" hidden="1" thickBot="1" x14ac:dyDescent="0.3">
      <c r="A151" s="85">
        <v>2005</v>
      </c>
      <c r="B151" s="82" t="s">
        <v>12</v>
      </c>
      <c r="C151" s="77">
        <f t="shared" si="9"/>
        <v>355.59652541886152</v>
      </c>
      <c r="D151" s="207">
        <v>-0.14000000000000001</v>
      </c>
      <c r="E151" s="207">
        <f t="shared" si="15"/>
        <v>-0.96272998667709109</v>
      </c>
      <c r="F151" s="208">
        <f t="shared" si="13"/>
        <v>-0.96272998667709109</v>
      </c>
      <c r="G151" s="80">
        <f>+$C$383/C151</f>
        <v>3.9353905302495442</v>
      </c>
    </row>
    <row r="152" spans="1:7" ht="16.5" hidden="1" thickBot="1" x14ac:dyDescent="0.3">
      <c r="A152" s="85">
        <v>2006</v>
      </c>
      <c r="B152" s="82" t="s">
        <v>13</v>
      </c>
      <c r="C152" s="77">
        <f t="shared" si="9"/>
        <v>358.47685727475431</v>
      </c>
      <c r="D152" s="207">
        <v>0.81</v>
      </c>
      <c r="E152" s="207">
        <f t="shared" ref="E152:E158" si="16">+((C152/$C$151)-1)*100</f>
        <v>0.80999999999999961</v>
      </c>
      <c r="F152" s="208">
        <f t="shared" si="13"/>
        <v>-0.24033583090444788</v>
      </c>
      <c r="G152" s="80">
        <f>+$C$383/C152</f>
        <v>3.9037699933037833</v>
      </c>
    </row>
    <row r="153" spans="1:7" ht="16.5" hidden="1" thickBot="1" x14ac:dyDescent="0.3">
      <c r="A153" s="75">
        <v>2006</v>
      </c>
      <c r="B153" s="82" t="s">
        <v>14</v>
      </c>
      <c r="C153" s="77">
        <f t="shared" si="9"/>
        <v>358.04668504602461</v>
      </c>
      <c r="D153" s="207">
        <v>-0.12</v>
      </c>
      <c r="E153" s="207">
        <f t="shared" si="16"/>
        <v>0.68902800000001374</v>
      </c>
      <c r="F153" s="208">
        <f t="shared" si="13"/>
        <v>-0.74713360684068864</v>
      </c>
      <c r="G153" s="80">
        <f>+$C$383/C153</f>
        <v>3.9084601454783576</v>
      </c>
    </row>
    <row r="154" spans="1:7" ht="16.5" hidden="1" thickBot="1" x14ac:dyDescent="0.3">
      <c r="A154" s="75">
        <v>2006</v>
      </c>
      <c r="B154" s="82" t="s">
        <v>15</v>
      </c>
      <c r="C154" s="77">
        <f t="shared" si="9"/>
        <v>355.1107022286472</v>
      </c>
      <c r="D154" s="207">
        <v>-0.82</v>
      </c>
      <c r="E154" s="207">
        <f t="shared" si="16"/>
        <v>-0.13662202959999759</v>
      </c>
      <c r="F154" s="208">
        <f t="shared" si="13"/>
        <v>-2.6705626965242257</v>
      </c>
      <c r="G154" s="80">
        <f>+$C$383/C154</f>
        <v>3.9407744963484146</v>
      </c>
    </row>
    <row r="155" spans="1:7" ht="16.5" hidden="1" thickBot="1" x14ac:dyDescent="0.3">
      <c r="A155" s="75">
        <v>2006</v>
      </c>
      <c r="B155" s="82" t="s">
        <v>16</v>
      </c>
      <c r="C155" s="77">
        <f t="shared" si="9"/>
        <v>354.57803617530425</v>
      </c>
      <c r="D155" s="207">
        <v>-0.15</v>
      </c>
      <c r="E155" s="207">
        <f t="shared" si="16"/>
        <v>-0.28641709655559122</v>
      </c>
      <c r="F155" s="208">
        <f t="shared" si="13"/>
        <v>-3.1362073681645009</v>
      </c>
      <c r="G155" s="80">
        <f>+$C$383/C155</f>
        <v>3.946694538155648</v>
      </c>
    </row>
    <row r="156" spans="1:7" ht="16.5" hidden="1" thickBot="1" x14ac:dyDescent="0.3">
      <c r="A156" s="75">
        <v>2006</v>
      </c>
      <c r="B156" s="82" t="s">
        <v>17</v>
      </c>
      <c r="C156" s="77">
        <f t="shared" si="9"/>
        <v>356.20909514171063</v>
      </c>
      <c r="D156" s="207">
        <v>0.46</v>
      </c>
      <c r="E156" s="207">
        <f t="shared" si="16"/>
        <v>0.17226538480024089</v>
      </c>
      <c r="F156" s="208">
        <f t="shared" si="13"/>
        <v>-1.7275640497455669</v>
      </c>
      <c r="G156" s="80">
        <f>+$C$383/C156</f>
        <v>3.9286228729401236</v>
      </c>
    </row>
    <row r="157" spans="1:7" ht="16.5" hidden="1" thickBot="1" x14ac:dyDescent="0.3">
      <c r="A157" s="75">
        <v>2006</v>
      </c>
      <c r="B157" s="82" t="s">
        <v>18</v>
      </c>
      <c r="C157" s="77">
        <f t="shared" si="9"/>
        <v>359.98491155021276</v>
      </c>
      <c r="D157" s="207">
        <v>1.06</v>
      </c>
      <c r="E157" s="207">
        <f t="shared" si="16"/>
        <v>1.2340913978791335</v>
      </c>
      <c r="F157" s="208">
        <f t="shared" si="13"/>
        <v>9.4863708251491374E-2</v>
      </c>
      <c r="G157" s="80">
        <f>+$C$383/C157</f>
        <v>3.8874162605779965</v>
      </c>
    </row>
    <row r="158" spans="1:7" ht="16.5" hidden="1" thickBot="1" x14ac:dyDescent="0.3">
      <c r="A158" s="75">
        <v>2006</v>
      </c>
      <c r="B158" s="82" t="s">
        <v>19</v>
      </c>
      <c r="C158" s="77">
        <f t="shared" si="9"/>
        <v>360.59688589984813</v>
      </c>
      <c r="D158" s="207">
        <v>0.17</v>
      </c>
      <c r="E158" s="207">
        <f t="shared" si="16"/>
        <v>1.4061893532555381</v>
      </c>
      <c r="F158" s="208">
        <f t="shared" si="13"/>
        <v>0.96166043354701802</v>
      </c>
      <c r="G158" s="80">
        <f>+$C$383/C158</f>
        <v>3.8808188685015441</v>
      </c>
    </row>
    <row r="159" spans="1:7" ht="16.5" hidden="1" thickBot="1" x14ac:dyDescent="0.3">
      <c r="A159" s="75">
        <v>2006</v>
      </c>
      <c r="B159" s="82" t="s">
        <v>20</v>
      </c>
      <c r="C159" s="77">
        <f t="shared" ref="C159:C173" si="17">+C158*(1+D159/100)</f>
        <v>362.50804939511738</v>
      </c>
      <c r="D159" s="207">
        <v>0.53</v>
      </c>
      <c r="E159" s="207">
        <f>+((C159/$C$151)-1)*100</f>
        <v>1.9436421568278073</v>
      </c>
      <c r="F159" s="208">
        <f t="shared" si="13"/>
        <v>2.5634167682344611</v>
      </c>
      <c r="G159" s="80">
        <f>+$C$383/C159</f>
        <v>3.8603589659818396</v>
      </c>
    </row>
    <row r="160" spans="1:7" ht="16.5" hidden="1" thickBot="1" x14ac:dyDescent="0.3">
      <c r="A160" s="75">
        <v>2006</v>
      </c>
      <c r="B160" s="82" t="s">
        <v>21</v>
      </c>
      <c r="C160" s="77">
        <f t="shared" si="17"/>
        <v>363.52307193342369</v>
      </c>
      <c r="D160" s="207">
        <v>0.28000000000000003</v>
      </c>
      <c r="E160" s="207">
        <f>+((C160/$C$151)-1)*100</f>
        <v>2.2290843548669059</v>
      </c>
      <c r="F160" s="208">
        <f t="shared" si="13"/>
        <v>3.139384612099394</v>
      </c>
      <c r="G160" s="80">
        <f>+$C$383/C160</f>
        <v>3.8495801415854007</v>
      </c>
    </row>
    <row r="161" spans="1:7" ht="16.5" hidden="1" thickBot="1" x14ac:dyDescent="0.3">
      <c r="A161" s="75">
        <v>2006</v>
      </c>
      <c r="B161" s="82" t="s">
        <v>22</v>
      </c>
      <c r="C161" s="77">
        <f t="shared" si="17"/>
        <v>367.73993956785142</v>
      </c>
      <c r="D161" s="207">
        <v>1.1599999999999999</v>
      </c>
      <c r="E161" s="207">
        <f>+((C161/$C$151)-1)*100</f>
        <v>3.4149417333833698</v>
      </c>
      <c r="F161" s="208">
        <f t="shared" si="13"/>
        <v>3.5180092009125197</v>
      </c>
      <c r="G161" s="80">
        <f>+$C$383/C161</f>
        <v>3.8054370715553585</v>
      </c>
    </row>
    <row r="162" spans="1:7" ht="16.5" hidden="1" thickBot="1" x14ac:dyDescent="0.3">
      <c r="A162" s="86">
        <v>2006</v>
      </c>
      <c r="B162" s="82" t="s">
        <v>23</v>
      </c>
      <c r="C162" s="77">
        <f t="shared" si="17"/>
        <v>370.49798911461033</v>
      </c>
      <c r="D162" s="207">
        <v>0.75</v>
      </c>
      <c r="E162" s="207">
        <f>+((C162/$C$151)-1)*100</f>
        <v>4.1905537963837558</v>
      </c>
      <c r="F162" s="208">
        <f t="shared" si="13"/>
        <v>4.0446870210688157</v>
      </c>
      <c r="G162" s="80">
        <f>+$C$383/C162</f>
        <v>3.7771087558862115</v>
      </c>
    </row>
    <row r="163" spans="1:7" ht="16.5" hidden="1" thickBot="1" x14ac:dyDescent="0.3">
      <c r="A163" s="86">
        <v>2006</v>
      </c>
      <c r="B163" s="82" t="s">
        <v>12</v>
      </c>
      <c r="C163" s="77">
        <f t="shared" si="17"/>
        <v>370.90553690263647</v>
      </c>
      <c r="D163" s="207">
        <v>0.11</v>
      </c>
      <c r="E163" s="207">
        <f>+((C163/$C$162)-1)*100</f>
        <v>0.11000000000001009</v>
      </c>
      <c r="F163" s="208">
        <f t="shared" si="13"/>
        <v>4.3051634055597976</v>
      </c>
      <c r="G163" s="80">
        <f>+$C$383/C163</f>
        <v>3.7729585015345228</v>
      </c>
    </row>
    <row r="164" spans="1:7" ht="16.5" hidden="1" thickBot="1" x14ac:dyDescent="0.3">
      <c r="A164" s="75">
        <v>2007</v>
      </c>
      <c r="B164" s="82" t="s">
        <v>13</v>
      </c>
      <c r="C164" s="77">
        <f t="shared" si="17"/>
        <v>372.09243462072493</v>
      </c>
      <c r="D164" s="207">
        <v>0.32</v>
      </c>
      <c r="E164" s="207">
        <f t="shared" ref="E164:E175" si="18">+((C164/$C$163)-1)*100</f>
        <v>0.32000000000000917</v>
      </c>
      <c r="F164" s="208">
        <f t="shared" si="13"/>
        <v>3.7981747132800114</v>
      </c>
      <c r="G164" s="80">
        <f>+$C$383/C164</f>
        <v>3.7609235461867252</v>
      </c>
    </row>
    <row r="165" spans="1:7" ht="16.5" hidden="1" thickBot="1" x14ac:dyDescent="0.3">
      <c r="A165" s="75">
        <v>2007</v>
      </c>
      <c r="B165" s="82" t="s">
        <v>14</v>
      </c>
      <c r="C165" s="77">
        <f t="shared" si="17"/>
        <v>372.79941024650429</v>
      </c>
      <c r="D165" s="207">
        <v>0.19</v>
      </c>
      <c r="E165" s="207">
        <f t="shared" si="18"/>
        <v>0.51060800000000128</v>
      </c>
      <c r="F165" s="208">
        <f t="shared" si="13"/>
        <v>4.1203356480128628</v>
      </c>
      <c r="G165" s="80">
        <f>+$C$383/C165</f>
        <v>3.7537913426357172</v>
      </c>
    </row>
    <row r="166" spans="1:7" ht="16.5" hidden="1" thickBot="1" x14ac:dyDescent="0.3">
      <c r="A166" s="75">
        <v>2007</v>
      </c>
      <c r="B166" s="82" t="s">
        <v>15</v>
      </c>
      <c r="C166" s="77">
        <f t="shared" si="17"/>
        <v>373.20948959777547</v>
      </c>
      <c r="D166" s="207">
        <v>0.11</v>
      </c>
      <c r="E166" s="207">
        <f t="shared" si="18"/>
        <v>0.62116966880001456</v>
      </c>
      <c r="F166" s="208">
        <f t="shared" si="13"/>
        <v>5.0966606344279963</v>
      </c>
      <c r="G166" s="80">
        <f>+$C$383/C166</f>
        <v>3.749666709255536</v>
      </c>
    </row>
    <row r="167" spans="1:7" ht="16.5" hidden="1" thickBot="1" x14ac:dyDescent="0.3">
      <c r="A167" s="75">
        <v>2007</v>
      </c>
      <c r="B167" s="82" t="s">
        <v>16</v>
      </c>
      <c r="C167" s="77">
        <f t="shared" si="17"/>
        <v>373.28413149569502</v>
      </c>
      <c r="D167" s="207">
        <v>0.02</v>
      </c>
      <c r="E167" s="207">
        <f t="shared" si="18"/>
        <v>0.64129390273377496</v>
      </c>
      <c r="F167" s="208">
        <f t="shared" si="13"/>
        <v>5.2755933565897584</v>
      </c>
      <c r="G167" s="80">
        <f>+$C$383/C167</f>
        <v>3.7489169258703621</v>
      </c>
    </row>
    <row r="168" spans="1:7" ht="16.5" hidden="1" thickBot="1" x14ac:dyDescent="0.3">
      <c r="A168" s="75">
        <v>2007</v>
      </c>
      <c r="B168" s="82" t="s">
        <v>17</v>
      </c>
      <c r="C168" s="77">
        <f t="shared" si="17"/>
        <v>373.13481784309676</v>
      </c>
      <c r="D168" s="207">
        <v>-0.04</v>
      </c>
      <c r="E168" s="207">
        <f t="shared" si="18"/>
        <v>0.6010373851726758</v>
      </c>
      <c r="F168" s="208">
        <f t="shared" si="13"/>
        <v>4.7516256412971636</v>
      </c>
      <c r="G168" s="80">
        <f>+$C$383/C168</f>
        <v>3.7504170927074449</v>
      </c>
    </row>
    <row r="169" spans="1:7" ht="16.5" hidden="1" thickBot="1" x14ac:dyDescent="0.3">
      <c r="A169" s="75">
        <v>2007</v>
      </c>
      <c r="B169" s="82" t="s">
        <v>18</v>
      </c>
      <c r="C169" s="77">
        <f t="shared" si="17"/>
        <v>373.47063917915551</v>
      </c>
      <c r="D169" s="207">
        <v>0.09</v>
      </c>
      <c r="E169" s="207">
        <f t="shared" si="18"/>
        <v>0.69157831881931919</v>
      </c>
      <c r="F169" s="208">
        <f t="shared" si="13"/>
        <v>3.7461924642532285</v>
      </c>
      <c r="G169" s="80">
        <f>+$C$383/C169</f>
        <v>3.7470447524302579</v>
      </c>
    </row>
    <row r="170" spans="1:7" ht="16.5" hidden="1" thickBot="1" x14ac:dyDescent="0.3">
      <c r="A170" s="75">
        <v>2007</v>
      </c>
      <c r="B170" s="82" t="s">
        <v>19</v>
      </c>
      <c r="C170" s="77">
        <f t="shared" si="17"/>
        <v>375.03921586370797</v>
      </c>
      <c r="D170" s="207">
        <v>0.42</v>
      </c>
      <c r="E170" s="207">
        <f t="shared" si="18"/>
        <v>1.1144829477583551</v>
      </c>
      <c r="F170" s="208">
        <f t="shared" si="13"/>
        <v>4.0051177723900322</v>
      </c>
      <c r="G170" s="80">
        <f>+$C$383/C170</f>
        <v>3.7313729858895219</v>
      </c>
    </row>
    <row r="171" spans="1:7" ht="16.5" hidden="1" thickBot="1" x14ac:dyDescent="0.3">
      <c r="A171" s="75">
        <v>2007</v>
      </c>
      <c r="B171" s="82" t="s">
        <v>20</v>
      </c>
      <c r="C171" s="77">
        <f t="shared" si="17"/>
        <v>382.38998449463668</v>
      </c>
      <c r="D171" s="207">
        <v>1.96</v>
      </c>
      <c r="E171" s="207">
        <f t="shared" si="18"/>
        <v>3.0963268135344446</v>
      </c>
      <c r="F171" s="208">
        <f t="shared" si="13"/>
        <v>5.4845499659095465</v>
      </c>
      <c r="G171" s="80">
        <f>+$C$383/C171</f>
        <v>3.6596439641913707</v>
      </c>
    </row>
    <row r="172" spans="1:7" ht="16.5" hidden="1" thickBot="1" x14ac:dyDescent="0.3">
      <c r="A172" s="75">
        <v>2007</v>
      </c>
      <c r="B172" s="82" t="s">
        <v>21</v>
      </c>
      <c r="C172" s="77">
        <f t="shared" si="17"/>
        <v>388.6611802403487</v>
      </c>
      <c r="D172" s="207">
        <v>1.64</v>
      </c>
      <c r="E172" s="207">
        <f t="shared" si="18"/>
        <v>4.7871065732763896</v>
      </c>
      <c r="F172" s="208">
        <f t="shared" si="13"/>
        <v>6.9151342095636892</v>
      </c>
      <c r="G172" s="80">
        <f>+$C$383/C172</f>
        <v>3.6005942189997748</v>
      </c>
    </row>
    <row r="173" spans="1:7" ht="16.5" hidden="1" thickBot="1" x14ac:dyDescent="0.3">
      <c r="A173" s="75">
        <v>2007</v>
      </c>
      <c r="B173" s="82" t="s">
        <v>22</v>
      </c>
      <c r="C173" s="77">
        <f t="shared" si="17"/>
        <v>392.62552427880024</v>
      </c>
      <c r="D173" s="207">
        <v>1.02</v>
      </c>
      <c r="E173" s="207">
        <f t="shared" si="18"/>
        <v>5.8559350603238247</v>
      </c>
      <c r="F173" s="208">
        <f t="shared" si="13"/>
        <v>6.7671694133068838</v>
      </c>
      <c r="G173" s="80">
        <f>+$C$383/C173</f>
        <v>3.5642389813896007</v>
      </c>
    </row>
    <row r="174" spans="1:7" ht="16.5" hidden="1" thickBot="1" x14ac:dyDescent="0.3">
      <c r="A174" s="75">
        <v>2007</v>
      </c>
      <c r="B174" s="82" t="s">
        <v>23</v>
      </c>
      <c r="C174" s="77">
        <f>+C173*(1+D174/100)</f>
        <v>398.31859438084285</v>
      </c>
      <c r="D174" s="207">
        <v>1.45</v>
      </c>
      <c r="E174" s="207">
        <f t="shared" si="18"/>
        <v>7.390846118698513</v>
      </c>
      <c r="F174" s="208">
        <f t="shared" si="13"/>
        <v>7.5089760494291058</v>
      </c>
      <c r="G174" s="80">
        <f>+$C$383/C174</f>
        <v>3.5132961866827017</v>
      </c>
    </row>
    <row r="175" spans="1:7" ht="16.5" hidden="1" thickBot="1" x14ac:dyDescent="0.3">
      <c r="A175" s="75">
        <v>2007</v>
      </c>
      <c r="B175" s="82" t="s">
        <v>12</v>
      </c>
      <c r="C175" s="77">
        <f>+C174*(1+D175/100)</f>
        <v>405.8866476740788</v>
      </c>
      <c r="D175" s="207">
        <v>1.9</v>
      </c>
      <c r="E175" s="207">
        <f t="shared" si="18"/>
        <v>9.4312721949537668</v>
      </c>
      <c r="F175" s="208">
        <f t="shared" si="13"/>
        <v>9.4312721949537668</v>
      </c>
      <c r="G175" s="80">
        <f>+$C$383/C175</f>
        <v>3.4477882106797861</v>
      </c>
    </row>
    <row r="176" spans="1:7" ht="16.5" hidden="1" thickBot="1" x14ac:dyDescent="0.3">
      <c r="A176" s="75">
        <v>2008</v>
      </c>
      <c r="B176" s="82" t="s">
        <v>13</v>
      </c>
      <c r="C176" s="77">
        <f>+C175*(1+D176/100)-0.03</f>
        <v>410.24022346895885</v>
      </c>
      <c r="D176" s="207">
        <v>1.08</v>
      </c>
      <c r="E176" s="207">
        <f t="shared" ref="E176:E187" si="19">+((C176/$C$175)-1)*100</f>
        <v>1.0726087738604173</v>
      </c>
      <c r="F176" s="208">
        <f t="shared" si="13"/>
        <v>10.252234471554921</v>
      </c>
      <c r="G176" s="80">
        <f>+$C$383/C176</f>
        <v>3.4111993867634887</v>
      </c>
    </row>
    <row r="177" spans="1:7" ht="16.5" hidden="1" thickBot="1" x14ac:dyDescent="0.3">
      <c r="A177" s="75">
        <v>2008</v>
      </c>
      <c r="B177" s="82" t="s">
        <v>14</v>
      </c>
      <c r="C177" s="77">
        <f t="shared" ref="C177:C240" si="20">+C176*(1+D177/100)</f>
        <v>412.37347263099747</v>
      </c>
      <c r="D177" s="207">
        <v>0.52</v>
      </c>
      <c r="E177" s="207">
        <f t="shared" si="19"/>
        <v>1.5981863394844975</v>
      </c>
      <c r="F177" s="208">
        <f t="shared" si="13"/>
        <v>10.615376874745008</v>
      </c>
      <c r="G177" s="80">
        <f>+$C$383/C177</f>
        <v>3.3935529116230487</v>
      </c>
    </row>
    <row r="178" spans="1:7" ht="16.5" hidden="1" thickBot="1" x14ac:dyDescent="0.3">
      <c r="A178" s="75">
        <v>2008</v>
      </c>
      <c r="B178" s="82" t="s">
        <v>15</v>
      </c>
      <c r="C178" s="77">
        <f t="shared" si="20"/>
        <v>415.67246041204544</v>
      </c>
      <c r="D178" s="207">
        <v>0.8</v>
      </c>
      <c r="E178" s="207">
        <f t="shared" si="19"/>
        <v>2.4109718302003591</v>
      </c>
      <c r="F178" s="208">
        <f t="shared" si="13"/>
        <v>11.377784326983264</v>
      </c>
      <c r="G178" s="80">
        <f>+$C$383/C178</f>
        <v>3.3666199520069928</v>
      </c>
    </row>
    <row r="179" spans="1:7" ht="16.5" hidden="1" thickBot="1" x14ac:dyDescent="0.3">
      <c r="A179" s="75">
        <v>2008</v>
      </c>
      <c r="B179" s="82" t="s">
        <v>16</v>
      </c>
      <c r="C179" s="77">
        <f t="shared" si="20"/>
        <v>421.09282929581849</v>
      </c>
      <c r="D179" s="207">
        <v>1.304</v>
      </c>
      <c r="E179" s="207">
        <f t="shared" si="19"/>
        <v>3.7464109028661596</v>
      </c>
      <c r="F179" s="208">
        <f t="shared" si="13"/>
        <v>12.807589116783769</v>
      </c>
      <c r="G179" s="80">
        <f>+$C$383/C179</f>
        <v>3.3232843244166004</v>
      </c>
    </row>
    <row r="180" spans="1:7" ht="16.5" hidden="1" thickBot="1" x14ac:dyDescent="0.3">
      <c r="A180" s="75">
        <v>2008</v>
      </c>
      <c r="B180" s="82" t="s">
        <v>17</v>
      </c>
      <c r="C180" s="77">
        <f t="shared" si="20"/>
        <v>430.44109010618564</v>
      </c>
      <c r="D180" s="207">
        <v>2.2200000000000002</v>
      </c>
      <c r="E180" s="207">
        <f t="shared" si="19"/>
        <v>6.0495812249097947</v>
      </c>
      <c r="F180" s="208">
        <f t="shared" ref="F180:F243" si="21">100*((C180/C168)-1)</f>
        <v>15.358060819504171</v>
      </c>
      <c r="G180" s="80">
        <f>+$C$383/C180</f>
        <v>3.2511096893138336</v>
      </c>
    </row>
    <row r="181" spans="1:7" ht="16.5" hidden="1" thickBot="1" x14ac:dyDescent="0.3">
      <c r="A181" s="75">
        <v>2008</v>
      </c>
      <c r="B181" s="82" t="s">
        <v>18</v>
      </c>
      <c r="C181" s="77">
        <f t="shared" si="20"/>
        <v>440.29819106961725</v>
      </c>
      <c r="D181" s="207">
        <v>2.29</v>
      </c>
      <c r="E181" s="207">
        <f t="shared" si="19"/>
        <v>8.4781166349602088</v>
      </c>
      <c r="F181" s="208">
        <f t="shared" si="21"/>
        <v>17.893656121761214</v>
      </c>
      <c r="G181" s="80">
        <f>+$C$383/C181</f>
        <v>3.1783260233784669</v>
      </c>
    </row>
    <row r="182" spans="1:7" ht="16.5" hidden="1" thickBot="1" x14ac:dyDescent="0.3">
      <c r="A182" s="75">
        <v>2008</v>
      </c>
      <c r="B182" s="82" t="s">
        <v>19</v>
      </c>
      <c r="C182" s="77">
        <f t="shared" si="20"/>
        <v>445.93400791530831</v>
      </c>
      <c r="D182" s="207">
        <v>1.28</v>
      </c>
      <c r="E182" s="207">
        <f t="shared" si="19"/>
        <v>9.8666365278877066</v>
      </c>
      <c r="F182" s="208">
        <f t="shared" si="21"/>
        <v>18.903301055685873</v>
      </c>
      <c r="G182" s="80">
        <f>+$C$383/C182</f>
        <v>3.1381576060213932</v>
      </c>
    </row>
    <row r="183" spans="1:7" ht="16.5" hidden="1" thickBot="1" x14ac:dyDescent="0.3">
      <c r="A183" s="75">
        <v>2008</v>
      </c>
      <c r="B183" s="82" t="s">
        <v>20</v>
      </c>
      <c r="C183" s="77">
        <f t="shared" si="20"/>
        <v>442.34869849166921</v>
      </c>
      <c r="D183" s="207">
        <v>-0.80400000000000005</v>
      </c>
      <c r="E183" s="207">
        <f t="shared" si="19"/>
        <v>8.9833087702034788</v>
      </c>
      <c r="F183" s="208">
        <f t="shared" si="21"/>
        <v>15.679990697526613</v>
      </c>
      <c r="G183" s="80">
        <f>+$C$383/C183</f>
        <v>3.1635928928801498</v>
      </c>
    </row>
    <row r="184" spans="1:7" ht="16.5" hidden="1" thickBot="1" x14ac:dyDescent="0.3">
      <c r="A184" s="75">
        <v>2008</v>
      </c>
      <c r="B184" s="82" t="s">
        <v>21</v>
      </c>
      <c r="C184" s="77">
        <f t="shared" si="20"/>
        <v>444.29503276503254</v>
      </c>
      <c r="D184" s="207">
        <v>0.44</v>
      </c>
      <c r="E184" s="207">
        <f t="shared" si="19"/>
        <v>9.462835328792373</v>
      </c>
      <c r="F184" s="208">
        <f t="shared" si="21"/>
        <v>14.314229296139057</v>
      </c>
      <c r="G184" s="80">
        <f>+$C$383/C184</f>
        <v>3.1497340630029371</v>
      </c>
    </row>
    <row r="185" spans="1:7" ht="16.5" hidden="1" thickBot="1" x14ac:dyDescent="0.3">
      <c r="A185" s="75">
        <v>2008</v>
      </c>
      <c r="B185" s="82" t="s">
        <v>22</v>
      </c>
      <c r="C185" s="77">
        <f t="shared" si="20"/>
        <v>450.33744521063699</v>
      </c>
      <c r="D185" s="207">
        <v>1.36</v>
      </c>
      <c r="E185" s="207">
        <f t="shared" si="19"/>
        <v>10.951529889263956</v>
      </c>
      <c r="F185" s="208">
        <f t="shared" si="21"/>
        <v>14.698973287038775</v>
      </c>
      <c r="G185" s="80">
        <f>+$C$383/C185</f>
        <v>3.1074724378482013</v>
      </c>
    </row>
    <row r="186" spans="1:7" ht="16.5" hidden="1" thickBot="1" x14ac:dyDescent="0.3">
      <c r="A186" s="75">
        <v>2008</v>
      </c>
      <c r="B186" s="82" t="s">
        <v>23</v>
      </c>
      <c r="C186" s="77">
        <f t="shared" si="20"/>
        <v>449.57187155377886</v>
      </c>
      <c r="D186" s="207">
        <v>-0.17</v>
      </c>
      <c r="E186" s="207">
        <f t="shared" si="19"/>
        <v>10.762912288452187</v>
      </c>
      <c r="F186" s="208">
        <f t="shared" si="21"/>
        <v>12.86740762193277</v>
      </c>
      <c r="G186" s="80">
        <f>+$C$383/C186</f>
        <v>3.1127641368808994</v>
      </c>
    </row>
    <row r="187" spans="1:7" ht="16.5" hidden="1" thickBot="1" x14ac:dyDescent="0.3">
      <c r="A187" s="75">
        <v>2008</v>
      </c>
      <c r="B187" s="82" t="s">
        <v>12</v>
      </c>
      <c r="C187" s="77">
        <f t="shared" si="20"/>
        <v>445.61563908410557</v>
      </c>
      <c r="D187" s="207">
        <v>-0.88</v>
      </c>
      <c r="E187" s="207">
        <f t="shared" si="19"/>
        <v>9.788198660313796</v>
      </c>
      <c r="F187" s="208">
        <f t="shared" si="21"/>
        <v>9.788198660313796</v>
      </c>
      <c r="G187" s="80">
        <f>+$C$383/C187</f>
        <v>3.1403996538346446</v>
      </c>
    </row>
    <row r="188" spans="1:7" ht="16.5" hidden="1" thickBot="1" x14ac:dyDescent="0.3">
      <c r="A188" s="75">
        <v>2009</v>
      </c>
      <c r="B188" s="82" t="s">
        <v>13</v>
      </c>
      <c r="C188" s="77">
        <f t="shared" si="20"/>
        <v>444.14510747512804</v>
      </c>
      <c r="D188" s="207">
        <v>-0.33</v>
      </c>
      <c r="E188" s="207">
        <f t="shared" ref="E188:E199" si="22">+((C188/$C$187)-1)*100</f>
        <v>-0.32999999999999696</v>
      </c>
      <c r="F188" s="208">
        <f t="shared" si="21"/>
        <v>8.2646415603697232</v>
      </c>
      <c r="G188" s="80">
        <f>+$C$383/C188</f>
        <v>3.1507972848747308</v>
      </c>
    </row>
    <row r="189" spans="1:7" ht="16.5" hidden="1" thickBot="1" x14ac:dyDescent="0.3">
      <c r="A189" s="75">
        <v>2009</v>
      </c>
      <c r="B189" s="82" t="s">
        <v>14</v>
      </c>
      <c r="C189" s="77">
        <f t="shared" si="20"/>
        <v>442.76825764195513</v>
      </c>
      <c r="D189" s="207">
        <v>-0.31</v>
      </c>
      <c r="E189" s="207">
        <f t="shared" si="22"/>
        <v>-0.63897699999999613</v>
      </c>
      <c r="F189" s="208">
        <f t="shared" si="21"/>
        <v>7.3706935649946015</v>
      </c>
      <c r="G189" s="80">
        <f>+$C$383/C189</f>
        <v>3.1605951297770396</v>
      </c>
    </row>
    <row r="190" spans="1:7" ht="16.5" hidden="1" thickBot="1" x14ac:dyDescent="0.3">
      <c r="A190" s="75">
        <v>2009</v>
      </c>
      <c r="B190" s="82" t="s">
        <v>15</v>
      </c>
      <c r="C190" s="77">
        <f t="shared" si="20"/>
        <v>436.3038410803826</v>
      </c>
      <c r="D190" s="207">
        <v>-1.46</v>
      </c>
      <c r="E190" s="207">
        <f t="shared" si="22"/>
        <v>-2.0896479357999986</v>
      </c>
      <c r="F190" s="208">
        <f t="shared" si="21"/>
        <v>4.9633744433984939</v>
      </c>
      <c r="G190" s="80">
        <f>+$C$383/C190</f>
        <v>3.2074235130678299</v>
      </c>
    </row>
    <row r="191" spans="1:7" ht="16.5" hidden="1" thickBot="1" x14ac:dyDescent="0.3">
      <c r="A191" s="75">
        <v>2009</v>
      </c>
      <c r="B191" s="82" t="s">
        <v>16</v>
      </c>
      <c r="C191" s="77">
        <f t="shared" si="20"/>
        <v>435.86753723930224</v>
      </c>
      <c r="D191" s="207">
        <v>-0.1</v>
      </c>
      <c r="E191" s="207">
        <f t="shared" si="22"/>
        <v>-2.1875582878641886</v>
      </c>
      <c r="F191" s="208">
        <f t="shared" si="21"/>
        <v>3.5086581664643957</v>
      </c>
      <c r="G191" s="80">
        <f>+$C$383/C191</f>
        <v>3.2106341472150448</v>
      </c>
    </row>
    <row r="192" spans="1:7" ht="16.5" hidden="1" thickBot="1" x14ac:dyDescent="0.3">
      <c r="A192" s="75">
        <v>2009</v>
      </c>
      <c r="B192" s="82" t="s">
        <v>17</v>
      </c>
      <c r="C192" s="77">
        <f t="shared" si="20"/>
        <v>435.43166970206295</v>
      </c>
      <c r="D192" s="207">
        <v>-0.1</v>
      </c>
      <c r="E192" s="207">
        <f t="shared" si="22"/>
        <v>-2.2853707295763193</v>
      </c>
      <c r="F192" s="208">
        <f t="shared" si="21"/>
        <v>1.1594105931304499</v>
      </c>
      <c r="G192" s="80">
        <f>+$C$383/C192</f>
        <v>3.213847995210255</v>
      </c>
    </row>
    <row r="193" spans="1:7" ht="16.5" hidden="1" thickBot="1" x14ac:dyDescent="0.3">
      <c r="A193" s="75">
        <v>2009</v>
      </c>
      <c r="B193" s="82" t="s">
        <v>18</v>
      </c>
      <c r="C193" s="77">
        <f t="shared" si="20"/>
        <v>432.64490701596975</v>
      </c>
      <c r="D193" s="207">
        <v>-0.64</v>
      </c>
      <c r="E193" s="207">
        <f t="shared" si="22"/>
        <v>-2.9107443569070357</v>
      </c>
      <c r="F193" s="208">
        <f t="shared" si="21"/>
        <v>-1.7382047459825745</v>
      </c>
      <c r="G193" s="80">
        <f>+$C$383/C193</f>
        <v>3.2345491095111263</v>
      </c>
    </row>
    <row r="194" spans="1:7" ht="16.5" hidden="1" thickBot="1" x14ac:dyDescent="0.3">
      <c r="A194" s="75">
        <v>2009</v>
      </c>
      <c r="B194" s="82" t="s">
        <v>33</v>
      </c>
      <c r="C194" s="77">
        <f t="shared" si="20"/>
        <v>427.62622609458447</v>
      </c>
      <c r="D194" s="207">
        <v>-1.1599999999999999</v>
      </c>
      <c r="E194" s="207">
        <f t="shared" si="22"/>
        <v>-4.0369797223669179</v>
      </c>
      <c r="F194" s="208">
        <f t="shared" si="21"/>
        <v>-4.1054912825130074</v>
      </c>
      <c r="G194" s="80">
        <f>+$C$383/C194</f>
        <v>3.2725102281577563</v>
      </c>
    </row>
    <row r="195" spans="1:7" ht="16.5" hidden="1" thickBot="1" x14ac:dyDescent="0.3">
      <c r="A195" s="75">
        <v>2009</v>
      </c>
      <c r="B195" s="82" t="s">
        <v>34</v>
      </c>
      <c r="C195" s="77">
        <f t="shared" si="20"/>
        <v>427.92556445285067</v>
      </c>
      <c r="D195" s="207">
        <v>7.0000000000000007E-2</v>
      </c>
      <c r="E195" s="207">
        <f t="shared" si="22"/>
        <v>-3.969805608172583</v>
      </c>
      <c r="F195" s="208">
        <f t="shared" si="21"/>
        <v>-3.2605801911475885</v>
      </c>
      <c r="G195" s="80">
        <f>+$C$383/C195</f>
        <v>3.2702210734063719</v>
      </c>
    </row>
    <row r="196" spans="1:7" ht="16.5" hidden="1" thickBot="1" x14ac:dyDescent="0.3">
      <c r="A196" s="75">
        <v>2009</v>
      </c>
      <c r="B196" s="82" t="s">
        <v>21</v>
      </c>
      <c r="C196" s="77">
        <f t="shared" si="20"/>
        <v>429.16654858976386</v>
      </c>
      <c r="D196" s="207">
        <v>0.28999999999999998</v>
      </c>
      <c r="E196" s="207">
        <f t="shared" si="22"/>
        <v>-3.6913180444362981</v>
      </c>
      <c r="F196" s="208">
        <f t="shared" si="21"/>
        <v>-3.4050536376960649</v>
      </c>
      <c r="G196" s="80">
        <f>+$C$383/C196</f>
        <v>3.2607648553259274</v>
      </c>
    </row>
    <row r="197" spans="1:7" ht="16.5" hidden="1" thickBot="1" x14ac:dyDescent="0.3">
      <c r="A197" s="75">
        <v>2009</v>
      </c>
      <c r="B197" s="82" t="s">
        <v>35</v>
      </c>
      <c r="C197" s="77">
        <f t="shared" si="20"/>
        <v>428.82321535089204</v>
      </c>
      <c r="D197" s="207">
        <v>-0.08</v>
      </c>
      <c r="E197" s="207">
        <f t="shared" si="22"/>
        <v>-3.7683649900007499</v>
      </c>
      <c r="F197" s="208">
        <f t="shared" si="21"/>
        <v>-4.7773575323460049</v>
      </c>
      <c r="G197" s="80">
        <f>+$C$383/C197</f>
        <v>3.2633755557705442</v>
      </c>
    </row>
    <row r="198" spans="1:7" ht="16.5" hidden="1" thickBot="1" x14ac:dyDescent="0.3">
      <c r="A198" s="75">
        <v>2009</v>
      </c>
      <c r="B198" s="82" t="s">
        <v>25</v>
      </c>
      <c r="C198" s="77">
        <f t="shared" si="20"/>
        <v>428.65168606475169</v>
      </c>
      <c r="D198" s="207">
        <v>-0.04</v>
      </c>
      <c r="E198" s="207">
        <f t="shared" si="22"/>
        <v>-3.8068576440047464</v>
      </c>
      <c r="F198" s="208">
        <f t="shared" si="21"/>
        <v>-4.6533572967375143</v>
      </c>
      <c r="G198" s="80">
        <f>+$C$383/C198</f>
        <v>3.2646814283418806</v>
      </c>
    </row>
    <row r="199" spans="1:7" ht="16.5" hidden="1" thickBot="1" x14ac:dyDescent="0.3">
      <c r="A199" s="75">
        <v>2009</v>
      </c>
      <c r="B199" s="82" t="s">
        <v>12</v>
      </c>
      <c r="C199" s="77">
        <f t="shared" si="20"/>
        <v>427.40859617516389</v>
      </c>
      <c r="D199" s="207">
        <v>-0.28999999999999998</v>
      </c>
      <c r="E199" s="207">
        <f t="shared" si="22"/>
        <v>-4.0858177568371401</v>
      </c>
      <c r="F199" s="208">
        <f t="shared" si="21"/>
        <v>-4.0858177568371401</v>
      </c>
      <c r="G199" s="80">
        <f>+$C$383/C199</f>
        <v>3.2741765403087761</v>
      </c>
    </row>
    <row r="200" spans="1:7" ht="16.5" hidden="1" thickBot="1" x14ac:dyDescent="0.3">
      <c r="A200" s="75">
        <v>2010</v>
      </c>
      <c r="B200" s="82" t="s">
        <v>13</v>
      </c>
      <c r="C200" s="77">
        <f t="shared" si="20"/>
        <v>431.51171869844546</v>
      </c>
      <c r="D200" s="207">
        <v>0.96</v>
      </c>
      <c r="E200" s="207">
        <f t="shared" ref="E200:E211" si="23">+((C200/$C$199)-1)*100</f>
        <v>0.96000000000000529</v>
      </c>
      <c r="F200" s="208">
        <f t="shared" si="21"/>
        <v>-2.8444282204301952</v>
      </c>
      <c r="G200" s="80">
        <f>+$C$383/C200</f>
        <v>3.2430433243945882</v>
      </c>
    </row>
    <row r="201" spans="1:7" ht="16.5" hidden="1" thickBot="1" x14ac:dyDescent="0.3">
      <c r="A201" s="75">
        <v>2010</v>
      </c>
      <c r="B201" s="82" t="s">
        <v>14</v>
      </c>
      <c r="C201" s="77">
        <f t="shared" si="20"/>
        <v>437.46658041648402</v>
      </c>
      <c r="D201" s="207">
        <v>1.38</v>
      </c>
      <c r="E201" s="207">
        <f t="shared" si="23"/>
        <v>2.3532480000000078</v>
      </c>
      <c r="F201" s="208">
        <f t="shared" si="21"/>
        <v>-1.1973932489438566</v>
      </c>
      <c r="G201" s="80">
        <f>+$C$383/C201</f>
        <v>3.1988985247529969</v>
      </c>
    </row>
    <row r="202" spans="1:7" ht="16.5" hidden="1" thickBot="1" x14ac:dyDescent="0.3">
      <c r="A202" s="75">
        <v>2010</v>
      </c>
      <c r="B202" s="82" t="s">
        <v>15</v>
      </c>
      <c r="C202" s="77">
        <f t="shared" si="20"/>
        <v>439.74140663464976</v>
      </c>
      <c r="D202" s="207">
        <v>0.52</v>
      </c>
      <c r="E202" s="207">
        <f t="shared" si="23"/>
        <v>2.8854848896000096</v>
      </c>
      <c r="F202" s="208">
        <f t="shared" si="21"/>
        <v>0.78788340385795852</v>
      </c>
      <c r="G202" s="80">
        <f>+$C$383/C202</f>
        <v>3.182350303176479</v>
      </c>
    </row>
    <row r="203" spans="1:7" ht="16.5" hidden="1" thickBot="1" x14ac:dyDescent="0.3">
      <c r="A203" s="75">
        <v>2010</v>
      </c>
      <c r="B203" s="82" t="s">
        <v>16</v>
      </c>
      <c r="C203" s="77">
        <f t="shared" si="20"/>
        <v>442.73164819976535</v>
      </c>
      <c r="D203" s="207">
        <v>0.68</v>
      </c>
      <c r="E203" s="207">
        <f t="shared" si="23"/>
        <v>3.5851061868492851</v>
      </c>
      <c r="F203" s="208">
        <f t="shared" si="21"/>
        <v>1.5748158268310108</v>
      </c>
      <c r="G203" s="80">
        <f>+$C$383/C203</f>
        <v>3.1608564791184737</v>
      </c>
    </row>
    <row r="204" spans="1:7" ht="16.5" hidden="1" thickBot="1" x14ac:dyDescent="0.3">
      <c r="A204" s="75">
        <v>2010</v>
      </c>
      <c r="B204" s="82" t="s">
        <v>17</v>
      </c>
      <c r="C204" s="77">
        <f t="shared" si="20"/>
        <v>451.85192015268046</v>
      </c>
      <c r="D204" s="207">
        <v>2.06</v>
      </c>
      <c r="E204" s="207">
        <f t="shared" si="23"/>
        <v>5.7189593742983602</v>
      </c>
      <c r="F204" s="208">
        <f t="shared" si="21"/>
        <v>3.7710280609246416</v>
      </c>
      <c r="G204" s="80">
        <f>+$C$383/C204</f>
        <v>3.0970571028007781</v>
      </c>
    </row>
    <row r="205" spans="1:7" ht="16.5" hidden="1" thickBot="1" x14ac:dyDescent="0.3">
      <c r="A205" s="75">
        <v>2010</v>
      </c>
      <c r="B205" s="82" t="s">
        <v>18</v>
      </c>
      <c r="C205" s="77">
        <f t="shared" si="20"/>
        <v>453.79488340933699</v>
      </c>
      <c r="D205" s="207">
        <v>0.43</v>
      </c>
      <c r="E205" s="207">
        <f t="shared" si="23"/>
        <v>6.1735508996078492</v>
      </c>
      <c r="F205" s="208">
        <f t="shared" si="21"/>
        <v>4.8885300740606041</v>
      </c>
      <c r="G205" s="80">
        <f>+$C$383/C205</f>
        <v>3.0837967766611349</v>
      </c>
    </row>
    <row r="206" spans="1:7" ht="16.5" hidden="1" thickBot="1" x14ac:dyDescent="0.3">
      <c r="A206" s="75">
        <v>2010</v>
      </c>
      <c r="B206" s="82" t="s">
        <v>19</v>
      </c>
      <c r="C206" s="77">
        <f t="shared" si="20"/>
        <v>455.33778601292875</v>
      </c>
      <c r="D206" s="207">
        <v>0.34</v>
      </c>
      <c r="E206" s="207">
        <f t="shared" si="23"/>
        <v>6.5345409726665249</v>
      </c>
      <c r="F206" s="208">
        <f t="shared" si="21"/>
        <v>6.480322821036455</v>
      </c>
      <c r="G206" s="80">
        <f>+$C$383/C206</f>
        <v>3.0733473955163793</v>
      </c>
    </row>
    <row r="207" spans="1:7" ht="16.5" hidden="1" thickBot="1" x14ac:dyDescent="0.3">
      <c r="A207" s="75">
        <v>2010</v>
      </c>
      <c r="B207" s="82" t="s">
        <v>20</v>
      </c>
      <c r="C207" s="77">
        <f t="shared" si="20"/>
        <v>463.07852837514849</v>
      </c>
      <c r="D207" s="207">
        <v>1.7</v>
      </c>
      <c r="E207" s="207">
        <f t="shared" si="23"/>
        <v>8.3456281692018344</v>
      </c>
      <c r="F207" s="208">
        <f t="shared" si="21"/>
        <v>8.2147379923993782</v>
      </c>
      <c r="G207" s="80">
        <f>+$C$383/C207</f>
        <v>3.0219738402324281</v>
      </c>
    </row>
    <row r="208" spans="1:7" ht="16.5" hidden="1" thickBot="1" x14ac:dyDescent="0.3">
      <c r="A208" s="75">
        <v>2010</v>
      </c>
      <c r="B208" s="82" t="s">
        <v>21</v>
      </c>
      <c r="C208" s="77">
        <f t="shared" si="20"/>
        <v>469.88578274226313</v>
      </c>
      <c r="D208" s="207">
        <v>1.47</v>
      </c>
      <c r="E208" s="207">
        <f t="shared" si="23"/>
        <v>9.9383089032890837</v>
      </c>
      <c r="F208" s="208">
        <f t="shared" si="21"/>
        <v>9.4879795003366851</v>
      </c>
      <c r="G208" s="80">
        <f>+$C$383/C208</f>
        <v>2.9781943828051922</v>
      </c>
    </row>
    <row r="209" spans="1:7" ht="16.5" hidden="1" thickBot="1" x14ac:dyDescent="0.3">
      <c r="A209" s="75">
        <v>2010</v>
      </c>
      <c r="B209" s="82" t="s">
        <v>22</v>
      </c>
      <c r="C209" s="77">
        <f t="shared" si="20"/>
        <v>476.08827507446108</v>
      </c>
      <c r="D209" s="207">
        <v>1.32</v>
      </c>
      <c r="E209" s="207">
        <f t="shared" si="23"/>
        <v>11.389494580812531</v>
      </c>
      <c r="F209" s="208">
        <f t="shared" si="21"/>
        <v>11.022038460509552</v>
      </c>
      <c r="G209" s="80">
        <f>+$C$383/C209</f>
        <v>2.9393943770284165</v>
      </c>
    </row>
    <row r="210" spans="1:7" ht="16.5" hidden="1" thickBot="1" x14ac:dyDescent="0.3">
      <c r="A210" s="75">
        <v>2010</v>
      </c>
      <c r="B210" s="82" t="s">
        <v>23</v>
      </c>
      <c r="C210" s="77">
        <f t="shared" si="20"/>
        <v>485.51482292093544</v>
      </c>
      <c r="D210" s="207">
        <v>1.98</v>
      </c>
      <c r="E210" s="207">
        <f t="shared" si="23"/>
        <v>13.595006573512624</v>
      </c>
      <c r="F210" s="208">
        <f t="shared" si="21"/>
        <v>13.265581054449438</v>
      </c>
      <c r="G210" s="80">
        <f>+$C$383/C210</f>
        <v>2.8823243548033108</v>
      </c>
    </row>
    <row r="211" spans="1:7" ht="16.5" hidden="1" thickBot="1" x14ac:dyDescent="0.3">
      <c r="A211" s="75">
        <v>2010</v>
      </c>
      <c r="B211" s="82" t="s">
        <v>12</v>
      </c>
      <c r="C211" s="77">
        <f t="shared" si="20"/>
        <v>486.53440404906939</v>
      </c>
      <c r="D211" s="207">
        <v>0.21</v>
      </c>
      <c r="E211" s="207">
        <f t="shared" si="23"/>
        <v>13.833556087317</v>
      </c>
      <c r="F211" s="208">
        <f t="shared" si="21"/>
        <v>13.833556087317</v>
      </c>
      <c r="G211" s="80">
        <f>+$C$383/C211</f>
        <v>2.876284158071361</v>
      </c>
    </row>
    <row r="212" spans="1:7" x14ac:dyDescent="0.25">
      <c r="A212" s="209">
        <v>2011</v>
      </c>
      <c r="B212" s="210" t="s">
        <v>13</v>
      </c>
      <c r="C212" s="211">
        <f t="shared" si="20"/>
        <v>491.20513432794047</v>
      </c>
      <c r="D212" s="212">
        <v>0.96</v>
      </c>
      <c r="E212" s="212">
        <f t="shared" ref="E212:E223" si="24">+((C212/$C$211)-1)*100</f>
        <v>0.96000000000000529</v>
      </c>
      <c r="F212" s="213">
        <f t="shared" si="21"/>
        <v>13.833556087317</v>
      </c>
      <c r="G212" s="214">
        <f>+$C$383/C212</f>
        <v>2.848934387947069</v>
      </c>
    </row>
    <row r="213" spans="1:7" x14ac:dyDescent="0.25">
      <c r="A213" s="93">
        <v>2011</v>
      </c>
      <c r="B213" s="94" t="s">
        <v>14</v>
      </c>
      <c r="C213" s="95">
        <f t="shared" si="20"/>
        <v>497.24237395745382</v>
      </c>
      <c r="D213" s="215">
        <v>1.2290668821638873</v>
      </c>
      <c r="E213" s="215">
        <f t="shared" si="24"/>
        <v>2.2008659242326534</v>
      </c>
      <c r="F213" s="216">
        <f t="shared" si="21"/>
        <v>13.664082290368572</v>
      </c>
      <c r="G213" s="98">
        <f>+$C$383/C213</f>
        <v>2.8143442152473686</v>
      </c>
    </row>
    <row r="214" spans="1:7" x14ac:dyDescent="0.25">
      <c r="A214" s="93">
        <v>2011</v>
      </c>
      <c r="B214" s="94" t="s">
        <v>15</v>
      </c>
      <c r="C214" s="95">
        <f t="shared" si="20"/>
        <v>500.23899654268928</v>
      </c>
      <c r="D214" s="215">
        <v>0.60264827419793665</v>
      </c>
      <c r="E214" s="215">
        <f t="shared" si="24"/>
        <v>2.8167776789403964</v>
      </c>
      <c r="F214" s="216">
        <f t="shared" si="21"/>
        <v>13.757537724506964</v>
      </c>
      <c r="G214" s="98">
        <f>+$C$383/C214</f>
        <v>2.7974852188549963</v>
      </c>
    </row>
    <row r="215" spans="1:7" x14ac:dyDescent="0.25">
      <c r="A215" s="93">
        <v>2011</v>
      </c>
      <c r="B215" s="94" t="s">
        <v>16</v>
      </c>
      <c r="C215" s="95">
        <f t="shared" si="20"/>
        <v>501.46184252925678</v>
      </c>
      <c r="D215" s="215">
        <v>0.24445235078012217</v>
      </c>
      <c r="E215" s="215">
        <f t="shared" si="24"/>
        <v>3.0681157089729405</v>
      </c>
      <c r="F215" s="216">
        <f t="shared" si="21"/>
        <v>13.265415871736309</v>
      </c>
      <c r="G215" s="98">
        <f t="shared" ref="G215:G278" si="25">+$C$383/C215</f>
        <v>2.7906633766284683</v>
      </c>
    </row>
    <row r="216" spans="1:7" x14ac:dyDescent="0.25">
      <c r="A216" s="93">
        <v>2011</v>
      </c>
      <c r="B216" s="94" t="s">
        <v>17</v>
      </c>
      <c r="C216" s="95">
        <f t="shared" si="20"/>
        <v>498.31523883364923</v>
      </c>
      <c r="D216" s="215">
        <v>-0.62748616719007222</v>
      </c>
      <c r="E216" s="215">
        <f t="shared" si="24"/>
        <v>2.4213775401156878</v>
      </c>
      <c r="F216" s="216">
        <f t="shared" si="21"/>
        <v>10.28286405538983</v>
      </c>
      <c r="G216" s="98">
        <f t="shared" si="25"/>
        <v>2.8082849763905964</v>
      </c>
    </row>
    <row r="217" spans="1:7" x14ac:dyDescent="0.25">
      <c r="A217" s="93">
        <v>2011</v>
      </c>
      <c r="B217" s="94" t="s">
        <v>18</v>
      </c>
      <c r="C217" s="95">
        <f t="shared" si="20"/>
        <v>497.35236010506009</v>
      </c>
      <c r="D217" s="215">
        <v>-0.19322682782947354</v>
      </c>
      <c r="E217" s="215">
        <f t="shared" si="24"/>
        <v>2.2234719612756582</v>
      </c>
      <c r="F217" s="216">
        <f t="shared" si="21"/>
        <v>9.5984944494036828</v>
      </c>
      <c r="G217" s="98">
        <f t="shared" si="25"/>
        <v>2.8137218418495471</v>
      </c>
    </row>
    <row r="218" spans="1:7" x14ac:dyDescent="0.25">
      <c r="A218" s="93">
        <v>2011</v>
      </c>
      <c r="B218" s="94" t="s">
        <v>19</v>
      </c>
      <c r="C218" s="95">
        <f t="shared" si="20"/>
        <v>496.68644397500776</v>
      </c>
      <c r="D218" s="215">
        <v>-0.13389222279183155</v>
      </c>
      <c r="E218" s="215">
        <f t="shared" si="24"/>
        <v>2.0866026824517103</v>
      </c>
      <c r="F218" s="216">
        <f t="shared" si="21"/>
        <v>9.0808756119583158</v>
      </c>
      <c r="G218" s="98">
        <f t="shared" si="25"/>
        <v>2.8174942475245901</v>
      </c>
    </row>
    <row r="219" spans="1:7" x14ac:dyDescent="0.25">
      <c r="A219" s="93">
        <v>2011</v>
      </c>
      <c r="B219" s="94" t="s">
        <v>20</v>
      </c>
      <c r="C219" s="95">
        <f t="shared" si="20"/>
        <v>500.4999636747367</v>
      </c>
      <c r="D219" s="215">
        <v>0.76779218478546518</v>
      </c>
      <c r="E219" s="215">
        <f t="shared" si="24"/>
        <v>2.870415639560564</v>
      </c>
      <c r="F219" s="216">
        <f t="shared" si="21"/>
        <v>8.0810128318608676</v>
      </c>
      <c r="G219" s="98">
        <f t="shared" si="25"/>
        <v>2.796026574004856</v>
      </c>
    </row>
    <row r="220" spans="1:7" x14ac:dyDescent="0.25">
      <c r="A220" s="93">
        <v>2011</v>
      </c>
      <c r="B220" s="94" t="s">
        <v>21</v>
      </c>
      <c r="C220" s="95">
        <f t="shared" si="20"/>
        <v>505.21936928111347</v>
      </c>
      <c r="D220" s="215">
        <v>0.94293825152877986</v>
      </c>
      <c r="E220" s="215">
        <f t="shared" si="24"/>
        <v>3.8404201381326386</v>
      </c>
      <c r="F220" s="216">
        <f t="shared" si="21"/>
        <v>7.5196117517416283</v>
      </c>
      <c r="G220" s="98">
        <f t="shared" si="25"/>
        <v>2.7699080514555066</v>
      </c>
    </row>
    <row r="221" spans="1:7" x14ac:dyDescent="0.25">
      <c r="A221" s="93">
        <v>2011</v>
      </c>
      <c r="B221" s="94" t="s">
        <v>22</v>
      </c>
      <c r="C221" s="95">
        <f t="shared" si="20"/>
        <v>507.62506629148265</v>
      </c>
      <c r="D221" s="215">
        <v>0.4761688004544018</v>
      </c>
      <c r="E221" s="215">
        <f t="shared" si="24"/>
        <v>4.3348758210911997</v>
      </c>
      <c r="F221" s="216">
        <f t="shared" si="21"/>
        <v>6.6241478457097491</v>
      </c>
      <c r="G221" s="98">
        <f t="shared" si="25"/>
        <v>2.7567811198658876</v>
      </c>
    </row>
    <row r="222" spans="1:7" x14ac:dyDescent="0.25">
      <c r="A222" s="93">
        <v>2011</v>
      </c>
      <c r="B222" s="94" t="s">
        <v>23</v>
      </c>
      <c r="C222" s="95">
        <f t="shared" si="20"/>
        <v>509.36484717179945</v>
      </c>
      <c r="D222" s="215">
        <v>0.34272950566192062</v>
      </c>
      <c r="E222" s="215">
        <f t="shared" si="24"/>
        <v>4.692462225225813</v>
      </c>
      <c r="F222" s="216">
        <f t="shared" si="21"/>
        <v>4.9123163958987748</v>
      </c>
      <c r="G222" s="98">
        <f t="shared" si="25"/>
        <v>2.7473650890773644</v>
      </c>
    </row>
    <row r="223" spans="1:7" x14ac:dyDescent="0.25">
      <c r="A223" s="93">
        <v>2011</v>
      </c>
      <c r="B223" s="94" t="s">
        <v>12</v>
      </c>
      <c r="C223" s="95">
        <f t="shared" si="20"/>
        <v>506.55120154121812</v>
      </c>
      <c r="D223" s="215">
        <v>-0.55238315839890584</v>
      </c>
      <c r="E223" s="215">
        <f t="shared" si="24"/>
        <v>4.1141586957805121</v>
      </c>
      <c r="F223" s="216">
        <f t="shared" si="21"/>
        <v>4.1141586957805121</v>
      </c>
      <c r="G223" s="98">
        <f t="shared" si="25"/>
        <v>2.762625366330631</v>
      </c>
    </row>
    <row r="224" spans="1:7" x14ac:dyDescent="0.25">
      <c r="A224" s="93">
        <f>2012</f>
        <v>2012</v>
      </c>
      <c r="B224" s="94" t="s">
        <v>13</v>
      </c>
      <c r="C224" s="95">
        <f t="shared" si="20"/>
        <v>506.61819310385101</v>
      </c>
      <c r="D224" s="215">
        <v>1.3225032815844528E-2</v>
      </c>
      <c r="E224" s="215">
        <f t="shared" ref="E224:E235" si="26">+((C224/$C$223)-1)*100</f>
        <v>1.3225032815844528E-2</v>
      </c>
      <c r="F224" s="216">
        <f t="shared" si="21"/>
        <v>3.1378049003902397</v>
      </c>
      <c r="G224" s="98">
        <f t="shared" si="25"/>
        <v>2.7622600565316957</v>
      </c>
    </row>
    <row r="225" spans="1:7" x14ac:dyDescent="0.25">
      <c r="A225" s="93">
        <f>2012</f>
        <v>2012</v>
      </c>
      <c r="B225" s="94" t="s">
        <v>14</v>
      </c>
      <c r="C225" s="95">
        <f t="shared" si="20"/>
        <v>506.45821325278735</v>
      </c>
      <c r="D225" s="215">
        <v>-3.15779917186787E-2</v>
      </c>
      <c r="E225" s="215">
        <f t="shared" si="26"/>
        <v>-1.8357135102597955E-2</v>
      </c>
      <c r="F225" s="216">
        <f t="shared" si="21"/>
        <v>1.8533897708649549</v>
      </c>
      <c r="G225" s="98">
        <f t="shared" si="25"/>
        <v>2.7631325983147677</v>
      </c>
    </row>
    <row r="226" spans="1:7" x14ac:dyDescent="0.25">
      <c r="A226" s="93">
        <f>2012</f>
        <v>2012</v>
      </c>
      <c r="B226" s="94" t="s">
        <v>15</v>
      </c>
      <c r="C226" s="95">
        <f t="shared" si="20"/>
        <v>509.24086278722518</v>
      </c>
      <c r="D226" s="215">
        <v>0.54943319342497521</v>
      </c>
      <c r="E226" s="215">
        <f t="shared" si="26"/>
        <v>0.53097519812874694</v>
      </c>
      <c r="F226" s="216">
        <f t="shared" si="21"/>
        <v>1.7995130940911652</v>
      </c>
      <c r="G226" s="98">
        <f t="shared" si="25"/>
        <v>2.7480339874212754</v>
      </c>
    </row>
    <row r="227" spans="1:7" x14ac:dyDescent="0.25">
      <c r="A227" s="93">
        <f>2012</f>
        <v>2012</v>
      </c>
      <c r="B227" s="94" t="s">
        <v>16</v>
      </c>
      <c r="C227" s="95">
        <f t="shared" si="20"/>
        <v>515.59006312631243</v>
      </c>
      <c r="D227" s="215">
        <v>1.2467971058599314</v>
      </c>
      <c r="E227" s="215">
        <f t="shared" si="26"/>
        <v>1.7843924873917727</v>
      </c>
      <c r="F227" s="216">
        <f t="shared" si="21"/>
        <v>2.8174069089277332</v>
      </c>
      <c r="G227" s="98">
        <f t="shared" si="25"/>
        <v>2.7141935013984018</v>
      </c>
    </row>
    <row r="228" spans="1:7" x14ac:dyDescent="0.25">
      <c r="A228" s="93">
        <f>2012</f>
        <v>2012</v>
      </c>
      <c r="B228" s="94" t="s">
        <v>17</v>
      </c>
      <c r="C228" s="95">
        <f t="shared" si="20"/>
        <v>520.25747528109343</v>
      </c>
      <c r="D228" s="215">
        <v>0.90525642144456686</v>
      </c>
      <c r="E228" s="215">
        <f t="shared" si="26"/>
        <v>2.7058022364122358</v>
      </c>
      <c r="F228" s="216">
        <f t="shared" si="21"/>
        <v>4.4032842541203321</v>
      </c>
      <c r="G228" s="98">
        <f t="shared" si="25"/>
        <v>2.6898435202049362</v>
      </c>
    </row>
    <row r="229" spans="1:7" x14ac:dyDescent="0.25">
      <c r="A229" s="93">
        <f>2012</f>
        <v>2012</v>
      </c>
      <c r="B229" s="94" t="s">
        <v>18</v>
      </c>
      <c r="C229" s="95">
        <f t="shared" si="20"/>
        <v>524.90988932483731</v>
      </c>
      <c r="D229" s="215">
        <v>0.89425222409926786</v>
      </c>
      <c r="E229" s="215">
        <f t="shared" si="26"/>
        <v>3.6242511571903391</v>
      </c>
      <c r="F229" s="216">
        <f t="shared" si="21"/>
        <v>5.5408461747232796</v>
      </c>
      <c r="G229" s="98">
        <f t="shared" si="25"/>
        <v>2.6660027314840926</v>
      </c>
    </row>
    <row r="230" spans="1:7" x14ac:dyDescent="0.25">
      <c r="A230" s="93">
        <f>2012</f>
        <v>2012</v>
      </c>
      <c r="B230" s="94" t="s">
        <v>19</v>
      </c>
      <c r="C230" s="95">
        <f t="shared" si="20"/>
        <v>536.09248091418419</v>
      </c>
      <c r="D230" s="215">
        <v>2.1303831032275733</v>
      </c>
      <c r="E230" s="215">
        <f t="shared" si="26"/>
        <v>5.8318446946892255</v>
      </c>
      <c r="F230" s="216">
        <f t="shared" si="21"/>
        <v>7.9337854731463597</v>
      </c>
      <c r="G230" s="98">
        <f t="shared" si="25"/>
        <v>2.6103913942919892</v>
      </c>
    </row>
    <row r="231" spans="1:7" x14ac:dyDescent="0.25">
      <c r="A231" s="93">
        <f>2012</f>
        <v>2012</v>
      </c>
      <c r="B231" s="94" t="s">
        <v>20</v>
      </c>
      <c r="C231" s="95">
        <f t="shared" si="20"/>
        <v>545.55728885273561</v>
      </c>
      <c r="D231" s="215">
        <v>1.7655177558937751</v>
      </c>
      <c r="E231" s="215">
        <f t="shared" si="26"/>
        <v>7.7003247041639078</v>
      </c>
      <c r="F231" s="216">
        <f t="shared" si="21"/>
        <v>9.0024632264070767</v>
      </c>
      <c r="G231" s="98">
        <f t="shared" si="25"/>
        <v>2.565104027234026</v>
      </c>
    </row>
    <row r="232" spans="1:7" x14ac:dyDescent="0.25">
      <c r="A232" s="93">
        <f>2012</f>
        <v>2012</v>
      </c>
      <c r="B232" s="94" t="s">
        <v>21</v>
      </c>
      <c r="C232" s="95">
        <f t="shared" si="20"/>
        <v>551.58652948969564</v>
      </c>
      <c r="D232" s="215">
        <v>1.1051526136950818</v>
      </c>
      <c r="E232" s="215">
        <f t="shared" si="26"/>
        <v>8.8905776575900486</v>
      </c>
      <c r="F232" s="216">
        <f t="shared" si="21"/>
        <v>9.1776291701877852</v>
      </c>
      <c r="G232" s="98">
        <f t="shared" si="25"/>
        <v>2.5370655806582234</v>
      </c>
    </row>
    <row r="233" spans="1:7" x14ac:dyDescent="0.25">
      <c r="A233" s="93">
        <f>2012</f>
        <v>2012</v>
      </c>
      <c r="B233" s="94" t="s">
        <v>22</v>
      </c>
      <c r="C233" s="95">
        <f t="shared" si="20"/>
        <v>547.8370017303921</v>
      </c>
      <c r="D233" s="215">
        <v>-0.67977145177429144</v>
      </c>
      <c r="E233" s="215">
        <f t="shared" si="26"/>
        <v>8.150370597001654</v>
      </c>
      <c r="F233" s="216">
        <f t="shared" si="21"/>
        <v>7.9215819133366949</v>
      </c>
      <c r="G233" s="98">
        <f t="shared" si="25"/>
        <v>2.5544298656404436</v>
      </c>
    </row>
    <row r="234" spans="1:7" x14ac:dyDescent="0.25">
      <c r="A234" s="93">
        <f>2012</f>
        <v>2012</v>
      </c>
      <c r="B234" s="94" t="s">
        <v>23</v>
      </c>
      <c r="C234" s="95">
        <f t="shared" si="20"/>
        <v>548.7378882666942</v>
      </c>
      <c r="D234" s="215">
        <v>0.16444426598725137</v>
      </c>
      <c r="E234" s="215">
        <f t="shared" si="26"/>
        <v>8.3282176800923757</v>
      </c>
      <c r="F234" s="216">
        <f t="shared" si="21"/>
        <v>7.7298308498338297</v>
      </c>
      <c r="G234" s="98">
        <f t="shared" si="25"/>
        <v>2.5502361485250602</v>
      </c>
    </row>
    <row r="235" spans="1:7" x14ac:dyDescent="0.25">
      <c r="A235" s="93">
        <f>2012</f>
        <v>2012</v>
      </c>
      <c r="B235" s="94" t="s">
        <v>12</v>
      </c>
      <c r="C235" s="95">
        <f t="shared" si="20"/>
        <v>552.79137774301864</v>
      </c>
      <c r="D235" s="215">
        <v>0.73869320179953402</v>
      </c>
      <c r="E235" s="215">
        <f t="shared" si="26"/>
        <v>9.1284308597258335</v>
      </c>
      <c r="F235" s="216">
        <f t="shared" si="21"/>
        <v>9.1284308597258335</v>
      </c>
      <c r="G235" s="98">
        <f t="shared" si="25"/>
        <v>2.5315358651878004</v>
      </c>
    </row>
    <row r="236" spans="1:7" x14ac:dyDescent="0.25">
      <c r="A236" s="93">
        <f>2013</f>
        <v>2013</v>
      </c>
      <c r="B236" s="94" t="s">
        <v>13</v>
      </c>
      <c r="C236" s="95">
        <f t="shared" si="20"/>
        <v>552.8013764837101</v>
      </c>
      <c r="D236" s="215">
        <v>1.8087729103610783E-3</v>
      </c>
      <c r="E236" s="215">
        <f t="shared" ref="E236:E247" si="27">+((C236/$C$235)-1)*100</f>
        <v>1.8087729103610783E-3</v>
      </c>
      <c r="F236" s="216">
        <f t="shared" si="21"/>
        <v>9.1159741218357802</v>
      </c>
      <c r="G236" s="98">
        <f t="shared" si="25"/>
        <v>2.5314900762810724</v>
      </c>
    </row>
    <row r="237" spans="1:7" x14ac:dyDescent="0.25">
      <c r="A237" s="93">
        <f>2013</f>
        <v>2013</v>
      </c>
      <c r="B237" s="94" t="s">
        <v>14</v>
      </c>
      <c r="C237" s="95">
        <f t="shared" si="20"/>
        <v>553.27331704434778</v>
      </c>
      <c r="D237" s="215">
        <v>8.5372537174133178E-2</v>
      </c>
      <c r="E237" s="215">
        <f t="shared" si="27"/>
        <v>8.718285427982142E-2</v>
      </c>
      <c r="F237" s="216">
        <f t="shared" si="21"/>
        <v>9.2436261406217302</v>
      </c>
      <c r="G237" s="98">
        <f t="shared" si="25"/>
        <v>2.529330722469775</v>
      </c>
    </row>
    <row r="238" spans="1:7" x14ac:dyDescent="0.25">
      <c r="A238" s="93">
        <f>2013</f>
        <v>2013</v>
      </c>
      <c r="B238" s="94" t="s">
        <v>15</v>
      </c>
      <c r="C238" s="95">
        <f t="shared" si="20"/>
        <v>553.95523115950652</v>
      </c>
      <c r="D238" s="215">
        <v>0.12325085887054943</v>
      </c>
      <c r="E238" s="215">
        <f t="shared" si="27"/>
        <v>0.21054116676706425</v>
      </c>
      <c r="F238" s="216">
        <f t="shared" si="21"/>
        <v>8.7805931612688006</v>
      </c>
      <c r="G238" s="98">
        <f t="shared" si="25"/>
        <v>2.52621713815007</v>
      </c>
    </row>
    <row r="239" spans="1:7" x14ac:dyDescent="0.25">
      <c r="A239" s="93">
        <f>2013</f>
        <v>2013</v>
      </c>
      <c r="B239" s="94" t="s">
        <v>16</v>
      </c>
      <c r="C239" s="95">
        <f t="shared" si="20"/>
        <v>551.7725060665573</v>
      </c>
      <c r="D239" s="215">
        <v>-0.39402554036369608</v>
      </c>
      <c r="E239" s="215">
        <f t="shared" si="27"/>
        <v>-0.18431395956667318</v>
      </c>
      <c r="F239" s="216">
        <f t="shared" si="21"/>
        <v>7.0176765473039415</v>
      </c>
      <c r="G239" s="98">
        <f t="shared" si="25"/>
        <v>2.5362104551005404</v>
      </c>
    </row>
    <row r="240" spans="1:7" x14ac:dyDescent="0.25">
      <c r="A240" s="93">
        <f>2013</f>
        <v>2013</v>
      </c>
      <c r="B240" s="94" t="s">
        <v>17</v>
      </c>
      <c r="C240" s="95">
        <f t="shared" si="20"/>
        <v>551.82149989594552</v>
      </c>
      <c r="D240" s="215">
        <v>8.879353148172342E-3</v>
      </c>
      <c r="E240" s="215">
        <f t="shared" si="27"/>
        <v>-0.17545097230586837</v>
      </c>
      <c r="F240" s="216">
        <f t="shared" si="21"/>
        <v>6.0670006899560924</v>
      </c>
      <c r="G240" s="98">
        <f t="shared" si="25"/>
        <v>2.5359852760120973</v>
      </c>
    </row>
    <row r="241" spans="1:7" x14ac:dyDescent="0.25">
      <c r="A241" s="93">
        <f>2013</f>
        <v>2013</v>
      </c>
      <c r="B241" s="94" t="s">
        <v>18</v>
      </c>
      <c r="C241" s="95">
        <f t="shared" ref="C241:C304" si="28">+C240*(1+D241/100)</f>
        <v>556.51890827280113</v>
      </c>
      <c r="D241" s="215">
        <v>0.85125504855128042</v>
      </c>
      <c r="E241" s="215">
        <f t="shared" si="27"/>
        <v>0.67431054098592291</v>
      </c>
      <c r="F241" s="216">
        <f t="shared" si="21"/>
        <v>6.0217990917680764</v>
      </c>
      <c r="G241" s="98">
        <f t="shared" si="25"/>
        <v>2.5145797886116905</v>
      </c>
    </row>
    <row r="242" spans="1:7" x14ac:dyDescent="0.25">
      <c r="A242" s="93">
        <f>2013</f>
        <v>2013</v>
      </c>
      <c r="B242" s="94" t="s">
        <v>19</v>
      </c>
      <c r="C242" s="95">
        <f t="shared" si="28"/>
        <v>557.61776987479425</v>
      </c>
      <c r="D242" s="215">
        <v>0.19745269849025249</v>
      </c>
      <c r="E242" s="215">
        <f t="shared" si="27"/>
        <v>0.87309468383556244</v>
      </c>
      <c r="F242" s="216">
        <f t="shared" si="21"/>
        <v>4.0152193375112333</v>
      </c>
      <c r="G242" s="98">
        <f t="shared" si="25"/>
        <v>2.5096244673788792</v>
      </c>
    </row>
    <row r="243" spans="1:7" x14ac:dyDescent="0.25">
      <c r="A243" s="93">
        <f>2013</f>
        <v>2013</v>
      </c>
      <c r="B243" s="94" t="s">
        <v>20</v>
      </c>
      <c r="C243" s="95">
        <f t="shared" si="28"/>
        <v>560.87835921428461</v>
      </c>
      <c r="D243" s="215">
        <v>0.58473555106079989</v>
      </c>
      <c r="E243" s="215">
        <f t="shared" si="27"/>
        <v>1.4629355299071722</v>
      </c>
      <c r="F243" s="216">
        <f t="shared" si="21"/>
        <v>2.8083339137064733</v>
      </c>
      <c r="G243" s="98">
        <f t="shared" si="25"/>
        <v>2.4950351100787995</v>
      </c>
    </row>
    <row r="244" spans="1:7" x14ac:dyDescent="0.25">
      <c r="A244" s="93">
        <f>2013</f>
        <v>2013</v>
      </c>
      <c r="B244" s="94" t="s">
        <v>21</v>
      </c>
      <c r="C244" s="95">
        <f t="shared" si="28"/>
        <v>571.53701679139817</v>
      </c>
      <c r="D244" s="215">
        <v>1.9003510123023704</v>
      </c>
      <c r="E244" s="215">
        <f t="shared" si="27"/>
        <v>3.391087452361452</v>
      </c>
      <c r="F244" s="216">
        <f t="shared" ref="F244:F307" si="29">100*((C244/C232)-1)</f>
        <v>3.6169279406007115</v>
      </c>
      <c r="G244" s="98">
        <f t="shared" si="25"/>
        <v>2.4485049220071629</v>
      </c>
    </row>
    <row r="245" spans="1:7" x14ac:dyDescent="0.25">
      <c r="A245" s="93">
        <f>2013</f>
        <v>2013</v>
      </c>
      <c r="B245" s="94" t="s">
        <v>22</v>
      </c>
      <c r="C245" s="95">
        <f t="shared" si="28"/>
        <v>575.61650299352038</v>
      </c>
      <c r="D245" s="215">
        <v>0.71377462566193373</v>
      </c>
      <c r="E245" s="215">
        <f t="shared" si="27"/>
        <v>4.1290667997923469</v>
      </c>
      <c r="F245" s="216">
        <f t="shared" si="29"/>
        <v>5.0707603129004131</v>
      </c>
      <c r="G245" s="98">
        <f t="shared" si="25"/>
        <v>2.43115197609055</v>
      </c>
    </row>
    <row r="246" spans="1:7" x14ac:dyDescent="0.25">
      <c r="A246" s="93">
        <f>2013</f>
        <v>2013</v>
      </c>
      <c r="B246" s="94" t="s">
        <v>23</v>
      </c>
      <c r="C246" s="95">
        <f t="shared" si="28"/>
        <v>576.30841584937059</v>
      </c>
      <c r="D246" s="215">
        <v>0.12020379058832464</v>
      </c>
      <c r="E246" s="215">
        <f t="shared" si="27"/>
        <v>4.254233885189973</v>
      </c>
      <c r="F246" s="216">
        <f t="shared" si="29"/>
        <v>5.0243528234880541</v>
      </c>
      <c r="G246" s="98">
        <f t="shared" si="25"/>
        <v>2.4282331478025689</v>
      </c>
    </row>
    <row r="247" spans="1:7" x14ac:dyDescent="0.25">
      <c r="A247" s="93">
        <f>2013</f>
        <v>2013</v>
      </c>
      <c r="B247" s="94" t="s">
        <v>12</v>
      </c>
      <c r="C247" s="95">
        <f t="shared" si="28"/>
        <v>580.82184739750301</v>
      </c>
      <c r="D247" s="215">
        <v>0.78316252617627313</v>
      </c>
      <c r="E247" s="215">
        <f t="shared" si="27"/>
        <v>5.0707139769309517</v>
      </c>
      <c r="F247" s="216">
        <f t="shared" si="29"/>
        <v>5.0707139769309517</v>
      </c>
      <c r="G247" s="98">
        <f t="shared" si="25"/>
        <v>2.4093639125204938</v>
      </c>
    </row>
    <row r="248" spans="1:7" x14ac:dyDescent="0.25">
      <c r="A248" s="93">
        <f>2014</f>
        <v>2014</v>
      </c>
      <c r="B248" s="94" t="s">
        <v>13</v>
      </c>
      <c r="C248" s="95">
        <f t="shared" si="28"/>
        <v>581.49076314976276</v>
      </c>
      <c r="D248" s="96">
        <v>0.11516711281729375</v>
      </c>
      <c r="E248" s="96">
        <f t="shared" ref="E248:E259" si="30">+((C248/$C$247)-1)*100</f>
        <v>0.11516711281729375</v>
      </c>
      <c r="F248" s="97">
        <f t="shared" si="29"/>
        <v>5.1898182396979076</v>
      </c>
      <c r="G248" s="98">
        <f t="shared" si="25"/>
        <v>2.4065923096401982</v>
      </c>
    </row>
    <row r="249" spans="1:7" x14ac:dyDescent="0.25">
      <c r="A249" s="93">
        <f>2014</f>
        <v>2014</v>
      </c>
      <c r="B249" s="94" t="s">
        <v>14</v>
      </c>
      <c r="C249" s="95">
        <f t="shared" si="28"/>
        <v>587.30003149151048</v>
      </c>
      <c r="D249" s="96">
        <v>0.9990302013192176</v>
      </c>
      <c r="E249" s="96">
        <f t="shared" si="30"/>
        <v>1.1153478683755491</v>
      </c>
      <c r="F249" s="97">
        <f t="shared" si="29"/>
        <v>6.1500732818523529</v>
      </c>
      <c r="G249" s="98">
        <f t="shared" si="25"/>
        <v>2.3827875424577729</v>
      </c>
    </row>
    <row r="250" spans="1:7" x14ac:dyDescent="0.25">
      <c r="A250" s="93">
        <f>2014</f>
        <v>2014</v>
      </c>
      <c r="B250" s="94" t="s">
        <v>15</v>
      </c>
      <c r="C250" s="95">
        <f t="shared" si="28"/>
        <v>598.52561766583062</v>
      </c>
      <c r="D250" s="96">
        <v>1.9113886552690307</v>
      </c>
      <c r="E250" s="96">
        <f t="shared" si="30"/>
        <v>3.0480551562674707</v>
      </c>
      <c r="F250" s="97">
        <f t="shared" si="29"/>
        <v>8.0458463065746333</v>
      </c>
      <c r="G250" s="98">
        <f t="shared" si="25"/>
        <v>2.3380974137423629</v>
      </c>
    </row>
    <row r="251" spans="1:7" x14ac:dyDescent="0.25">
      <c r="A251" s="93">
        <f>2014</f>
        <v>2014</v>
      </c>
      <c r="B251" s="94" t="s">
        <v>16</v>
      </c>
      <c r="C251" s="95">
        <f t="shared" si="28"/>
        <v>600.11541743577538</v>
      </c>
      <c r="D251" s="96">
        <v>0.26561933575119934</v>
      </c>
      <c r="E251" s="96">
        <f t="shared" si="30"/>
        <v>3.3217707158780918</v>
      </c>
      <c r="F251" s="97">
        <f t="shared" si="29"/>
        <v>8.7613845992150061</v>
      </c>
      <c r="G251" s="98">
        <f t="shared" si="25"/>
        <v>2.3319034273482808</v>
      </c>
    </row>
    <row r="252" spans="1:7" x14ac:dyDescent="0.25">
      <c r="A252" s="93">
        <f>2014</f>
        <v>2014</v>
      </c>
      <c r="B252" s="94" t="s">
        <v>17</v>
      </c>
      <c r="C252" s="95">
        <f t="shared" si="28"/>
        <v>592.84633295307231</v>
      </c>
      <c r="D252" s="96">
        <v>-1.2112810755242842</v>
      </c>
      <c r="E252" s="96">
        <f t="shared" si="30"/>
        <v>2.0702536603000699</v>
      </c>
      <c r="F252" s="97">
        <f t="shared" si="29"/>
        <v>7.4344390468408017</v>
      </c>
      <c r="G252" s="98">
        <f t="shared" si="25"/>
        <v>2.3604956646224236</v>
      </c>
    </row>
    <row r="253" spans="1:7" x14ac:dyDescent="0.25">
      <c r="A253" s="93">
        <f>2014</f>
        <v>2014</v>
      </c>
      <c r="B253" s="94" t="s">
        <v>18</v>
      </c>
      <c r="C253" s="95">
        <f t="shared" si="28"/>
        <v>585.70123285494333</v>
      </c>
      <c r="D253" s="96">
        <v>-1.2052195823727074</v>
      </c>
      <c r="E253" s="96">
        <f t="shared" si="30"/>
        <v>0.8400829754086292</v>
      </c>
      <c r="F253" s="97">
        <f t="shared" si="29"/>
        <v>5.2437256215986938</v>
      </c>
      <c r="G253" s="98">
        <f t="shared" si="25"/>
        <v>2.3892918782187569</v>
      </c>
    </row>
    <row r="254" spans="1:7" x14ac:dyDescent="0.25">
      <c r="A254" s="93">
        <f>2014</f>
        <v>2014</v>
      </c>
      <c r="B254" s="94" t="s">
        <v>19</v>
      </c>
      <c r="C254" s="95">
        <f t="shared" si="28"/>
        <v>579.76498050641396</v>
      </c>
      <c r="D254" s="96">
        <v>-1.0135290853996892</v>
      </c>
      <c r="E254" s="96">
        <f t="shared" si="30"/>
        <v>-0.18196059528831077</v>
      </c>
      <c r="F254" s="97">
        <f t="shared" si="29"/>
        <v>3.9717548163130667</v>
      </c>
      <c r="G254" s="98">
        <f t="shared" si="25"/>
        <v>2.4137559973019918</v>
      </c>
    </row>
    <row r="255" spans="1:7" x14ac:dyDescent="0.25">
      <c r="A255" s="93">
        <f>2014</f>
        <v>2014</v>
      </c>
      <c r="B255" s="94" t="s">
        <v>20</v>
      </c>
      <c r="C255" s="95">
        <f t="shared" si="28"/>
        <v>579.99595141638702</v>
      </c>
      <c r="D255" s="96">
        <v>3.9838713571715978E-2</v>
      </c>
      <c r="E255" s="96">
        <f t="shared" si="30"/>
        <v>-0.14219437247696698</v>
      </c>
      <c r="F255" s="97">
        <f t="shared" si="29"/>
        <v>3.4085095079944949</v>
      </c>
      <c r="G255" s="98">
        <f t="shared" si="25"/>
        <v>2.4127947709041377</v>
      </c>
    </row>
    <row r="256" spans="1:7" x14ac:dyDescent="0.25">
      <c r="A256" s="93">
        <f>2014</f>
        <v>2014</v>
      </c>
      <c r="B256" s="94" t="s">
        <v>21</v>
      </c>
      <c r="C256" s="95">
        <f t="shared" si="28"/>
        <v>578.93708477715973</v>
      </c>
      <c r="D256" s="96">
        <v>-0.18256448801780012</v>
      </c>
      <c r="E256" s="96">
        <f t="shared" si="30"/>
        <v>-0.32449926406665774</v>
      </c>
      <c r="F256" s="97">
        <f t="shared" si="29"/>
        <v>1.2947661775794428</v>
      </c>
      <c r="G256" s="98">
        <f t="shared" si="25"/>
        <v>2.4172077338277269</v>
      </c>
    </row>
    <row r="257" spans="1:7" x14ac:dyDescent="0.25">
      <c r="A257" s="93">
        <f>2014</f>
        <v>2014</v>
      </c>
      <c r="B257" s="94" t="s">
        <v>22</v>
      </c>
      <c r="C257" s="95">
        <f t="shared" si="28"/>
        <v>583.15655334896269</v>
      </c>
      <c r="D257" s="96">
        <v>0.72883024472807367</v>
      </c>
      <c r="E257" s="96">
        <f t="shared" si="30"/>
        <v>0.40196593188097651</v>
      </c>
      <c r="F257" s="97">
        <f t="shared" si="29"/>
        <v>1.3099086485932832</v>
      </c>
      <c r="G257" s="98">
        <f t="shared" si="25"/>
        <v>2.399717864244967</v>
      </c>
    </row>
    <row r="258" spans="1:7" x14ac:dyDescent="0.25">
      <c r="A258" s="93">
        <f>2014</f>
        <v>2014</v>
      </c>
      <c r="B258" s="94" t="s">
        <v>23</v>
      </c>
      <c r="C258" s="95">
        <f t="shared" si="28"/>
        <v>591.57949250746219</v>
      </c>
      <c r="D258" s="96">
        <v>1.4443701455686409</v>
      </c>
      <c r="E258" s="96">
        <f t="shared" si="30"/>
        <v>1.8521419533650718</v>
      </c>
      <c r="F258" s="97">
        <f t="shared" si="29"/>
        <v>2.6498097612516869</v>
      </c>
      <c r="G258" s="98">
        <f t="shared" si="25"/>
        <v>2.3655505582039371</v>
      </c>
    </row>
    <row r="259" spans="1:7" x14ac:dyDescent="0.25">
      <c r="A259" s="93">
        <f>2014</f>
        <v>2014</v>
      </c>
      <c r="B259" s="94" t="s">
        <v>12</v>
      </c>
      <c r="C259" s="95">
        <f t="shared" si="28"/>
        <v>593.33327162474723</v>
      </c>
      <c r="D259" s="96">
        <v>0.29645705091152497</v>
      </c>
      <c r="E259" s="96">
        <f t="shared" si="30"/>
        <v>2.1540898096902517</v>
      </c>
      <c r="F259" s="97">
        <f t="shared" si="29"/>
        <v>2.1540898096902517</v>
      </c>
      <c r="G259" s="98">
        <f t="shared" si="25"/>
        <v>2.3585584453927009</v>
      </c>
    </row>
    <row r="260" spans="1:7" x14ac:dyDescent="0.25">
      <c r="A260" s="93">
        <f>2015</f>
        <v>2015</v>
      </c>
      <c r="B260" s="94" t="s">
        <v>13</v>
      </c>
      <c r="C260" s="95">
        <f t="shared" si="28"/>
        <v>594.66910338112848</v>
      </c>
      <c r="D260" s="96">
        <v>0.22514020707506965</v>
      </c>
      <c r="E260" s="96">
        <f t="shared" ref="E260:E271" si="31">+((C260/$C$259)-1)*100</f>
        <v>0.22514020707506965</v>
      </c>
      <c r="F260" s="97">
        <f t="shared" si="29"/>
        <v>2.2663025909444467</v>
      </c>
      <c r="G260" s="98">
        <f t="shared" si="25"/>
        <v>2.3532603102571725</v>
      </c>
    </row>
    <row r="261" spans="1:7" x14ac:dyDescent="0.25">
      <c r="A261" s="93">
        <f>2015</f>
        <v>2015</v>
      </c>
      <c r="B261" s="94" t="s">
        <v>14</v>
      </c>
      <c r="C261" s="95">
        <f t="shared" si="28"/>
        <v>597.09279812474233</v>
      </c>
      <c r="D261" s="96">
        <v>0.40757031596787563</v>
      </c>
      <c r="E261" s="96">
        <f t="shared" si="31"/>
        <v>0.63362812769629517</v>
      </c>
      <c r="F261" s="97">
        <f t="shared" si="29"/>
        <v>1.6674214384702291</v>
      </c>
      <c r="G261" s="98">
        <f t="shared" si="25"/>
        <v>2.3437080519444975</v>
      </c>
    </row>
    <row r="262" spans="1:7" x14ac:dyDescent="0.25">
      <c r="A262" s="93">
        <f>2015</f>
        <v>2015</v>
      </c>
      <c r="B262" s="94" t="s">
        <v>15</v>
      </c>
      <c r="C262" s="95">
        <f t="shared" si="28"/>
        <v>604.48286736981231</v>
      </c>
      <c r="D262" s="96">
        <v>1.2376751600889468</v>
      </c>
      <c r="E262" s="96">
        <f t="shared" si="31"/>
        <v>1.8791455457290773</v>
      </c>
      <c r="F262" s="97">
        <f t="shared" si="29"/>
        <v>0.99532075622996707</v>
      </c>
      <c r="G262" s="98">
        <f t="shared" si="25"/>
        <v>2.3150551889287758</v>
      </c>
    </row>
    <row r="263" spans="1:7" x14ac:dyDescent="0.25">
      <c r="A263" s="93">
        <f>2015</f>
        <v>2015</v>
      </c>
      <c r="B263" s="94" t="s">
        <v>16</v>
      </c>
      <c r="C263" s="95">
        <f t="shared" si="28"/>
        <v>611.21501947738329</v>
      </c>
      <c r="D263" s="96">
        <v>1.1137043696314299</v>
      </c>
      <c r="E263" s="96">
        <f t="shared" si="31"/>
        <v>3.0137780414150273</v>
      </c>
      <c r="F263" s="97">
        <f t="shared" si="29"/>
        <v>1.8495778843735211</v>
      </c>
      <c r="G263" s="98">
        <f t="shared" si="25"/>
        <v>2.289556300366423</v>
      </c>
    </row>
    <row r="264" spans="1:7" x14ac:dyDescent="0.25">
      <c r="A264" s="93">
        <f>2015</f>
        <v>2015</v>
      </c>
      <c r="B264" s="94" t="s">
        <v>17</v>
      </c>
      <c r="C264" s="95">
        <f t="shared" si="28"/>
        <v>612.35587579028072</v>
      </c>
      <c r="D264" s="96">
        <v>0.186653841372042</v>
      </c>
      <c r="E264" s="96">
        <f t="shared" si="31"/>
        <v>3.206057215271807</v>
      </c>
      <c r="F264" s="97">
        <f t="shared" si="29"/>
        <v>3.2908262652191711</v>
      </c>
      <c r="G264" s="98">
        <f t="shared" si="25"/>
        <v>2.2852907174557733</v>
      </c>
    </row>
    <row r="265" spans="1:7" x14ac:dyDescent="0.25">
      <c r="A265" s="93">
        <f>2015</f>
        <v>2015</v>
      </c>
      <c r="B265" s="94" t="s">
        <v>18</v>
      </c>
      <c r="C265" s="95">
        <f t="shared" si="28"/>
        <v>615.00554207352195</v>
      </c>
      <c r="D265" s="96">
        <v>0.43270039334915023</v>
      </c>
      <c r="E265" s="96">
        <f t="shared" si="31"/>
        <v>3.652630230802445</v>
      </c>
      <c r="F265" s="97">
        <f t="shared" si="29"/>
        <v>5.0032862447185966</v>
      </c>
      <c r="G265" s="98">
        <f t="shared" si="25"/>
        <v>2.2754448586021585</v>
      </c>
    </row>
    <row r="266" spans="1:7" x14ac:dyDescent="0.25">
      <c r="A266" s="93">
        <f>2015</f>
        <v>2015</v>
      </c>
      <c r="B266" s="94" t="s">
        <v>19</v>
      </c>
      <c r="C266" s="95">
        <f t="shared" si="28"/>
        <v>618.76206895130963</v>
      </c>
      <c r="D266" s="96">
        <v>0.61081187416984761</v>
      </c>
      <c r="E266" s="96">
        <f t="shared" si="31"/>
        <v>4.2857528041415405</v>
      </c>
      <c r="F266" s="97">
        <f t="shared" si="29"/>
        <v>6.7263615009710342</v>
      </c>
      <c r="G266" s="98">
        <f t="shared" si="25"/>
        <v>2.2616305506489418</v>
      </c>
    </row>
    <row r="267" spans="1:7" x14ac:dyDescent="0.25">
      <c r="A267" s="93">
        <f>2015</f>
        <v>2015</v>
      </c>
      <c r="B267" s="94" t="s">
        <v>20</v>
      </c>
      <c r="C267" s="95">
        <f t="shared" si="28"/>
        <v>621.47672704904528</v>
      </c>
      <c r="D267" s="96">
        <v>0.43872406437850398</v>
      </c>
      <c r="E267" s="96">
        <f t="shared" si="31"/>
        <v>4.7432794974115788</v>
      </c>
      <c r="F267" s="97">
        <f t="shared" si="29"/>
        <v>7.1519077902801875</v>
      </c>
      <c r="G267" s="98">
        <f t="shared" si="25"/>
        <v>2.2517515746210575</v>
      </c>
    </row>
    <row r="268" spans="1:7" x14ac:dyDescent="0.25">
      <c r="A268" s="93">
        <f>2015</f>
        <v>2015</v>
      </c>
      <c r="B268" s="94" t="s">
        <v>21</v>
      </c>
      <c r="C268" s="95">
        <f t="shared" si="28"/>
        <v>634.03314560940112</v>
      </c>
      <c r="D268" s="96">
        <v>2.0204165359461568</v>
      </c>
      <c r="E268" s="96">
        <f t="shared" si="31"/>
        <v>6.8595300366695922</v>
      </c>
      <c r="F268" s="97">
        <f t="shared" si="29"/>
        <v>9.5167613685429373</v>
      </c>
      <c r="G268" s="98">
        <f t="shared" si="25"/>
        <v>2.2071577935850413</v>
      </c>
    </row>
    <row r="269" spans="1:7" x14ac:dyDescent="0.25">
      <c r="A269" s="93">
        <f>2015</f>
        <v>2015</v>
      </c>
      <c r="B269" s="94" t="s">
        <v>22</v>
      </c>
      <c r="C269" s="95">
        <f t="shared" si="28"/>
        <v>649.09824820924814</v>
      </c>
      <c r="D269" s="96">
        <v>2.3760749267086378</v>
      </c>
      <c r="E269" s="96">
        <f t="shared" si="31"/>
        <v>9.39859253666957</v>
      </c>
      <c r="F269" s="97">
        <f t="shared" si="29"/>
        <v>11.307717367076521</v>
      </c>
      <c r="G269" s="98">
        <f t="shared" si="25"/>
        <v>2.1559312516768716</v>
      </c>
    </row>
    <row r="270" spans="1:7" x14ac:dyDescent="0.25">
      <c r="A270" s="93">
        <f>2015</f>
        <v>2015</v>
      </c>
      <c r="B270" s="94" t="s">
        <v>23</v>
      </c>
      <c r="C270" s="95">
        <f t="shared" si="28"/>
        <v>658.24509619381058</v>
      </c>
      <c r="D270" s="96">
        <v>1.4091623278597698</v>
      </c>
      <c r="E270" s="96">
        <f t="shared" si="31"/>
        <v>10.940196289905145</v>
      </c>
      <c r="F270" s="97">
        <f t="shared" si="29"/>
        <v>11.269086324101663</v>
      </c>
      <c r="G270" s="98">
        <f t="shared" si="25"/>
        <v>2.1259728432689955</v>
      </c>
    </row>
    <row r="271" spans="1:7" x14ac:dyDescent="0.25">
      <c r="A271" s="93">
        <f>2015</f>
        <v>2015</v>
      </c>
      <c r="B271" s="94" t="s">
        <v>12</v>
      </c>
      <c r="C271" s="95">
        <f t="shared" si="28"/>
        <v>660.44281939779705</v>
      </c>
      <c r="D271" s="96">
        <v>0.33387612254074384</v>
      </c>
      <c r="E271" s="96">
        <f t="shared" si="31"/>
        <v>11.310599115616959</v>
      </c>
      <c r="F271" s="97">
        <f t="shared" si="29"/>
        <v>11.310599115616959</v>
      </c>
      <c r="G271" s="98">
        <f t="shared" si="25"/>
        <v>2.1188983476253642</v>
      </c>
    </row>
    <row r="272" spans="1:7" x14ac:dyDescent="0.25">
      <c r="A272" s="93">
        <f>2016</f>
        <v>2016</v>
      </c>
      <c r="B272" s="94" t="s">
        <v>13</v>
      </c>
      <c r="C272" s="95">
        <f t="shared" si="28"/>
        <v>671.17746740416578</v>
      </c>
      <c r="D272" s="96">
        <v>1.6253712949982235</v>
      </c>
      <c r="E272" s="96">
        <f t="shared" ref="E272:E283" si="32">+((C272/$C$271)-1)*100</f>
        <v>1.6253712949982235</v>
      </c>
      <c r="F272" s="97">
        <f t="shared" si="29"/>
        <v>12.865703563213792</v>
      </c>
      <c r="G272" s="98">
        <f t="shared" si="25"/>
        <v>2.0850092064850854</v>
      </c>
    </row>
    <row r="273" spans="1:7" x14ac:dyDescent="0.25">
      <c r="A273" s="93">
        <f>2016</f>
        <v>2016</v>
      </c>
      <c r="B273" s="94" t="s">
        <v>14</v>
      </c>
      <c r="C273" s="95">
        <f t="shared" si="28"/>
        <v>676.81475740602002</v>
      </c>
      <c r="D273" s="96">
        <v>0.83991049694456255</v>
      </c>
      <c r="E273" s="96">
        <f t="shared" si="32"/>
        <v>2.4789334560638032</v>
      </c>
      <c r="F273" s="97">
        <f t="shared" si="29"/>
        <v>13.351686627548709</v>
      </c>
      <c r="G273" s="98">
        <f t="shared" si="25"/>
        <v>2.0676428570890697</v>
      </c>
    </row>
    <row r="274" spans="1:7" x14ac:dyDescent="0.25">
      <c r="A274" s="93">
        <f>2016</f>
        <v>2016</v>
      </c>
      <c r="B274" s="94" t="s">
        <v>15</v>
      </c>
      <c r="C274" s="95">
        <f t="shared" si="28"/>
        <v>679.34343892689435</v>
      </c>
      <c r="D274" s="96">
        <v>0.37361500960260141</v>
      </c>
      <c r="E274" s="96">
        <f t="shared" si="32"/>
        <v>2.8618101331363111</v>
      </c>
      <c r="F274" s="97">
        <f t="shared" si="29"/>
        <v>12.384233796866839</v>
      </c>
      <c r="G274" s="98">
        <f t="shared" si="25"/>
        <v>2.0599465874485654</v>
      </c>
    </row>
    <row r="275" spans="1:7" x14ac:dyDescent="0.25">
      <c r="A275" s="93">
        <f>2016</f>
        <v>2016</v>
      </c>
      <c r="B275" s="94" t="s">
        <v>16</v>
      </c>
      <c r="C275" s="95">
        <f t="shared" si="28"/>
        <v>681.30419197649292</v>
      </c>
      <c r="D275" s="96">
        <v>0.28862471281032587</v>
      </c>
      <c r="E275" s="96">
        <f t="shared" si="32"/>
        <v>3.1586947372245877</v>
      </c>
      <c r="F275" s="97">
        <f t="shared" si="29"/>
        <v>11.467187530672774</v>
      </c>
      <c r="G275" s="98">
        <f t="shared" si="25"/>
        <v>2.0540181833657543</v>
      </c>
    </row>
    <row r="276" spans="1:7" x14ac:dyDescent="0.25">
      <c r="A276" s="93">
        <f>2016</f>
        <v>2016</v>
      </c>
      <c r="B276" s="94" t="s">
        <v>17</v>
      </c>
      <c r="C276" s="95">
        <f t="shared" si="28"/>
        <v>691.44891428206449</v>
      </c>
      <c r="D276" s="96">
        <v>1.489015101483715</v>
      </c>
      <c r="E276" s="96">
        <f t="shared" si="32"/>
        <v>4.6947432803553513</v>
      </c>
      <c r="F276" s="97">
        <f t="shared" si="29"/>
        <v>12.916188383055793</v>
      </c>
      <c r="G276" s="98">
        <f t="shared" si="25"/>
        <v>2.023882270718504</v>
      </c>
    </row>
    <row r="277" spans="1:7" x14ac:dyDescent="0.25">
      <c r="A277" s="93">
        <f>2016</f>
        <v>2016</v>
      </c>
      <c r="B277" s="94" t="s">
        <v>18</v>
      </c>
      <c r="C277" s="95">
        <f t="shared" si="28"/>
        <v>705.96934148198784</v>
      </c>
      <c r="D277" s="96">
        <v>2.1</v>
      </c>
      <c r="E277" s="96">
        <f t="shared" si="32"/>
        <v>6.8933328892428092</v>
      </c>
      <c r="F277" s="97">
        <f t="shared" si="29"/>
        <v>14.790728405759879</v>
      </c>
      <c r="G277" s="98">
        <f t="shared" si="25"/>
        <v>1.9822549174520119</v>
      </c>
    </row>
    <row r="278" spans="1:7" x14ac:dyDescent="0.25">
      <c r="A278" s="93">
        <f>2016</f>
        <v>2016</v>
      </c>
      <c r="B278" s="94" t="s">
        <v>19</v>
      </c>
      <c r="C278" s="95">
        <f t="shared" si="28"/>
        <v>700.27005722142098</v>
      </c>
      <c r="D278" s="96">
        <v>-0.80729911706970414</v>
      </c>
      <c r="E278" s="96">
        <f t="shared" si="32"/>
        <v>6.0303839566215656</v>
      </c>
      <c r="F278" s="97">
        <f t="shared" si="29"/>
        <v>13.17275126580606</v>
      </c>
      <c r="G278" s="98">
        <f t="shared" si="25"/>
        <v>1.9983878852048989</v>
      </c>
    </row>
    <row r="279" spans="1:7" x14ac:dyDescent="0.25">
      <c r="A279" s="93">
        <f>2016</f>
        <v>2016</v>
      </c>
      <c r="B279" s="94" t="s">
        <v>20</v>
      </c>
      <c r="C279" s="95">
        <f t="shared" si="28"/>
        <v>703.76761798343205</v>
      </c>
      <c r="D279" s="96">
        <v>0.4994588481890716</v>
      </c>
      <c r="E279" s="96">
        <f t="shared" si="32"/>
        <v>6.5599620910617551</v>
      </c>
      <c r="F279" s="97">
        <f t="shared" si="29"/>
        <v>13.241186250871873</v>
      </c>
      <c r="G279" s="98">
        <f t="shared" ref="G279:G342" si="33">+$C$383/C279</f>
        <v>1.9884563639527582</v>
      </c>
    </row>
    <row r="280" spans="1:7" x14ac:dyDescent="0.25">
      <c r="A280" s="93">
        <f>2016</f>
        <v>2016</v>
      </c>
      <c r="B280" s="94" t="s">
        <v>21</v>
      </c>
      <c r="C280" s="95">
        <f t="shared" si="28"/>
        <v>703.55764435277956</v>
      </c>
      <c r="D280" s="96">
        <v>-2.9835648200771114E-2</v>
      </c>
      <c r="E280" s="96">
        <f t="shared" si="32"/>
        <v>6.5281692356494059</v>
      </c>
      <c r="F280" s="97">
        <f t="shared" si="29"/>
        <v>10.965435990977257</v>
      </c>
      <c r="G280" s="98">
        <f t="shared" si="33"/>
        <v>1.989049809856565</v>
      </c>
    </row>
    <row r="281" spans="1:7" x14ac:dyDescent="0.25">
      <c r="A281" s="93">
        <f>2016</f>
        <v>2016</v>
      </c>
      <c r="B281" s="94" t="s">
        <v>22</v>
      </c>
      <c r="C281" s="95">
        <f t="shared" si="28"/>
        <v>703.84760793796636</v>
      </c>
      <c r="D281" s="96">
        <v>4.121390585607454E-2</v>
      </c>
      <c r="E281" s="96">
        <f t="shared" si="32"/>
        <v>6.5720736550283876</v>
      </c>
      <c r="F281" s="97">
        <f t="shared" si="29"/>
        <v>8.4346799394024572</v>
      </c>
      <c r="G281" s="98">
        <f t="shared" si="33"/>
        <v>1.9882303824585366</v>
      </c>
    </row>
    <row r="282" spans="1:7" x14ac:dyDescent="0.25">
      <c r="A282" s="93">
        <f>2016</f>
        <v>2016</v>
      </c>
      <c r="B282" s="94" t="s">
        <v>23</v>
      </c>
      <c r="C282" s="95">
        <f t="shared" si="28"/>
        <v>703.80061383967745</v>
      </c>
      <c r="D282" s="96">
        <v>-6.6767433403058796E-3</v>
      </c>
      <c r="E282" s="96">
        <f t="shared" si="32"/>
        <v>6.5649581111979938</v>
      </c>
      <c r="F282" s="97">
        <f t="shared" si="29"/>
        <v>6.9207530613268231</v>
      </c>
      <c r="G282" s="98">
        <f t="shared" si="33"/>
        <v>1.9883631403620918</v>
      </c>
    </row>
    <row r="283" spans="1:7" x14ac:dyDescent="0.25">
      <c r="A283" s="93">
        <f>2016</f>
        <v>2016</v>
      </c>
      <c r="B283" s="94" t="s">
        <v>12</v>
      </c>
      <c r="C283" s="95">
        <f t="shared" si="28"/>
        <v>711.51664482893966</v>
      </c>
      <c r="D283" s="96">
        <v>1.0963376327801644</v>
      </c>
      <c r="E283" s="96">
        <f t="shared" si="32"/>
        <v>7.7332698503274733</v>
      </c>
      <c r="F283" s="97">
        <f t="shared" si="29"/>
        <v>7.7332698503274733</v>
      </c>
      <c r="G283" s="98">
        <f t="shared" si="33"/>
        <v>1.9668003677685861</v>
      </c>
    </row>
    <row r="284" spans="1:7" x14ac:dyDescent="0.25">
      <c r="A284" s="93">
        <f>2017</f>
        <v>2017</v>
      </c>
      <c r="B284" s="94" t="s">
        <v>13</v>
      </c>
      <c r="C284" s="95">
        <f t="shared" si="28"/>
        <v>713.93034170701128</v>
      </c>
      <c r="D284" s="96">
        <v>0.33923266526700857</v>
      </c>
      <c r="E284" s="96">
        <f t="shared" ref="E284:E295" si="34">+((C284/$C$283)-1)*100</f>
        <v>0.33923266526700857</v>
      </c>
      <c r="F284" s="97">
        <f t="shared" si="29"/>
        <v>6.3698315839171071</v>
      </c>
      <c r="G284" s="98">
        <f t="shared" si="33"/>
        <v>1.9601508956420444</v>
      </c>
    </row>
    <row r="285" spans="1:7" x14ac:dyDescent="0.25">
      <c r="A285" s="93">
        <f>2017</f>
        <v>2017</v>
      </c>
      <c r="B285" s="94" t="s">
        <v>14</v>
      </c>
      <c r="C285" s="95">
        <f t="shared" si="28"/>
        <v>713.0464527094075</v>
      </c>
      <c r="D285" s="96">
        <v>-0.12380605585278204</v>
      </c>
      <c r="E285" s="96">
        <f t="shared" si="34"/>
        <v>0.21500661883118166</v>
      </c>
      <c r="F285" s="97">
        <f t="shared" si="29"/>
        <v>5.353266149551783</v>
      </c>
      <c r="G285" s="98">
        <f t="shared" si="33"/>
        <v>1.9625806893865023</v>
      </c>
    </row>
    <row r="286" spans="1:7" x14ac:dyDescent="0.25">
      <c r="A286" s="93">
        <f>2017</f>
        <v>2017</v>
      </c>
      <c r="B286" s="94" t="s">
        <v>15</v>
      </c>
      <c r="C286" s="95">
        <f t="shared" si="28"/>
        <v>707.46515363177866</v>
      </c>
      <c r="D286" s="96">
        <v>-0.78273989814005018</v>
      </c>
      <c r="E286" s="96">
        <f t="shared" si="34"/>
        <v>-0.56941622189808916</v>
      </c>
      <c r="F286" s="97">
        <f t="shared" si="29"/>
        <v>4.1395431373129954</v>
      </c>
      <c r="G286" s="98">
        <f t="shared" si="33"/>
        <v>1.9780637838332236</v>
      </c>
    </row>
    <row r="287" spans="1:7" x14ac:dyDescent="0.25">
      <c r="A287" s="93">
        <f>2017</f>
        <v>2017</v>
      </c>
      <c r="B287" s="94" t="s">
        <v>16</v>
      </c>
      <c r="C287" s="95">
        <f t="shared" si="28"/>
        <v>693.60189463655763</v>
      </c>
      <c r="D287" s="96">
        <v>-1.9595677503059905</v>
      </c>
      <c r="E287" s="96">
        <f t="shared" si="34"/>
        <v>-2.5178258755547467</v>
      </c>
      <c r="F287" s="97">
        <f t="shared" si="29"/>
        <v>1.8050237771748634</v>
      </c>
      <c r="G287" s="98">
        <f t="shared" si="33"/>
        <v>2.0176000232183768</v>
      </c>
    </row>
    <row r="288" spans="1:7" x14ac:dyDescent="0.25">
      <c r="A288" s="93">
        <f>2017</f>
        <v>2017</v>
      </c>
      <c r="B288" s="94" t="s">
        <v>17</v>
      </c>
      <c r="C288" s="95">
        <f t="shared" si="28"/>
        <v>685.95785460637626</v>
      </c>
      <c r="D288" s="96">
        <v>-1.1020788854947949</v>
      </c>
      <c r="E288" s="96">
        <f t="shared" si="34"/>
        <v>-3.592156333701535</v>
      </c>
      <c r="F288" s="97">
        <f t="shared" si="29"/>
        <v>-0.79413815862153792</v>
      </c>
      <c r="G288" s="98">
        <f t="shared" si="33"/>
        <v>2.0400833510770924</v>
      </c>
    </row>
    <row r="289" spans="1:7" x14ac:dyDescent="0.25">
      <c r="A289" s="93">
        <f>2017</f>
        <v>2017</v>
      </c>
      <c r="B289" s="94" t="s">
        <v>18</v>
      </c>
      <c r="C289" s="95">
        <f t="shared" si="28"/>
        <v>675.43517608739273</v>
      </c>
      <c r="D289" s="96">
        <v>-1.5340123957063967</v>
      </c>
      <c r="E289" s="96">
        <f t="shared" si="34"/>
        <v>-5.0710646059758062</v>
      </c>
      <c r="F289" s="97">
        <f t="shared" si="29"/>
        <v>-4.3251404275569616</v>
      </c>
      <c r="G289" s="98">
        <f t="shared" si="33"/>
        <v>2.0718660328433396</v>
      </c>
    </row>
    <row r="290" spans="1:7" x14ac:dyDescent="0.25">
      <c r="A290" s="93">
        <f>2017</f>
        <v>2017</v>
      </c>
      <c r="B290" s="94" t="s">
        <v>19</v>
      </c>
      <c r="C290" s="95">
        <f t="shared" si="28"/>
        <v>670.92874202381824</v>
      </c>
      <c r="D290" s="96">
        <v>-0.6671897205115962</v>
      </c>
      <c r="E290" s="96">
        <f t="shared" si="34"/>
        <v>-5.7044207047158295</v>
      </c>
      <c r="F290" s="97">
        <f t="shared" si="29"/>
        <v>-4.1899999714431928</v>
      </c>
      <c r="G290" s="98">
        <f t="shared" si="33"/>
        <v>2.0857821569870221</v>
      </c>
    </row>
    <row r="291" spans="1:7" x14ac:dyDescent="0.25">
      <c r="A291" s="93">
        <f>2017</f>
        <v>2017</v>
      </c>
      <c r="B291" s="94" t="s">
        <v>20</v>
      </c>
      <c r="C291" s="95">
        <f t="shared" si="28"/>
        <v>672.67052328380203</v>
      </c>
      <c r="D291" s="96">
        <v>0.25960748897562169</v>
      </c>
      <c r="E291" s="96">
        <f t="shared" si="34"/>
        <v>-5.4596223190923165</v>
      </c>
      <c r="F291" s="97">
        <f t="shared" si="29"/>
        <v>-4.4186594985338061</v>
      </c>
      <c r="G291" s="98">
        <f t="shared" si="33"/>
        <v>2.0803813312518415</v>
      </c>
    </row>
    <row r="292" spans="1:7" x14ac:dyDescent="0.25">
      <c r="A292" s="93">
        <f>2017</f>
        <v>2017</v>
      </c>
      <c r="B292" s="94" t="s">
        <v>21</v>
      </c>
      <c r="C292" s="95">
        <f t="shared" si="28"/>
        <v>679.22070068572737</v>
      </c>
      <c r="D292" s="96">
        <v>0.97375716271155266</v>
      </c>
      <c r="E292" s="96">
        <f t="shared" si="34"/>
        <v>-4.5390286197699243</v>
      </c>
      <c r="F292" s="97">
        <f t="shared" si="29"/>
        <v>-3.4591257535749431</v>
      </c>
      <c r="G292" s="98">
        <f t="shared" si="33"/>
        <v>2.06031882907899</v>
      </c>
    </row>
    <row r="293" spans="1:7" x14ac:dyDescent="0.25">
      <c r="A293" s="93">
        <f>2017</f>
        <v>2017</v>
      </c>
      <c r="B293" s="94" t="s">
        <v>22</v>
      </c>
      <c r="C293" s="95">
        <f t="shared" si="28"/>
        <v>679.0167263016649</v>
      </c>
      <c r="D293" s="96">
        <v>-3.0030648927004133E-2</v>
      </c>
      <c r="E293" s="96">
        <f t="shared" si="34"/>
        <v>-4.5676961689474327</v>
      </c>
      <c r="F293" s="97">
        <f t="shared" si="29"/>
        <v>-3.5278775343213109</v>
      </c>
      <c r="G293" s="98">
        <f t="shared" si="33"/>
        <v>2.060937742056911</v>
      </c>
    </row>
    <row r="294" spans="1:7" x14ac:dyDescent="0.25">
      <c r="A294" s="93">
        <f>2017</f>
        <v>2017</v>
      </c>
      <c r="B294" s="94" t="s">
        <v>23</v>
      </c>
      <c r="C294" s="95">
        <f t="shared" si="28"/>
        <v>686.24681831713144</v>
      </c>
      <c r="D294" s="96">
        <v>1.0647885001074942</v>
      </c>
      <c r="E294" s="96">
        <f t="shared" si="34"/>
        <v>-3.551543972366733</v>
      </c>
      <c r="F294" s="97">
        <f t="shared" si="29"/>
        <v>-2.4941432527003538</v>
      </c>
      <c r="G294" s="98">
        <f t="shared" si="33"/>
        <v>2.0392243160482337</v>
      </c>
    </row>
    <row r="295" spans="1:7" x14ac:dyDescent="0.25">
      <c r="A295" s="93">
        <f>2017</f>
        <v>2017</v>
      </c>
      <c r="B295" s="94" t="s">
        <v>12</v>
      </c>
      <c r="C295" s="95">
        <f t="shared" si="28"/>
        <v>693.56889878031234</v>
      </c>
      <c r="D295" s="96">
        <v>1.0669747775496674</v>
      </c>
      <c r="E295" s="96">
        <f t="shared" si="34"/>
        <v>-2.5224632732158025</v>
      </c>
      <c r="F295" s="97">
        <f t="shared" si="29"/>
        <v>-2.5224632732158025</v>
      </c>
      <c r="G295" s="98">
        <f t="shared" si="33"/>
        <v>2.0176960085493856</v>
      </c>
    </row>
    <row r="296" spans="1:7" x14ac:dyDescent="0.25">
      <c r="A296" s="93">
        <f>2018</f>
        <v>2018</v>
      </c>
      <c r="B296" s="94" t="s">
        <v>13</v>
      </c>
      <c r="C296" s="95">
        <f t="shared" si="28"/>
        <v>697.58939387009127</v>
      </c>
      <c r="D296" s="96">
        <v>0.57968214792347705</v>
      </c>
      <c r="E296" s="96">
        <f t="shared" ref="E296:E307" si="35">+((C296/$C$295)-1)*100</f>
        <v>0.57968214792347705</v>
      </c>
      <c r="F296" s="97">
        <f t="shared" si="29"/>
        <v>-2.2888714601831728</v>
      </c>
      <c r="G296" s="98">
        <f t="shared" si="33"/>
        <v>2.0060671951437876</v>
      </c>
    </row>
    <row r="297" spans="1:7" x14ac:dyDescent="0.25">
      <c r="A297" s="93">
        <f>2018</f>
        <v>2018</v>
      </c>
      <c r="B297" s="94" t="s">
        <v>14</v>
      </c>
      <c r="C297" s="95">
        <f t="shared" si="28"/>
        <v>698.65725976312376</v>
      </c>
      <c r="D297" s="96">
        <v>0.15307943360609588</v>
      </c>
      <c r="E297" s="96">
        <f t="shared" si="35"/>
        <v>0.73364895567833432</v>
      </c>
      <c r="F297" s="97">
        <f t="shared" si="29"/>
        <v>-2.0179881537322308</v>
      </c>
      <c r="G297" s="98">
        <f t="shared" si="33"/>
        <v>2.0030010125386695</v>
      </c>
    </row>
    <row r="298" spans="1:7" x14ac:dyDescent="0.25">
      <c r="A298" s="93">
        <f>2018</f>
        <v>2018</v>
      </c>
      <c r="B298" s="94" t="s">
        <v>15</v>
      </c>
      <c r="C298" s="95">
        <f t="shared" si="28"/>
        <v>704.04258345214362</v>
      </c>
      <c r="D298" s="96">
        <v>0.77081052458336519</v>
      </c>
      <c r="E298" s="96">
        <f t="shared" si="35"/>
        <v>1.5101145236255498</v>
      </c>
      <c r="F298" s="97">
        <f t="shared" si="29"/>
        <v>-0.48377932991685579</v>
      </c>
      <c r="G298" s="98">
        <f t="shared" si="33"/>
        <v>1.9876797676942679</v>
      </c>
    </row>
    <row r="299" spans="1:7" x14ac:dyDescent="0.25">
      <c r="A299" s="93">
        <f>2018</f>
        <v>2018</v>
      </c>
      <c r="B299" s="94" t="s">
        <v>16</v>
      </c>
      <c r="C299" s="95">
        <f t="shared" si="28"/>
        <v>712.94646526623967</v>
      </c>
      <c r="D299" s="96">
        <v>1.2646794417515927</v>
      </c>
      <c r="E299" s="96">
        <f t="shared" si="35"/>
        <v>2.7938920733043382</v>
      </c>
      <c r="F299" s="97">
        <f t="shared" si="29"/>
        <v>2.7890019879225569</v>
      </c>
      <c r="G299" s="98">
        <f t="shared" si="33"/>
        <v>1.9628559322479266</v>
      </c>
    </row>
    <row r="300" spans="1:7" x14ac:dyDescent="0.25">
      <c r="A300" s="93">
        <f>2018</f>
        <v>2018</v>
      </c>
      <c r="B300" s="94" t="s">
        <v>17</v>
      </c>
      <c r="C300" s="95">
        <f t="shared" si="28"/>
        <v>729.73335709968842</v>
      </c>
      <c r="D300" s="96">
        <v>2.3545795724199126</v>
      </c>
      <c r="E300" s="96">
        <f t="shared" si="35"/>
        <v>5.2142560577577379</v>
      </c>
      <c r="F300" s="97">
        <f t="shared" si="29"/>
        <v>6.3816606515034291</v>
      </c>
      <c r="G300" s="98">
        <f t="shared" si="33"/>
        <v>1.9177021101035625</v>
      </c>
    </row>
    <row r="301" spans="1:7" x14ac:dyDescent="0.25">
      <c r="A301" s="93">
        <f>2018</f>
        <v>2018</v>
      </c>
      <c r="B301" s="94" t="s">
        <v>18</v>
      </c>
      <c r="C301" s="95">
        <f t="shared" si="28"/>
        <v>741.93382491502814</v>
      </c>
      <c r="D301" s="96">
        <v>1.6719076490939511</v>
      </c>
      <c r="E301" s="96">
        <f t="shared" si="35"/>
        <v>6.9733412527246852</v>
      </c>
      <c r="F301" s="97">
        <f t="shared" si="29"/>
        <v>9.8453043581241175</v>
      </c>
      <c r="G301" s="98">
        <f t="shared" si="33"/>
        <v>1.8861671374577107</v>
      </c>
    </row>
    <row r="302" spans="1:7" x14ac:dyDescent="0.25">
      <c r="A302" s="93">
        <f>2018</f>
        <v>2018</v>
      </c>
      <c r="B302" s="94" t="s">
        <v>19</v>
      </c>
      <c r="C302" s="95">
        <f t="shared" si="28"/>
        <v>745.79334022130661</v>
      </c>
      <c r="D302" s="96">
        <v>0.52019670443257393</v>
      </c>
      <c r="E302" s="96">
        <f t="shared" si="35"/>
        <v>7.5298130485427661</v>
      </c>
      <c r="F302" s="97">
        <f t="shared" si="29"/>
        <v>11.158353116854647</v>
      </c>
      <c r="G302" s="98">
        <f t="shared" si="33"/>
        <v>1.8764061345838352</v>
      </c>
    </row>
    <row r="303" spans="1:7" x14ac:dyDescent="0.25">
      <c r="A303" s="93">
        <f>2018</f>
        <v>2018</v>
      </c>
      <c r="B303" s="94" t="s">
        <v>20</v>
      </c>
      <c r="C303" s="95">
        <f t="shared" si="28"/>
        <v>753.1804125225467</v>
      </c>
      <c r="D303" s="96">
        <v>0.99049856077395582</v>
      </c>
      <c r="E303" s="96">
        <f t="shared" si="35"/>
        <v>8.5948942991915125</v>
      </c>
      <c r="F303" s="97">
        <f t="shared" si="29"/>
        <v>11.96869588483176</v>
      </c>
      <c r="G303" s="98">
        <f t="shared" si="33"/>
        <v>1.8580026451247325</v>
      </c>
    </row>
    <row r="304" spans="1:7" x14ac:dyDescent="0.25">
      <c r="A304" s="93">
        <f>2018</f>
        <v>2018</v>
      </c>
      <c r="B304" s="94" t="s">
        <v>21</v>
      </c>
      <c r="C304" s="95">
        <f t="shared" si="28"/>
        <v>772.33900650793657</v>
      </c>
      <c r="D304" s="96">
        <v>2.5436925425641466</v>
      </c>
      <c r="E304" s="96">
        <f t="shared" si="35"/>
        <v>11.357214527085446</v>
      </c>
      <c r="F304" s="97">
        <f t="shared" si="29"/>
        <v>13.709580071425798</v>
      </c>
      <c r="G304" s="98">
        <f t="shared" si="33"/>
        <v>1.8119131455632995</v>
      </c>
    </row>
    <row r="305" spans="1:7" x14ac:dyDescent="0.25">
      <c r="A305" s="93">
        <f>2018</f>
        <v>2018</v>
      </c>
      <c r="B305" s="94" t="s">
        <v>22</v>
      </c>
      <c r="C305" s="95">
        <f t="shared" ref="C305:C368" si="36">+C304*(1+D305/100)</f>
        <v>773.66983937650059</v>
      </c>
      <c r="D305" s="96">
        <v>0.17231201031542298</v>
      </c>
      <c r="E305" s="96">
        <f t="shared" si="35"/>
        <v>11.549096382068335</v>
      </c>
      <c r="F305" s="97">
        <f t="shared" si="29"/>
        <v>13.939732175726171</v>
      </c>
      <c r="G305" s="98">
        <f t="shared" si="33"/>
        <v>1.8087963721718976</v>
      </c>
    </row>
    <row r="306" spans="1:7" x14ac:dyDescent="0.25">
      <c r="A306" s="93">
        <f>2018</f>
        <v>2018</v>
      </c>
      <c r="B306" s="94" t="s">
        <v>23</v>
      </c>
      <c r="C306" s="95">
        <f t="shared" si="36"/>
        <v>760.50349286015944</v>
      </c>
      <c r="D306" s="96">
        <v>-1.7018042899219044</v>
      </c>
      <c r="E306" s="96">
        <f t="shared" si="35"/>
        <v>9.6507490744691893</v>
      </c>
      <c r="F306" s="97">
        <f t="shared" si="29"/>
        <v>10.820694910488049</v>
      </c>
      <c r="G306" s="98">
        <f t="shared" si="33"/>
        <v>1.8401114680749417</v>
      </c>
    </row>
    <row r="307" spans="1:7" x14ac:dyDescent="0.25">
      <c r="A307" s="93">
        <f>2018</f>
        <v>2018</v>
      </c>
      <c r="B307" s="94" t="s">
        <v>12</v>
      </c>
      <c r="C307" s="95">
        <f t="shared" si="36"/>
        <v>754.27227540193962</v>
      </c>
      <c r="D307" s="96">
        <v>-0.81935421950332099</v>
      </c>
      <c r="E307" s="96">
        <f t="shared" si="35"/>
        <v>8.7523210352105316</v>
      </c>
      <c r="F307" s="97">
        <f t="shared" si="29"/>
        <v>8.7523210352105316</v>
      </c>
      <c r="G307" s="98">
        <f t="shared" si="33"/>
        <v>1.8553130538667952</v>
      </c>
    </row>
    <row r="308" spans="1:7" x14ac:dyDescent="0.25">
      <c r="A308" s="93">
        <f>2019</f>
        <v>2019</v>
      </c>
      <c r="B308" s="94" t="s">
        <v>13</v>
      </c>
      <c r="C308" s="95">
        <f t="shared" si="36"/>
        <v>752.85045396009298</v>
      </c>
      <c r="D308" s="96">
        <v>-0.18850241328158823</v>
      </c>
      <c r="E308" s="96">
        <f t="shared" ref="E308:E319" si="37">+((C308/$C$307)-1)*100</f>
        <v>-0.18850241328159933</v>
      </c>
      <c r="F308" s="97">
        <f t="shared" ref="F308:F371" si="38">100*((C308/C296)-1)</f>
        <v>7.921717356312441</v>
      </c>
      <c r="G308" s="98">
        <f t="shared" si="33"/>
        <v>1.8588169687113039</v>
      </c>
    </row>
    <row r="309" spans="1:7" x14ac:dyDescent="0.25">
      <c r="A309" s="93">
        <f>2019</f>
        <v>2019</v>
      </c>
      <c r="B309" s="94" t="s">
        <v>14</v>
      </c>
      <c r="C309" s="95">
        <f t="shared" si="36"/>
        <v>766.30576418718908</v>
      </c>
      <c r="D309" s="96">
        <v>1.7872487366275003</v>
      </c>
      <c r="E309" s="96">
        <f t="shared" si="37"/>
        <v>1.5953773163460028</v>
      </c>
      <c r="F309" s="97">
        <f t="shared" si="38"/>
        <v>9.6826453140988136</v>
      </c>
      <c r="G309" s="98">
        <f t="shared" si="33"/>
        <v>1.8261786144951773</v>
      </c>
    </row>
    <row r="310" spans="1:7" x14ac:dyDescent="0.25">
      <c r="A310" s="93">
        <f>2019</f>
        <v>2019</v>
      </c>
      <c r="B310" s="94" t="s">
        <v>15</v>
      </c>
      <c r="C310" s="95">
        <f t="shared" si="36"/>
        <v>776.68546066244255</v>
      </c>
      <c r="D310" s="96">
        <v>1.3545110790420756</v>
      </c>
      <c r="E310" s="96">
        <f t="shared" si="37"/>
        <v>2.9714979578905121</v>
      </c>
      <c r="F310" s="97">
        <f t="shared" si="38"/>
        <v>10.317966401138401</v>
      </c>
      <c r="G310" s="98">
        <f t="shared" si="33"/>
        <v>1.8017733942508176</v>
      </c>
    </row>
    <row r="311" spans="1:7" x14ac:dyDescent="0.25">
      <c r="A311" s="93">
        <f>2019</f>
        <v>2019</v>
      </c>
      <c r="B311" s="94" t="s">
        <v>16</v>
      </c>
      <c r="C311" s="95">
        <f t="shared" si="36"/>
        <v>785.15139747546357</v>
      </c>
      <c r="D311" s="96">
        <v>1.0900084064661586</v>
      </c>
      <c r="E311" s="96">
        <f t="shared" si="37"/>
        <v>4.0938959418956422</v>
      </c>
      <c r="F311" s="97">
        <f t="shared" si="38"/>
        <v>10.127679387856992</v>
      </c>
      <c r="G311" s="98">
        <f t="shared" si="33"/>
        <v>1.7823456765441996</v>
      </c>
    </row>
    <row r="312" spans="1:7" x14ac:dyDescent="0.25">
      <c r="A312" s="93">
        <f>2019</f>
        <v>2019</v>
      </c>
      <c r="B312" s="94" t="s">
        <v>17</v>
      </c>
      <c r="C312" s="95">
        <f t="shared" si="36"/>
        <v>789.27188000841022</v>
      </c>
      <c r="D312" s="96">
        <v>0.52480101878382701</v>
      </c>
      <c r="E312" s="96">
        <f t="shared" si="37"/>
        <v>4.6401817682904856</v>
      </c>
      <c r="F312" s="97">
        <f t="shared" si="38"/>
        <v>8.1589422121741251</v>
      </c>
      <c r="G312" s="98">
        <f t="shared" si="33"/>
        <v>1.7730407406736919</v>
      </c>
    </row>
    <row r="313" spans="1:7" x14ac:dyDescent="0.25">
      <c r="A313" s="93">
        <f>2019</f>
        <v>2019</v>
      </c>
      <c r="B313" s="94" t="s">
        <v>18</v>
      </c>
      <c r="C313" s="95">
        <f t="shared" si="36"/>
        <v>795.83805540124229</v>
      </c>
      <c r="D313" s="96">
        <v>0.83192820612867369</v>
      </c>
      <c r="E313" s="96">
        <f t="shared" si="37"/>
        <v>5.5107129553652046</v>
      </c>
      <c r="F313" s="97">
        <f t="shared" si="38"/>
        <v>7.2653690499132617</v>
      </c>
      <c r="G313" s="98">
        <f t="shared" si="33"/>
        <v>1.7584120151397884</v>
      </c>
    </row>
    <row r="314" spans="1:7" x14ac:dyDescent="0.25">
      <c r="A314" s="93">
        <f>2019</f>
        <v>2019</v>
      </c>
      <c r="B314" s="94" t="s">
        <v>19</v>
      </c>
      <c r="C314" s="95">
        <f t="shared" si="36"/>
        <v>794.1142718810288</v>
      </c>
      <c r="D314" s="96">
        <v>-0.21659978541040958</v>
      </c>
      <c r="E314" s="96">
        <f t="shared" si="37"/>
        <v>5.2821769775188931</v>
      </c>
      <c r="F314" s="97">
        <f t="shared" si="38"/>
        <v>6.4791315574611374</v>
      </c>
      <c r="G314" s="98">
        <f t="shared" si="33"/>
        <v>1.7622289993708657</v>
      </c>
    </row>
    <row r="315" spans="1:7" x14ac:dyDescent="0.25">
      <c r="A315" s="93">
        <f>2019</f>
        <v>2019</v>
      </c>
      <c r="B315" s="94" t="s">
        <v>20</v>
      </c>
      <c r="C315" s="95">
        <f t="shared" si="36"/>
        <v>786.93917295930453</v>
      </c>
      <c r="D315" s="96">
        <v>-0.90353481555349724</v>
      </c>
      <c r="E315" s="96">
        <f t="shared" si="37"/>
        <v>4.3309158539543535</v>
      </c>
      <c r="F315" s="97">
        <f t="shared" si="38"/>
        <v>4.4821612292987201</v>
      </c>
      <c r="G315" s="98">
        <f t="shared" si="33"/>
        <v>1.7782965276217069</v>
      </c>
    </row>
    <row r="316" spans="1:7" x14ac:dyDescent="0.25">
      <c r="A316" s="93">
        <f>2019</f>
        <v>2019</v>
      </c>
      <c r="B316" s="94" t="s">
        <v>21</v>
      </c>
      <c r="C316" s="95">
        <f t="shared" si="36"/>
        <v>792.40848610058538</v>
      </c>
      <c r="D316" s="96">
        <v>0.69501091433958884</v>
      </c>
      <c r="E316" s="96">
        <f t="shared" si="37"/>
        <v>5.0560271061697915</v>
      </c>
      <c r="F316" s="97">
        <f t="shared" si="38"/>
        <v>2.5985324350496386</v>
      </c>
      <c r="G316" s="98">
        <f t="shared" si="33"/>
        <v>1.7660224786454306</v>
      </c>
    </row>
    <row r="317" spans="1:7" x14ac:dyDescent="0.25">
      <c r="A317" s="93">
        <f>2019</f>
        <v>2019</v>
      </c>
      <c r="B317" s="94" t="s">
        <v>22</v>
      </c>
      <c r="C317" s="95">
        <f t="shared" si="36"/>
        <v>799.08964705306039</v>
      </c>
      <c r="D317" s="96">
        <v>0.8431460628788523</v>
      </c>
      <c r="E317" s="96">
        <f t="shared" si="37"/>
        <v>5.9418028625324082</v>
      </c>
      <c r="F317" s="97">
        <f t="shared" si="38"/>
        <v>3.2856144033022616</v>
      </c>
      <c r="G317" s="98">
        <f t="shared" si="33"/>
        <v>1.7512568256689061</v>
      </c>
    </row>
    <row r="318" spans="1:7" x14ac:dyDescent="0.25">
      <c r="A318" s="93">
        <f>2019</f>
        <v>2019</v>
      </c>
      <c r="B318" s="94" t="s">
        <v>23</v>
      </c>
      <c r="C318" s="95">
        <f t="shared" si="36"/>
        <v>807.99552861601978</v>
      </c>
      <c r="D318" s="96">
        <v>1.1145034347276539</v>
      </c>
      <c r="E318" s="96">
        <f t="shared" si="37"/>
        <v>7.122527894247721</v>
      </c>
      <c r="F318" s="97">
        <f t="shared" si="38"/>
        <v>6.2448149419075838</v>
      </c>
      <c r="G318" s="98">
        <f t="shared" si="33"/>
        <v>1.7319541373205607</v>
      </c>
    </row>
    <row r="319" spans="1:7" x14ac:dyDescent="0.25">
      <c r="A319" s="93">
        <f>2019</f>
        <v>2019</v>
      </c>
      <c r="B319" s="94" t="s">
        <v>12</v>
      </c>
      <c r="C319" s="95">
        <f t="shared" si="36"/>
        <v>826.90177151482897</v>
      </c>
      <c r="D319" s="96">
        <v>2.3398944956035672</v>
      </c>
      <c r="E319" s="96">
        <f t="shared" si="37"/>
        <v>9.6290820279966169</v>
      </c>
      <c r="F319" s="97">
        <f t="shared" si="38"/>
        <v>9.6290820279966169</v>
      </c>
      <c r="G319" s="98">
        <f t="shared" si="33"/>
        <v>1.6923548200403549</v>
      </c>
    </row>
    <row r="320" spans="1:7" x14ac:dyDescent="0.25">
      <c r="A320" s="93">
        <f>2020</f>
        <v>2020</v>
      </c>
      <c r="B320" s="94" t="s">
        <v>13</v>
      </c>
      <c r="C320" s="95">
        <f t="shared" si="36"/>
        <v>825.84916247124897</v>
      </c>
      <c r="D320" s="96">
        <v>-0.12729553616165346</v>
      </c>
      <c r="E320" s="96">
        <f t="shared" ref="E320:E331" si="39">+((C320/$C$319)-1)*100</f>
        <v>-0.12729553616165346</v>
      </c>
      <c r="F320" s="97">
        <f t="shared" si="38"/>
        <v>9.6963092905334882</v>
      </c>
      <c r="G320" s="98">
        <f t="shared" si="33"/>
        <v>1.6945118579953127</v>
      </c>
    </row>
    <row r="321" spans="1:7" x14ac:dyDescent="0.25">
      <c r="A321" s="93">
        <f>2020</f>
        <v>2020</v>
      </c>
      <c r="B321" s="94" t="s">
        <v>14</v>
      </c>
      <c r="C321" s="95">
        <f t="shared" si="36"/>
        <v>825.59160919462829</v>
      </c>
      <c r="D321" s="96">
        <v>-3.1186479120470789E-2</v>
      </c>
      <c r="E321" s="96">
        <f t="shared" si="39"/>
        <v>-0.15844231628631134</v>
      </c>
      <c r="F321" s="97">
        <f t="shared" si="38"/>
        <v>7.7365782404524852</v>
      </c>
      <c r="G321" s="98">
        <f t="shared" si="33"/>
        <v>1.6950404814411408</v>
      </c>
    </row>
    <row r="322" spans="1:7" x14ac:dyDescent="0.25">
      <c r="A322" s="93">
        <f>2020</f>
        <v>2020</v>
      </c>
      <c r="B322" s="94" t="s">
        <v>15</v>
      </c>
      <c r="C322" s="95">
        <f t="shared" si="36"/>
        <v>844.85516908985596</v>
      </c>
      <c r="D322" s="96">
        <v>2.3333037400924406</v>
      </c>
      <c r="E322" s="96">
        <f t="shared" si="39"/>
        <v>2.1711644833143362</v>
      </c>
      <c r="F322" s="97">
        <f t="shared" si="38"/>
        <v>8.7770032889853198</v>
      </c>
      <c r="G322" s="98">
        <f t="shared" si="33"/>
        <v>1.6563918289457638</v>
      </c>
    </row>
    <row r="323" spans="1:7" x14ac:dyDescent="0.25">
      <c r="A323" s="93">
        <f>2020</f>
        <v>2020</v>
      </c>
      <c r="B323" s="94" t="s">
        <v>16</v>
      </c>
      <c r="C323" s="95">
        <f t="shared" si="36"/>
        <v>845.7448985909092</v>
      </c>
      <c r="D323" s="96">
        <v>0.10531148220489506</v>
      </c>
      <c r="E323" s="96">
        <f t="shared" si="39"/>
        <v>2.278762451017724</v>
      </c>
      <c r="F323" s="97">
        <f t="shared" si="38"/>
        <v>7.7174289328497681</v>
      </c>
      <c r="G323" s="98">
        <f t="shared" si="33"/>
        <v>1.6546492932497494</v>
      </c>
    </row>
    <row r="324" spans="1:7" x14ac:dyDescent="0.25">
      <c r="A324" s="93">
        <f>2020</f>
        <v>2020</v>
      </c>
      <c r="B324" s="94" t="s">
        <v>17</v>
      </c>
      <c r="C324" s="95">
        <f t="shared" si="36"/>
        <v>860.71963653197565</v>
      </c>
      <c r="D324" s="96">
        <v>1.7705974893866605</v>
      </c>
      <c r="E324" s="96">
        <f t="shared" si="39"/>
        <v>4.0897076511511976</v>
      </c>
      <c r="F324" s="97">
        <f t="shared" si="38"/>
        <v>9.052363112544203</v>
      </c>
      <c r="G324" s="98">
        <f t="shared" si="33"/>
        <v>1.6258618246024423</v>
      </c>
    </row>
    <row r="325" spans="1:7" x14ac:dyDescent="0.25">
      <c r="A325" s="93">
        <f>2020</f>
        <v>2020</v>
      </c>
      <c r="B325" s="94" t="s">
        <v>18</v>
      </c>
      <c r="C325" s="95">
        <f t="shared" si="36"/>
        <v>879.84678481033689</v>
      </c>
      <c r="D325" s="96">
        <v>2.2222274787907281</v>
      </c>
      <c r="E325" s="96">
        <f t="shared" si="39"/>
        <v>6.4028177371679984</v>
      </c>
      <c r="F325" s="97">
        <f t="shared" si="38"/>
        <v>10.556008077138191</v>
      </c>
      <c r="G325" s="98">
        <f t="shared" si="33"/>
        <v>1.5905169205393999</v>
      </c>
    </row>
    <row r="326" spans="1:7" x14ac:dyDescent="0.25">
      <c r="A326" s="99">
        <f>2020</f>
        <v>2020</v>
      </c>
      <c r="B326" s="100" t="s">
        <v>19</v>
      </c>
      <c r="C326" s="101">
        <f t="shared" si="36"/>
        <v>907.46402924291237</v>
      </c>
      <c r="D326" s="102">
        <v>3.1388697338399441</v>
      </c>
      <c r="E326" s="102">
        <f t="shared" si="39"/>
        <v>9.7426635790728522</v>
      </c>
      <c r="F326" s="103">
        <f t="shared" si="38"/>
        <v>14.273733815838696</v>
      </c>
      <c r="G326" s="98">
        <f t="shared" si="33"/>
        <v>1.5421120326835906</v>
      </c>
    </row>
    <row r="327" spans="1:7" x14ac:dyDescent="0.25">
      <c r="A327" s="99">
        <f>2020</f>
        <v>2020</v>
      </c>
      <c r="B327" s="100" t="s">
        <v>20</v>
      </c>
      <c r="C327" s="101">
        <f t="shared" si="36"/>
        <v>956.78599071433712</v>
      </c>
      <c r="D327" s="102">
        <v>5.4351423177151803</v>
      </c>
      <c r="E327" s="102">
        <f t="shared" si="39"/>
        <v>15.707333527846835</v>
      </c>
      <c r="F327" s="103">
        <f t="shared" si="38"/>
        <v>21.583220608566144</v>
      </c>
      <c r="G327" s="98">
        <f t="shared" si="33"/>
        <v>1.4626167317502501</v>
      </c>
    </row>
    <row r="328" spans="1:7" x14ac:dyDescent="0.25">
      <c r="A328" s="99">
        <f>2020</f>
        <v>2020</v>
      </c>
      <c r="B328" s="100" t="s">
        <v>21</v>
      </c>
      <c r="C328" s="101">
        <f t="shared" si="36"/>
        <v>998.66232109800137</v>
      </c>
      <c r="D328" s="102">
        <v>4.3767708547236772</v>
      </c>
      <c r="E328" s="102">
        <f t="shared" si="39"/>
        <v>20.771578378471546</v>
      </c>
      <c r="F328" s="103">
        <f t="shared" si="38"/>
        <v>26.028726170309447</v>
      </c>
      <c r="G328" s="98">
        <f t="shared" si="33"/>
        <v>1.4012856689981208</v>
      </c>
    </row>
    <row r="329" spans="1:7" x14ac:dyDescent="0.25">
      <c r="A329" s="99">
        <f>2020</f>
        <v>2020</v>
      </c>
      <c r="B329" s="100" t="s">
        <v>22</v>
      </c>
      <c r="C329" s="101">
        <f t="shared" si="36"/>
        <v>1047.1973707795933</v>
      </c>
      <c r="D329" s="102">
        <v>4.860006095777103</v>
      </c>
      <c r="E329" s="102">
        <f t="shared" si="39"/>
        <v>26.641084449631471</v>
      </c>
      <c r="F329" s="103">
        <f t="shared" si="38"/>
        <v>31.048797170820851</v>
      </c>
      <c r="G329" s="98">
        <f t="shared" si="33"/>
        <v>1.3363394884015301</v>
      </c>
    </row>
    <row r="330" spans="1:7" x14ac:dyDescent="0.25">
      <c r="A330" s="99">
        <f>2020</f>
        <v>2020</v>
      </c>
      <c r="B330" s="100" t="s">
        <v>23</v>
      </c>
      <c r="C330" s="101">
        <f t="shared" si="36"/>
        <v>1081.8290838303615</v>
      </c>
      <c r="D330" s="102">
        <v>3.3070855616249784</v>
      </c>
      <c r="E330" s="102">
        <f t="shared" si="39"/>
        <v>30.82921346855052</v>
      </c>
      <c r="F330" s="103">
        <f t="shared" si="38"/>
        <v>33.890479033142576</v>
      </c>
      <c r="G330" s="98">
        <f t="shared" si="33"/>
        <v>1.2935603411291414</v>
      </c>
    </row>
    <row r="331" spans="1:7" x14ac:dyDescent="0.25">
      <c r="A331" s="99">
        <f>2020</f>
        <v>2020</v>
      </c>
      <c r="B331" s="100" t="s">
        <v>12</v>
      </c>
      <c r="C331" s="101">
        <f t="shared" si="36"/>
        <v>1089.1561768329029</v>
      </c>
      <c r="D331" s="102">
        <v>0.67728748580127007</v>
      </c>
      <c r="E331" s="102">
        <f t="shared" si="39"/>
        <v>31.715303359145231</v>
      </c>
      <c r="F331" s="103">
        <f t="shared" si="38"/>
        <v>31.715303359145231</v>
      </c>
      <c r="G331" s="98">
        <f t="shared" si="33"/>
        <v>1.2848581576173028</v>
      </c>
    </row>
    <row r="332" spans="1:7" x14ac:dyDescent="0.25">
      <c r="A332" s="99">
        <f>2021</f>
        <v>2021</v>
      </c>
      <c r="B332" s="100" t="s">
        <v>13</v>
      </c>
      <c r="C332" s="101">
        <f t="shared" si="36"/>
        <v>1131.8748888198827</v>
      </c>
      <c r="D332" s="102">
        <v>3.9221842464502332</v>
      </c>
      <c r="E332" s="102">
        <f t="shared" ref="E332:E343" si="40">+((C332/$C$331)-1)*100</f>
        <v>3.9221842464502332</v>
      </c>
      <c r="F332" s="103">
        <f t="shared" si="38"/>
        <v>37.055886262921248</v>
      </c>
      <c r="G332" s="98">
        <f t="shared" si="33"/>
        <v>1.2363656200395836</v>
      </c>
    </row>
    <row r="333" spans="1:7" x14ac:dyDescent="0.25">
      <c r="A333" s="99">
        <f>2021</f>
        <v>2021</v>
      </c>
      <c r="B333" s="100" t="s">
        <v>14</v>
      </c>
      <c r="C333" s="101">
        <f t="shared" si="36"/>
        <v>1170.4031195331652</v>
      </c>
      <c r="D333" s="102">
        <v>3.4039301599360305</v>
      </c>
      <c r="E333" s="102">
        <f t="shared" si="40"/>
        <v>7.4596228188794411</v>
      </c>
      <c r="F333" s="103">
        <f t="shared" si="38"/>
        <v>41.765384543443162</v>
      </c>
      <c r="G333" s="98">
        <f t="shared" si="33"/>
        <v>1.1956659849652549</v>
      </c>
    </row>
    <row r="334" spans="1:7" x14ac:dyDescent="0.25">
      <c r="A334" s="99">
        <f>2021</f>
        <v>2021</v>
      </c>
      <c r="B334" s="100" t="s">
        <v>15</v>
      </c>
      <c r="C334" s="101">
        <f t="shared" si="36"/>
        <v>1200.7383644300139</v>
      </c>
      <c r="D334" s="102">
        <v>2.5918629564955831</v>
      </c>
      <c r="E334" s="102">
        <f t="shared" si="40"/>
        <v>10.244828975911858</v>
      </c>
      <c r="F334" s="103">
        <f t="shared" si="38"/>
        <v>42.123574354589465</v>
      </c>
      <c r="G334" s="98">
        <f t="shared" si="33"/>
        <v>1.1654588877797074</v>
      </c>
    </row>
    <row r="335" spans="1:7" x14ac:dyDescent="0.25">
      <c r="A335" s="99">
        <f>2021</f>
        <v>2021</v>
      </c>
      <c r="B335" s="100" t="s">
        <v>16</v>
      </c>
      <c r="C335" s="101">
        <f t="shared" si="36"/>
        <v>1235.6110476518538</v>
      </c>
      <c r="D335" s="102">
        <v>2.9042699271455197</v>
      </c>
      <c r="E335" s="102">
        <f t="shared" si="40"/>
        <v>13.446636390092269</v>
      </c>
      <c r="F335" s="103">
        <f t="shared" si="38"/>
        <v>46.097369278904132</v>
      </c>
      <c r="G335" s="98">
        <f t="shared" si="33"/>
        <v>1.1325661108181735</v>
      </c>
    </row>
    <row r="336" spans="1:7" x14ac:dyDescent="0.25">
      <c r="A336" s="99">
        <f>2021</f>
        <v>2021</v>
      </c>
      <c r="B336" s="100" t="s">
        <v>17</v>
      </c>
      <c r="C336" s="101">
        <f t="shared" si="36"/>
        <v>1287.5426192083501</v>
      </c>
      <c r="D336" s="102">
        <v>4.2029060564962251</v>
      </c>
      <c r="E336" s="102">
        <f t="shared" si="40"/>
        <v>18.214691941822725</v>
      </c>
      <c r="F336" s="103">
        <f t="shared" si="38"/>
        <v>49.589083896834964</v>
      </c>
      <c r="G336" s="98">
        <f t="shared" si="33"/>
        <v>1.0868853409943522</v>
      </c>
    </row>
    <row r="337" spans="1:7" x14ac:dyDescent="0.25">
      <c r="A337" s="99">
        <f>2021</f>
        <v>2021</v>
      </c>
      <c r="B337" s="100" t="s">
        <v>18</v>
      </c>
      <c r="C337" s="101">
        <f t="shared" si="36"/>
        <v>1284.1900342141466</v>
      </c>
      <c r="D337" s="102">
        <v>-0.26038633162021041</v>
      </c>
      <c r="E337" s="102">
        <f t="shared" si="40"/>
        <v>17.906877042039259</v>
      </c>
      <c r="F337" s="103">
        <f t="shared" si="38"/>
        <v>45.956097855261426</v>
      </c>
      <c r="G337" s="98">
        <f t="shared" si="33"/>
        <v>1.0897228302969906</v>
      </c>
    </row>
    <row r="338" spans="1:7" x14ac:dyDescent="0.25">
      <c r="A338" s="99">
        <f>2021</f>
        <v>2021</v>
      </c>
      <c r="B338" s="100" t="s">
        <v>19</v>
      </c>
      <c r="C338" s="101">
        <f t="shared" si="36"/>
        <v>1305.3734119914184</v>
      </c>
      <c r="D338" s="102">
        <v>1.6495516405587773</v>
      </c>
      <c r="E338" s="102">
        <f t="shared" si="40"/>
        <v>19.85181186661784</v>
      </c>
      <c r="F338" s="103">
        <f t="shared" si="38"/>
        <v>43.848501970979228</v>
      </c>
      <c r="G338" s="98">
        <f t="shared" si="33"/>
        <v>1.0720389934924068</v>
      </c>
    </row>
    <row r="339" spans="1:7" x14ac:dyDescent="0.25">
      <c r="A339" s="99">
        <f>2021</f>
        <v>2021</v>
      </c>
      <c r="B339" s="100" t="s">
        <v>20</v>
      </c>
      <c r="C339" s="101">
        <f t="shared" si="36"/>
        <v>1299.9010893927677</v>
      </c>
      <c r="D339" s="102">
        <v>-0.41921511104644482</v>
      </c>
      <c r="E339" s="102">
        <f t="shared" si="40"/>
        <v>19.349374960410024</v>
      </c>
      <c r="F339" s="103">
        <f t="shared" si="38"/>
        <v>35.861216824700847</v>
      </c>
      <c r="G339" s="98">
        <f t="shared" si="33"/>
        <v>1.0765520624163383</v>
      </c>
    </row>
    <row r="340" spans="1:7" x14ac:dyDescent="0.25">
      <c r="A340" s="99">
        <f>2021</f>
        <v>2021</v>
      </c>
      <c r="B340" s="100" t="s">
        <v>21</v>
      </c>
      <c r="C340" s="101">
        <f t="shared" si="36"/>
        <v>1284.6869726997177</v>
      </c>
      <c r="D340" s="102">
        <v>-1.1704057191118444</v>
      </c>
      <c r="E340" s="102">
        <f t="shared" si="40"/>
        <v>17.952503050149147</v>
      </c>
      <c r="F340" s="103">
        <f t="shared" si="38"/>
        <v>28.640777323734422</v>
      </c>
      <c r="G340" s="98">
        <f t="shared" si="33"/>
        <v>1.0893013072143349</v>
      </c>
    </row>
    <row r="341" spans="1:7" x14ac:dyDescent="0.25">
      <c r="A341" s="99">
        <f>2021</f>
        <v>2021</v>
      </c>
      <c r="B341" s="100" t="s">
        <v>22</v>
      </c>
      <c r="C341" s="101">
        <f t="shared" si="36"/>
        <v>1309.0949513139428</v>
      </c>
      <c r="D341" s="102">
        <v>1.8999164102156962</v>
      </c>
      <c r="E341" s="102">
        <f t="shared" si="40"/>
        <v>20.193502011859099</v>
      </c>
      <c r="F341" s="103">
        <f t="shared" si="38"/>
        <v>25.00938102426462</v>
      </c>
      <c r="G341" s="98">
        <f t="shared" si="33"/>
        <v>1.0689913648497655</v>
      </c>
    </row>
    <row r="342" spans="1:7" x14ac:dyDescent="0.25">
      <c r="A342" s="99">
        <f>2021</f>
        <v>2021</v>
      </c>
      <c r="B342" s="100" t="s">
        <v>23</v>
      </c>
      <c r="C342" s="101">
        <f t="shared" si="36"/>
        <v>1293.9508259568886</v>
      </c>
      <c r="D342" s="102">
        <v>-1.1568393371202079</v>
      </c>
      <c r="E342" s="102">
        <f t="shared" si="40"/>
        <v>18.803056299923561</v>
      </c>
      <c r="F342" s="103">
        <f t="shared" si="38"/>
        <v>19.607694532992358</v>
      </c>
      <c r="G342" s="98">
        <f t="shared" si="33"/>
        <v>1.081502612503185</v>
      </c>
    </row>
    <row r="343" spans="1:7" x14ac:dyDescent="0.25">
      <c r="A343" s="99">
        <f>2021</f>
        <v>2021</v>
      </c>
      <c r="B343" s="100" t="s">
        <v>12</v>
      </c>
      <c r="C343" s="101">
        <f t="shared" si="36"/>
        <v>1313.9053558493176</v>
      </c>
      <c r="D343" s="102">
        <v>1.5421397391722769</v>
      </c>
      <c r="E343" s="102">
        <f t="shared" si="40"/>
        <v>20.635165442475877</v>
      </c>
      <c r="F343" s="103">
        <f t="shared" si="38"/>
        <v>20.635165442475877</v>
      </c>
      <c r="G343" s="98">
        <f t="shared" ref="G343:G383" si="41">+$C$383/C343</f>
        <v>1.0650776271616913</v>
      </c>
    </row>
    <row r="344" spans="1:7" x14ac:dyDescent="0.25">
      <c r="A344" s="99">
        <f>2022</f>
        <v>2022</v>
      </c>
      <c r="B344" s="100" t="s">
        <v>13</v>
      </c>
      <c r="C344" s="101">
        <f t="shared" si="36"/>
        <v>1347.6211822747682</v>
      </c>
      <c r="D344" s="102">
        <v>2.5660772501879592</v>
      </c>
      <c r="E344" s="102">
        <f t="shared" ref="E344:E355" si="42">+((C344/$C$343)-1)*100</f>
        <v>2.5660772501879592</v>
      </c>
      <c r="F344" s="103">
        <f t="shared" si="38"/>
        <v>19.06096650662754</v>
      </c>
      <c r="G344" s="98">
        <f t="shared" si="41"/>
        <v>1.0384306933799006</v>
      </c>
    </row>
    <row r="345" spans="1:7" x14ac:dyDescent="0.25">
      <c r="A345" s="99">
        <f>2022</f>
        <v>2022</v>
      </c>
      <c r="B345" s="100" t="s">
        <v>14</v>
      </c>
      <c r="C345" s="101">
        <f t="shared" si="36"/>
        <v>1373.831937729002</v>
      </c>
      <c r="D345" s="102">
        <v>1.9449646383555841</v>
      </c>
      <c r="E345" s="102">
        <f t="shared" si="42"/>
        <v>4.5609511836526062</v>
      </c>
      <c r="F345" s="103">
        <f t="shared" si="38"/>
        <v>17.381089882687405</v>
      </c>
      <c r="G345" s="98">
        <f t="shared" si="41"/>
        <v>1.0186189156705081</v>
      </c>
    </row>
    <row r="346" spans="1:7" x14ac:dyDescent="0.25">
      <c r="A346" s="99">
        <f>2022</f>
        <v>2022</v>
      </c>
      <c r="B346" s="100" t="s">
        <v>15</v>
      </c>
      <c r="C346" s="101">
        <f t="shared" si="36"/>
        <v>1412.3171737644586</v>
      </c>
      <c r="D346" s="102">
        <v>2.8013059660757511</v>
      </c>
      <c r="E346" s="102">
        <f t="shared" si="42"/>
        <v>7.4900233473458089</v>
      </c>
      <c r="F346" s="103">
        <f t="shared" si="38"/>
        <v>17.620725347180887</v>
      </c>
      <c r="G346" s="98">
        <f t="shared" si="41"/>
        <v>0.99086184372662589</v>
      </c>
    </row>
    <row r="347" spans="1:7" x14ac:dyDescent="0.25">
      <c r="A347" s="99">
        <f>2022</f>
        <v>2022</v>
      </c>
      <c r="B347" s="100" t="s">
        <v>16</v>
      </c>
      <c r="C347" s="101">
        <f t="shared" si="36"/>
        <v>1414.9678456462459</v>
      </c>
      <c r="D347" s="102">
        <v>0.18768247890961209</v>
      </c>
      <c r="E347" s="102">
        <f t="shared" si="42"/>
        <v>7.6917632877446351</v>
      </c>
      <c r="F347" s="103">
        <f t="shared" si="38"/>
        <v>14.515635671535998</v>
      </c>
      <c r="G347" s="98">
        <f t="shared" si="41"/>
        <v>0.98900565339976909</v>
      </c>
    </row>
    <row r="348" spans="1:7" x14ac:dyDescent="0.25">
      <c r="A348" s="99">
        <f>2022</f>
        <v>2022</v>
      </c>
      <c r="B348" s="100" t="s">
        <v>17</v>
      </c>
      <c r="C348" s="101">
        <f t="shared" si="36"/>
        <v>1422.7608809712742</v>
      </c>
      <c r="D348" s="102">
        <v>0.55075706130049973</v>
      </c>
      <c r="E348" s="102">
        <f t="shared" si="42"/>
        <v>8.2848832784909057</v>
      </c>
      <c r="F348" s="103">
        <f t="shared" si="38"/>
        <v>10.502041621431024</v>
      </c>
      <c r="G348" s="98">
        <f t="shared" si="41"/>
        <v>0.98358847044465747</v>
      </c>
    </row>
    <row r="349" spans="1:7" x14ac:dyDescent="0.25">
      <c r="A349" s="99">
        <f>2022</f>
        <v>2022</v>
      </c>
      <c r="B349" s="100" t="s">
        <v>18</v>
      </c>
      <c r="C349" s="101">
        <f t="shared" si="36"/>
        <v>1428.953114454454</v>
      </c>
      <c r="D349" s="102">
        <v>0.43522657714292201</v>
      </c>
      <c r="E349" s="102">
        <f t="shared" si="42"/>
        <v>8.7561678695470935</v>
      </c>
      <c r="F349" s="103">
        <f t="shared" si="38"/>
        <v>11.272714815054163</v>
      </c>
      <c r="G349" s="98">
        <f t="shared" si="41"/>
        <v>0.97932618262097182</v>
      </c>
    </row>
    <row r="350" spans="1:7" x14ac:dyDescent="0.25">
      <c r="A350" s="99">
        <f>2022</f>
        <v>2022</v>
      </c>
      <c r="B350" s="100" t="s">
        <v>19</v>
      </c>
      <c r="C350" s="101">
        <f t="shared" si="36"/>
        <v>1424.3576833082093</v>
      </c>
      <c r="D350" s="102">
        <v>-0.321594256645652</v>
      </c>
      <c r="E350" s="102">
        <f t="shared" si="42"/>
        <v>8.4064142799307184</v>
      </c>
      <c r="F350" s="103">
        <f t="shared" si="38"/>
        <v>9.1149605334211579</v>
      </c>
      <c r="G350" s="98">
        <f t="shared" si="41"/>
        <v>0.9824858005278283</v>
      </c>
    </row>
    <row r="351" spans="1:7" x14ac:dyDescent="0.25">
      <c r="A351" s="99">
        <f>2022</f>
        <v>2022</v>
      </c>
      <c r="B351" s="100" t="s">
        <v>20</v>
      </c>
      <c r="C351" s="101">
        <f t="shared" si="36"/>
        <v>1415.4287885875901</v>
      </c>
      <c r="D351" s="102">
        <v>-0.62687166469878042</v>
      </c>
      <c r="E351" s="102">
        <f t="shared" si="42"/>
        <v>7.726845186093878</v>
      </c>
      <c r="F351" s="103">
        <f t="shared" si="38"/>
        <v>8.8874222921676136</v>
      </c>
      <c r="G351" s="98">
        <f t="shared" si="41"/>
        <v>0.98868357773014881</v>
      </c>
    </row>
    <row r="352" spans="1:7" x14ac:dyDescent="0.25">
      <c r="A352" s="99">
        <f>2022</f>
        <v>2022</v>
      </c>
      <c r="B352" s="100" t="s">
        <v>21</v>
      </c>
      <c r="C352" s="101">
        <f t="shared" si="36"/>
        <v>1391.6457326161853</v>
      </c>
      <c r="D352" s="102">
        <v>-1.6802721665098441</v>
      </c>
      <c r="E352" s="102">
        <f t="shared" si="42"/>
        <v>5.9167409905727775</v>
      </c>
      <c r="F352" s="103">
        <f t="shared" si="38"/>
        <v>8.3256670449221026</v>
      </c>
      <c r="G352" s="98">
        <f t="shared" si="41"/>
        <v>1.0055800595833</v>
      </c>
    </row>
    <row r="353" spans="1:7" x14ac:dyDescent="0.25">
      <c r="A353" s="99">
        <f>2022</f>
        <v>2022</v>
      </c>
      <c r="B353" s="100" t="s">
        <v>22</v>
      </c>
      <c r="C353" s="101">
        <f t="shared" si="36"/>
        <v>1377.2285172772597</v>
      </c>
      <c r="D353" s="102">
        <v>-1.0359831529697217</v>
      </c>
      <c r="E353" s="102">
        <f t="shared" si="42"/>
        <v>4.8194613977358802</v>
      </c>
      <c r="F353" s="103">
        <f t="shared" si="38"/>
        <v>5.2046313290667667</v>
      </c>
      <c r="G353" s="98">
        <f t="shared" si="41"/>
        <v>1.0161067543748106</v>
      </c>
    </row>
    <row r="354" spans="1:7" x14ac:dyDescent="0.25">
      <c r="A354" s="99">
        <f>2022</f>
        <v>2022</v>
      </c>
      <c r="B354" s="100" t="s">
        <v>23</v>
      </c>
      <c r="C354" s="101">
        <f t="shared" si="36"/>
        <v>1371.2600065004169</v>
      </c>
      <c r="D354" s="102">
        <v>-0.43337112918939713</v>
      </c>
      <c r="E354" s="102">
        <f t="shared" si="42"/>
        <v>4.3652041142662634</v>
      </c>
      <c r="F354" s="103">
        <f t="shared" si="38"/>
        <v>5.9746614007806231</v>
      </c>
      <c r="G354" s="98">
        <f t="shared" si="41"/>
        <v>1.0205294343079812</v>
      </c>
    </row>
    <row r="355" spans="1:7" x14ac:dyDescent="0.25">
      <c r="A355" s="99">
        <f>2022</f>
        <v>2022</v>
      </c>
      <c r="B355" s="100" t="s">
        <v>12</v>
      </c>
      <c r="C355" s="101">
        <f t="shared" si="36"/>
        <v>1375.6874608628257</v>
      </c>
      <c r="D355" s="102">
        <v>0.3228748991015884</v>
      </c>
      <c r="E355" s="102">
        <f t="shared" si="42"/>
        <v>4.7021731617473916</v>
      </c>
      <c r="F355" s="103">
        <f t="shared" si="38"/>
        <v>4.7021731617473916</v>
      </c>
      <c r="G355" s="98">
        <f t="shared" si="41"/>
        <v>1.0172450055227833</v>
      </c>
    </row>
    <row r="356" spans="1:7" x14ac:dyDescent="0.25">
      <c r="A356" s="99">
        <f>2023</f>
        <v>2023</v>
      </c>
      <c r="B356" s="100" t="s">
        <v>13</v>
      </c>
      <c r="C356" s="101">
        <f t="shared" si="36"/>
        <v>1373.1207771798304</v>
      </c>
      <c r="D356" s="102">
        <v>-0.18657462221728371</v>
      </c>
      <c r="E356" s="102">
        <f t="shared" ref="E356:E367" si="43">+((C356/$C$355)-1)*100</f>
        <v>-0.18657462221728371</v>
      </c>
      <c r="F356" s="103">
        <f t="shared" si="38"/>
        <v>1.8921930910895224</v>
      </c>
      <c r="G356" s="98">
        <f t="shared" si="41"/>
        <v>1.0191464742068757</v>
      </c>
    </row>
    <row r="357" spans="1:7" x14ac:dyDescent="0.25">
      <c r="A357" s="99">
        <f>2023</f>
        <v>2023</v>
      </c>
      <c r="B357" s="100" t="s">
        <v>14</v>
      </c>
      <c r="C357" s="101">
        <f t="shared" si="36"/>
        <v>1372.521850991239</v>
      </c>
      <c r="D357" s="102">
        <v>-4.3617881146729154E-2</v>
      </c>
      <c r="E357" s="102">
        <f t="shared" si="43"/>
        <v>-0.2301111234670361</v>
      </c>
      <c r="F357" s="103">
        <f t="shared" si="38"/>
        <v>-9.5360043815007067E-2</v>
      </c>
      <c r="G357" s="98">
        <f t="shared" si="41"/>
        <v>1.0195911982839256</v>
      </c>
    </row>
    <row r="358" spans="1:7" x14ac:dyDescent="0.25">
      <c r="A358" s="99">
        <f>2023</f>
        <v>2023</v>
      </c>
      <c r="B358" s="100" t="s">
        <v>15</v>
      </c>
      <c r="C358" s="101">
        <f t="shared" si="36"/>
        <v>1362.7960495948637</v>
      </c>
      <c r="D358" s="102">
        <v>-0.70860812812206797</v>
      </c>
      <c r="E358" s="102">
        <f t="shared" si="43"/>
        <v>-0.93708866546450276</v>
      </c>
      <c r="F358" s="103">
        <f t="shared" si="38"/>
        <v>-3.5063741409869675</v>
      </c>
      <c r="G358" s="98">
        <f t="shared" si="41"/>
        <v>1.026867666030475</v>
      </c>
    </row>
    <row r="359" spans="1:7" x14ac:dyDescent="0.25">
      <c r="A359" s="99">
        <f>2023</f>
        <v>2023</v>
      </c>
      <c r="B359" s="100" t="s">
        <v>16</v>
      </c>
      <c r="C359" s="101">
        <f t="shared" si="36"/>
        <v>1341.4966745207828</v>
      </c>
      <c r="D359" s="102">
        <v>-1.5629172890846643</v>
      </c>
      <c r="E359" s="102">
        <f t="shared" si="43"/>
        <v>-2.4853600337825688</v>
      </c>
      <c r="F359" s="103">
        <f t="shared" si="38"/>
        <v>-5.1924269057794241</v>
      </c>
      <c r="G359" s="98">
        <f t="shared" si="41"/>
        <v>1.0431715749298707</v>
      </c>
    </row>
    <row r="360" spans="1:7" x14ac:dyDescent="0.25">
      <c r="A360" s="99">
        <f>2023</f>
        <v>2023</v>
      </c>
      <c r="B360" s="100" t="s">
        <v>17</v>
      </c>
      <c r="C360" s="101">
        <f t="shared" si="36"/>
        <v>1296.329240936074</v>
      </c>
      <c r="D360" s="102">
        <v>-3.3669433881260757</v>
      </c>
      <c r="E360" s="102">
        <f t="shared" si="43"/>
        <v>-5.7686227565800774</v>
      </c>
      <c r="F360" s="103">
        <f t="shared" si="38"/>
        <v>-8.8863590309630425</v>
      </c>
      <c r="G360" s="98">
        <f t="shared" si="41"/>
        <v>1.0795183465216907</v>
      </c>
    </row>
    <row r="361" spans="1:7" x14ac:dyDescent="0.25">
      <c r="A361" s="99">
        <f>2023</f>
        <v>2023</v>
      </c>
      <c r="B361" s="100" t="s">
        <v>18</v>
      </c>
      <c r="C361" s="101">
        <f t="shared" si="36"/>
        <v>1268.7066451330245</v>
      </c>
      <c r="D361" s="102">
        <v>-2.1308318080600741</v>
      </c>
      <c r="E361" s="102">
        <f t="shared" si="43"/>
        <v>-7.7765349160559545</v>
      </c>
      <c r="F361" s="103">
        <f t="shared" si="38"/>
        <v>-11.214256626090101</v>
      </c>
      <c r="G361" s="98">
        <f t="shared" si="41"/>
        <v>1.1030218877558571</v>
      </c>
    </row>
    <row r="362" spans="1:7" x14ac:dyDescent="0.25">
      <c r="A362" s="99">
        <f>2023</f>
        <v>2023</v>
      </c>
      <c r="B362" s="100" t="s">
        <v>19</v>
      </c>
      <c r="C362" s="101">
        <f t="shared" si="36"/>
        <v>1260.9925958091799</v>
      </c>
      <c r="D362" s="102">
        <v>-0.60802466460131432</v>
      </c>
      <c r="E362" s="102">
        <f t="shared" si="43"/>
        <v>-8.3372763303163122</v>
      </c>
      <c r="F362" s="103">
        <f t="shared" si="38"/>
        <v>-11.46938647598671</v>
      </c>
      <c r="G362" s="98">
        <f t="shared" si="41"/>
        <v>1.1097695604033471</v>
      </c>
    </row>
    <row r="363" spans="1:7" x14ac:dyDescent="0.25">
      <c r="A363" s="99">
        <f>2023</f>
        <v>2023</v>
      </c>
      <c r="B363" s="100" t="s">
        <v>20</v>
      </c>
      <c r="C363" s="101">
        <f t="shared" si="36"/>
        <v>1262.2894359871484</v>
      </c>
      <c r="D363" s="102">
        <v>0.10284280671262191</v>
      </c>
      <c r="E363" s="102">
        <f t="shared" si="43"/>
        <v>-8.2430078125851676</v>
      </c>
      <c r="F363" s="103">
        <f t="shared" si="38"/>
        <v>-10.819290510069003</v>
      </c>
      <c r="G363" s="98">
        <f t="shared" si="41"/>
        <v>1.1086294147971278</v>
      </c>
    </row>
    <row r="364" spans="1:7" x14ac:dyDescent="0.25">
      <c r="A364" s="99">
        <f>2023</f>
        <v>2023</v>
      </c>
      <c r="B364" s="100" t="s">
        <v>21</v>
      </c>
      <c r="C364" s="101">
        <f t="shared" si="36"/>
        <v>1268.7266426685369</v>
      </c>
      <c r="D364" s="102">
        <v>0.50996281026105539</v>
      </c>
      <c r="E364" s="102">
        <f t="shared" si="43"/>
        <v>-7.7750812766152144</v>
      </c>
      <c r="F364" s="103">
        <f t="shared" si="38"/>
        <v>-8.8326423217329975</v>
      </c>
      <c r="G364" s="98">
        <f t="shared" si="41"/>
        <v>1.1030045020412125</v>
      </c>
    </row>
    <row r="365" spans="1:7" x14ac:dyDescent="0.25">
      <c r="A365" s="99">
        <f>2023</f>
        <v>2023</v>
      </c>
      <c r="B365" s="100" t="s">
        <v>22</v>
      </c>
      <c r="C365" s="101">
        <f t="shared" si="36"/>
        <v>1275.977749045273</v>
      </c>
      <c r="D365" s="102">
        <v>0.57152629517456255</v>
      </c>
      <c r="E365" s="102">
        <f t="shared" si="43"/>
        <v>-7.2479916154077006</v>
      </c>
      <c r="F365" s="103">
        <f t="shared" si="38"/>
        <v>-7.3517769173235381</v>
      </c>
      <c r="G365" s="98">
        <f t="shared" si="41"/>
        <v>1.0967363653246405</v>
      </c>
    </row>
    <row r="366" spans="1:7" x14ac:dyDescent="0.25">
      <c r="A366" s="99">
        <f>2023</f>
        <v>2023</v>
      </c>
      <c r="B366" s="100" t="s">
        <v>23</v>
      </c>
      <c r="C366" s="101">
        <f t="shared" si="36"/>
        <v>1284.0387556102546</v>
      </c>
      <c r="D366" s="102">
        <v>0.63175134292217106</v>
      </c>
      <c r="E366" s="102">
        <f t="shared" si="43"/>
        <v>-6.662029556850757</v>
      </c>
      <c r="F366" s="103">
        <f t="shared" si="38"/>
        <v>-6.36066467895896</v>
      </c>
      <c r="G366" s="98">
        <f t="shared" si="41"/>
        <v>1.089851215634019</v>
      </c>
    </row>
    <row r="367" spans="1:7" x14ac:dyDescent="0.25">
      <c r="A367" s="99">
        <f>2023</f>
        <v>2023</v>
      </c>
      <c r="B367" s="100" t="s">
        <v>12</v>
      </c>
      <c r="C367" s="101">
        <f t="shared" si="36"/>
        <v>1294.1885047594894</v>
      </c>
      <c r="D367" s="102">
        <v>0.79045504700603342</v>
      </c>
      <c r="E367" s="102">
        <f t="shared" si="43"/>
        <v>-5.9242348587098759</v>
      </c>
      <c r="F367" s="103">
        <f t="shared" si="38"/>
        <v>-5.9242348587098759</v>
      </c>
      <c r="G367" s="98">
        <f t="shared" si="41"/>
        <v>1.0813039936427917</v>
      </c>
    </row>
    <row r="368" spans="1:7" x14ac:dyDescent="0.25">
      <c r="A368" s="99">
        <f>2024</f>
        <v>2024</v>
      </c>
      <c r="B368" s="100" t="s">
        <v>13</v>
      </c>
      <c r="C368" s="101">
        <f t="shared" si="36"/>
        <v>1286.4954528479329</v>
      </c>
      <c r="D368" s="102">
        <v>-0.59443055499757147</v>
      </c>
      <c r="E368" s="102">
        <f t="shared" ref="E368:E379" si="44">+((C368/$C$367)-1)*100</f>
        <v>-0.59443055499756037</v>
      </c>
      <c r="F368" s="103">
        <f t="shared" si="38"/>
        <v>-6.3086456611494812</v>
      </c>
      <c r="G368" s="98">
        <f t="shared" si="41"/>
        <v>1.0877700310756115</v>
      </c>
    </row>
    <row r="369" spans="1:8" x14ac:dyDescent="0.25">
      <c r="A369" s="99">
        <f>2024</f>
        <v>2024</v>
      </c>
      <c r="B369" s="100" t="s">
        <v>14</v>
      </c>
      <c r="C369" s="101">
        <f t="shared" ref="C369:C380" si="45">+C368*(1+D369/100)</f>
        <v>1276.7596526838015</v>
      </c>
      <c r="D369" s="102">
        <v>-0.75676910808967213</v>
      </c>
      <c r="E369" s="102">
        <f t="shared" si="44"/>
        <v>-1.3467011962779663</v>
      </c>
      <c r="F369" s="103">
        <f t="shared" si="38"/>
        <v>-6.9770982690204768</v>
      </c>
      <c r="G369" s="98">
        <f t="shared" si="41"/>
        <v>1.0960647102071317</v>
      </c>
    </row>
    <row r="370" spans="1:8" x14ac:dyDescent="0.25">
      <c r="A370" s="99">
        <f>2024</f>
        <v>2024</v>
      </c>
      <c r="B370" s="100" t="s">
        <v>15</v>
      </c>
      <c r="C370" s="101">
        <f t="shared" si="45"/>
        <v>1270.3174466185351</v>
      </c>
      <c r="D370" s="102">
        <v>-0.50457469044581371</v>
      </c>
      <c r="E370" s="102">
        <f t="shared" si="44"/>
        <v>-1.8444807733314361</v>
      </c>
      <c r="F370" s="103">
        <f t="shared" si="38"/>
        <v>-6.7859459237367918</v>
      </c>
      <c r="G370" s="98">
        <f t="shared" si="41"/>
        <v>1.1016232221702766</v>
      </c>
    </row>
    <row r="371" spans="1:8" x14ac:dyDescent="0.25">
      <c r="A371" s="99">
        <f>2024</f>
        <v>2024</v>
      </c>
      <c r="B371" s="100" t="s">
        <v>16</v>
      </c>
      <c r="C371" s="101">
        <f t="shared" si="45"/>
        <v>1280.9881315678635</v>
      </c>
      <c r="D371" s="102">
        <v>0.84000144827836021</v>
      </c>
      <c r="E371" s="102">
        <f t="shared" si="44"/>
        <v>-1.0199729902622634</v>
      </c>
      <c r="F371" s="103">
        <f t="shared" si="38"/>
        <v>-4.5105250055528012</v>
      </c>
      <c r="G371" s="98">
        <f t="shared" si="41"/>
        <v>1.0924466544512179</v>
      </c>
    </row>
    <row r="372" spans="1:8" x14ac:dyDescent="0.25">
      <c r="A372" s="99">
        <f>2024</f>
        <v>2024</v>
      </c>
      <c r="B372" s="100" t="s">
        <v>17</v>
      </c>
      <c r="C372" s="101">
        <f t="shared" si="45"/>
        <v>1293.4335977939027</v>
      </c>
      <c r="D372" s="102">
        <v>0.97155203232106579</v>
      </c>
      <c r="E372" s="102">
        <f t="shared" si="44"/>
        <v>-5.8330526257233117E-2</v>
      </c>
      <c r="F372" s="103">
        <f t="shared" ref="F372:F380" si="46">100*((C372/C360)-1)</f>
        <v>-0.22337250836681477</v>
      </c>
      <c r="G372" s="98">
        <f t="shared" si="41"/>
        <v>1.0819350920757611</v>
      </c>
    </row>
    <row r="373" spans="1:8" x14ac:dyDescent="0.25">
      <c r="A373" s="99">
        <f>2024</f>
        <v>2024</v>
      </c>
      <c r="B373" s="100" t="s">
        <v>18</v>
      </c>
      <c r="C373" s="101">
        <f t="shared" si="45"/>
        <v>1300.501726720702</v>
      </c>
      <c r="D373" s="102">
        <v>0.54646244993594717</v>
      </c>
      <c r="E373" s="102">
        <f t="shared" si="44"/>
        <v>0.48781316925587959</v>
      </c>
      <c r="F373" s="103">
        <f t="shared" si="46"/>
        <v>2.506101919592596</v>
      </c>
      <c r="G373" s="98">
        <f t="shared" si="41"/>
        <v>1.0760548563451227</v>
      </c>
    </row>
    <row r="374" spans="1:8" x14ac:dyDescent="0.25">
      <c r="A374" s="99">
        <f>2024</f>
        <v>2024</v>
      </c>
      <c r="B374" s="100" t="s">
        <v>19</v>
      </c>
      <c r="C374" s="101">
        <f t="shared" si="45"/>
        <v>1312.6552289282627</v>
      </c>
      <c r="D374" s="102">
        <v>0.93452411156780268</v>
      </c>
      <c r="E374" s="102">
        <f t="shared" si="44"/>
        <v>1.4268960125097818</v>
      </c>
      <c r="F374" s="103">
        <f t="shared" si="46"/>
        <v>4.0969814803655469</v>
      </c>
      <c r="G374" s="98">
        <f t="shared" si="41"/>
        <v>1.0660919698355216</v>
      </c>
    </row>
    <row r="375" spans="1:8" x14ac:dyDescent="0.25">
      <c r="A375" s="99">
        <f>2024</f>
        <v>2024</v>
      </c>
      <c r="B375" s="100" t="s">
        <v>20</v>
      </c>
      <c r="C375" s="101">
        <f t="shared" si="45"/>
        <v>1314.1130492671048</v>
      </c>
      <c r="D375" s="102">
        <v>0.11105889091931331</v>
      </c>
      <c r="E375" s="102">
        <f t="shared" si="44"/>
        <v>1.539539598315165</v>
      </c>
      <c r="F375" s="103">
        <f t="shared" si="46"/>
        <v>4.1055253892249066</v>
      </c>
      <c r="G375" s="98">
        <f t="shared" si="41"/>
        <v>1.0649092933849915</v>
      </c>
    </row>
    <row r="376" spans="1:8" x14ac:dyDescent="0.25">
      <c r="A376" s="99">
        <f>2024</f>
        <v>2024</v>
      </c>
      <c r="B376" s="100" t="s">
        <v>21</v>
      </c>
      <c r="C376" s="101">
        <f t="shared" si="45"/>
        <v>1329.9051030611163</v>
      </c>
      <c r="D376" s="102">
        <v>1.2017271879933622</v>
      </c>
      <c r="E376" s="102">
        <f t="shared" si="44"/>
        <v>2.7597678522314206</v>
      </c>
      <c r="F376" s="103">
        <f t="shared" si="46"/>
        <v>4.8220363894858842</v>
      </c>
      <c r="G376" s="98">
        <f t="shared" si="41"/>
        <v>1.0522639513916645</v>
      </c>
    </row>
    <row r="377" spans="1:8" x14ac:dyDescent="0.25">
      <c r="A377" s="99">
        <f>2024</f>
        <v>2024</v>
      </c>
      <c r="B377" s="100" t="s">
        <v>22</v>
      </c>
      <c r="C377" s="101">
        <f t="shared" si="45"/>
        <v>1356.6773842665743</v>
      </c>
      <c r="D377" s="102">
        <v>2.0130971107513496</v>
      </c>
      <c r="E377" s="102">
        <f t="shared" si="44"/>
        <v>4.8284217698794762</v>
      </c>
      <c r="F377" s="103">
        <f t="shared" si="46"/>
        <v>6.3245331105251212</v>
      </c>
      <c r="G377" s="98">
        <f t="shared" si="41"/>
        <v>1.0314988772953981</v>
      </c>
    </row>
    <row r="378" spans="1:8" x14ac:dyDescent="0.25">
      <c r="A378" s="99">
        <f>2024</f>
        <v>2024</v>
      </c>
      <c r="B378" s="100" t="s">
        <v>23</v>
      </c>
      <c r="C378" s="101">
        <f t="shared" si="45"/>
        <v>1379.2371973314876</v>
      </c>
      <c r="D378" s="102">
        <v>1.6628723472905227</v>
      </c>
      <c r="E378" s="102">
        <f t="shared" si="44"/>
        <v>6.5715846075918849</v>
      </c>
      <c r="F378" s="103">
        <f t="shared" si="46"/>
        <v>7.413985076796914</v>
      </c>
      <c r="G378" s="98">
        <f t="shared" si="41"/>
        <v>1.014626926703089</v>
      </c>
    </row>
    <row r="379" spans="1:8" x14ac:dyDescent="0.25">
      <c r="A379" s="99">
        <f>2024</f>
        <v>2024</v>
      </c>
      <c r="B379" s="100" t="s">
        <v>12</v>
      </c>
      <c r="C379" s="101">
        <f t="shared" si="45"/>
        <v>1394.0948513941387</v>
      </c>
      <c r="D379" s="102">
        <v>1.0772370475069293</v>
      </c>
      <c r="E379" s="102">
        <f t="shared" si="44"/>
        <v>7.7196131991000616</v>
      </c>
      <c r="F379" s="103">
        <f t="shared" si="46"/>
        <v>7.7196131991000616</v>
      </c>
      <c r="G379" s="98">
        <f t="shared" si="41"/>
        <v>1.0038134760511983</v>
      </c>
    </row>
    <row r="380" spans="1:8" x14ac:dyDescent="0.25">
      <c r="A380" s="99">
        <f>2025</f>
        <v>2025</v>
      </c>
      <c r="B380" s="100" t="s">
        <v>13</v>
      </c>
      <c r="C380" s="101">
        <f t="shared" si="45"/>
        <v>1394.551795296584</v>
      </c>
      <c r="D380" s="102">
        <v>3.2777102790992885E-2</v>
      </c>
      <c r="E380" s="102">
        <f>+((C380/$C$379)-1)*100</f>
        <v>3.2777102790992885E-2</v>
      </c>
      <c r="F380" s="103">
        <f t="shared" si="46"/>
        <v>8.3992790032366926</v>
      </c>
      <c r="G380" s="98">
        <f t="shared" si="41"/>
        <v>1.0034845628845299</v>
      </c>
    </row>
    <row r="381" spans="1:8" x14ac:dyDescent="0.25">
      <c r="A381" s="99">
        <f>2025</f>
        <v>2025</v>
      </c>
      <c r="B381" s="100" t="s">
        <v>14</v>
      </c>
      <c r="C381" s="101">
        <f t="shared" ref="C381" si="47">+C380*(1+D381/100)</f>
        <v>1408.9820237431791</v>
      </c>
      <c r="D381" s="102">
        <v>1.0347574392908232</v>
      </c>
      <c r="E381" s="102">
        <f>+((C381/$C$379)-1)*100</f>
        <v>1.0678737055913157</v>
      </c>
      <c r="F381" s="103">
        <f t="shared" ref="F381" si="48">100*((C381/C369)-1)</f>
        <v>10.356089400337854</v>
      </c>
      <c r="G381" s="98">
        <f t="shared" si="41"/>
        <v>0.99320727670128561</v>
      </c>
    </row>
    <row r="382" spans="1:8" x14ac:dyDescent="0.25">
      <c r="A382" s="99">
        <f>2025</f>
        <v>2025</v>
      </c>
      <c r="B382" s="100" t="s">
        <v>15</v>
      </c>
      <c r="C382" s="101">
        <f t="shared" ref="C382" si="49">+C381*(1+D382/100)</f>
        <v>1396.5565491793047</v>
      </c>
      <c r="D382" s="102">
        <v>-0.8818760178972429</v>
      </c>
      <c r="E382" s="102">
        <f>+((C382/$C$379)-1)*100</f>
        <v>0.17658036558303447</v>
      </c>
      <c r="F382" s="103">
        <f t="shared" ref="F382" si="50">100*((C382/C370)-1)</f>
        <v>9.9376028328042043</v>
      </c>
      <c r="G382" s="104">
        <f t="shared" si="41"/>
        <v>1.0020440629814824</v>
      </c>
      <c r="H382" s="797"/>
    </row>
    <row r="383" spans="1:8" ht="16.5" thickBot="1" x14ac:dyDescent="0.3">
      <c r="A383" s="105">
        <f>2025</f>
        <v>2025</v>
      </c>
      <c r="B383" s="792" t="s">
        <v>16</v>
      </c>
      <c r="C383" s="793">
        <f>+C382*(1+D383/100)</f>
        <v>1399.411198723029</v>
      </c>
      <c r="D383" s="794">
        <v>0.20440629814824085</v>
      </c>
      <c r="E383" s="794">
        <f>+((C383/$C$379)-1)*100</f>
        <v>0.38134760511983057</v>
      </c>
      <c r="F383" s="795">
        <f t="shared" ref="F383" si="51">100*((C383/C371)-1)</f>
        <v>9.2446654451217913</v>
      </c>
      <c r="G383" s="110">
        <f t="shared" si="41"/>
        <v>1</v>
      </c>
    </row>
    <row r="384" spans="1:8" x14ac:dyDescent="0.25">
      <c r="A384" s="787"/>
      <c r="B384" s="788"/>
      <c r="C384" s="789"/>
      <c r="D384" s="790"/>
      <c r="E384" s="790"/>
      <c r="F384" s="790"/>
      <c r="G384" s="791"/>
    </row>
    <row r="385" spans="1:7" x14ac:dyDescent="0.25">
      <c r="A385" s="180" t="s">
        <v>90</v>
      </c>
      <c r="B385" s="144"/>
      <c r="C385" s="176"/>
      <c r="D385" s="177"/>
      <c r="E385" s="176"/>
      <c r="F385" s="176"/>
      <c r="G385" s="217"/>
    </row>
    <row r="386" spans="1:7" x14ac:dyDescent="0.25">
      <c r="A386" s="201" t="s">
        <v>44</v>
      </c>
      <c r="B386" s="144"/>
      <c r="C386" s="176"/>
      <c r="D386" s="177"/>
      <c r="E386" s="176"/>
      <c r="F386" s="176"/>
      <c r="G386" s="178"/>
    </row>
    <row r="387" spans="1:7" x14ac:dyDescent="0.25">
      <c r="A387" s="201" t="s">
        <v>45</v>
      </c>
      <c r="B387" s="144"/>
      <c r="C387" s="176"/>
      <c r="D387" s="177"/>
      <c r="E387" s="176"/>
      <c r="F387" s="176"/>
      <c r="G387" s="178"/>
    </row>
    <row r="388" spans="1:7" x14ac:dyDescent="0.25">
      <c r="A388" s="201" t="s">
        <v>46</v>
      </c>
      <c r="B388" s="144"/>
      <c r="C388" s="176"/>
      <c r="D388" s="177"/>
      <c r="E388" s="176"/>
      <c r="F388" s="176"/>
      <c r="G388" s="178"/>
    </row>
    <row r="389" spans="1:7" x14ac:dyDescent="0.25">
      <c r="D389" s="166"/>
      <c r="E389" s="166"/>
      <c r="F389" s="166"/>
      <c r="G389" s="168"/>
    </row>
    <row r="390" spans="1:7" x14ac:dyDescent="0.25">
      <c r="A390" s="113"/>
      <c r="D390" s="166"/>
      <c r="E390" s="166"/>
      <c r="F390" s="166"/>
      <c r="G390" s="168"/>
    </row>
    <row r="391" spans="1:7" ht="15" customHeight="1" x14ac:dyDescent="0.25">
      <c r="A391" s="681" t="s">
        <v>91</v>
      </c>
      <c r="B391" s="681"/>
      <c r="C391" s="681"/>
      <c r="D391" s="112"/>
      <c r="E391" s="112"/>
      <c r="F391" s="112"/>
      <c r="G391" s="112"/>
    </row>
    <row r="392" spans="1:7" x14ac:dyDescent="0.25">
      <c r="A392" s="112"/>
      <c r="B392" s="112"/>
      <c r="C392" s="112"/>
      <c r="D392" s="112"/>
      <c r="E392" s="112"/>
      <c r="F392" s="112"/>
      <c r="G392" s="112"/>
    </row>
    <row r="393" spans="1:7" x14ac:dyDescent="0.25">
      <c r="A393" s="112"/>
      <c r="B393" s="112"/>
      <c r="C393" s="112"/>
      <c r="D393" s="112"/>
      <c r="E393" s="112"/>
      <c r="F393" s="112"/>
      <c r="G393" s="112"/>
    </row>
    <row r="394" spans="1:7" x14ac:dyDescent="0.25">
      <c r="A394" s="112"/>
      <c r="B394" s="112"/>
      <c r="C394" s="112"/>
      <c r="D394" s="112"/>
      <c r="E394" s="112"/>
      <c r="F394" s="112"/>
      <c r="G394" s="112"/>
    </row>
  </sheetData>
  <mergeCells count="7">
    <mergeCell ref="A1:G3"/>
    <mergeCell ref="A391:C391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Resumo</vt:lpstr>
      <vt:lpstr>IGPM</vt:lpstr>
      <vt:lpstr>IGPDI</vt:lpstr>
      <vt:lpstr>IPCAIBGE</vt:lpstr>
      <vt:lpstr>IPCAE</vt:lpstr>
      <vt:lpstr>INPCIBGE</vt:lpstr>
      <vt:lpstr>ICVDIEESE</vt:lpstr>
      <vt:lpstr>IPCFIPE</vt:lpstr>
      <vt:lpstr>IPA-DI FGV</vt:lpstr>
      <vt:lpstr>IPC|BR - DI.FGV</vt:lpstr>
      <vt:lpstr>IPA-IGPM</vt:lpstr>
      <vt:lpstr>INCC-SINDUSCON</vt:lpstr>
      <vt:lpstr>Poupanca</vt:lpstr>
      <vt:lpstr>Txbas</vt:lpstr>
      <vt:lpstr>SELIC</vt:lpstr>
      <vt:lpstr>Selicacum</vt:lpstr>
      <vt:lpstr>TJLP</vt:lpstr>
      <vt:lpstr>Dolar</vt:lpstr>
      <vt:lpstr>Salário Mínimo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Silva | NTC</dc:creator>
  <cp:lastModifiedBy>Fernando Silva | NTC</cp:lastModifiedBy>
  <dcterms:created xsi:type="dcterms:W3CDTF">2025-03-11T13:02:31Z</dcterms:created>
  <dcterms:modified xsi:type="dcterms:W3CDTF">2025-05-14T19:19:34Z</dcterms:modified>
</cp:coreProperties>
</file>