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INDTRANS/"/>
    </mc:Choice>
  </mc:AlternateContent>
  <xr:revisionPtr revIDLastSave="825" documentId="13_ncr:1_{1215CC94-9181-4FD4-B7F0-F733153A8984}" xr6:coauthVersionLast="47" xr6:coauthVersionMax="47" xr10:uidLastSave="{CF2E9AEE-FBBE-40F6-B963-5A710D3148D9}"/>
  <bookViews>
    <workbookView xWindow="20370" yWindow="-120" windowWidth="24240" windowHeight="13020" xr2:uid="{066CD5C0-14A8-4CA1-A8F0-2EF3D9B4E962}"/>
  </bookViews>
  <sheets>
    <sheet name="Resumo" sheetId="20" r:id="rId1"/>
    <sheet name="IGPM" sheetId="1" r:id="rId2"/>
    <sheet name="IGPDI" sheetId="2" r:id="rId3"/>
    <sheet name="IPCAIBGE" sheetId="3" r:id="rId4"/>
    <sheet name="IPCAE" sheetId="4" r:id="rId5"/>
    <sheet name="INPCIBGE" sheetId="5" r:id="rId6"/>
    <sheet name="ICVDIEESE" sheetId="6" state="hidden" r:id="rId7"/>
    <sheet name="IPCFIPE" sheetId="7" r:id="rId8"/>
    <sheet name="IPA-DI FGV" sheetId="8" r:id="rId9"/>
    <sheet name="IPC|BR - DI.FGV" sheetId="9" r:id="rId10"/>
    <sheet name="IPA-IGPM" sheetId="10" r:id="rId11"/>
    <sheet name="INCC-SINDUSCON" sheetId="12" r:id="rId12"/>
    <sheet name="Poupanca" sheetId="13" r:id="rId13"/>
    <sheet name="Txbas" sheetId="14" r:id="rId14"/>
    <sheet name="SELIC" sheetId="15" r:id="rId15"/>
    <sheet name="Selicacum" sheetId="16" r:id="rId16"/>
    <sheet name="TJLP" sheetId="17" r:id="rId17"/>
    <sheet name="Dolar" sheetId="18" r:id="rId18"/>
    <sheet name="Salário Mínimo" sheetId="19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0" l="1"/>
  <c r="E27" i="20"/>
  <c r="D27" i="20"/>
  <c r="C27" i="20"/>
  <c r="F25" i="20"/>
  <c r="E25" i="20"/>
  <c r="D25" i="20"/>
  <c r="C25" i="20"/>
  <c r="E23" i="20"/>
  <c r="D23" i="20"/>
  <c r="E22" i="20"/>
  <c r="D22" i="20"/>
  <c r="F21" i="20"/>
  <c r="E21" i="20"/>
  <c r="D21" i="20"/>
  <c r="C21" i="20"/>
  <c r="F19" i="20"/>
  <c r="E19" i="20"/>
  <c r="D19" i="20"/>
  <c r="C19" i="20"/>
  <c r="F18" i="20"/>
  <c r="E18" i="20"/>
  <c r="D18" i="20"/>
  <c r="C18" i="20"/>
  <c r="F17" i="20"/>
  <c r="E17" i="20"/>
  <c r="D17" i="20"/>
  <c r="C17" i="20"/>
  <c r="F16" i="20"/>
  <c r="E16" i="20"/>
  <c r="D16" i="20"/>
  <c r="C16" i="20"/>
  <c r="F15" i="20"/>
  <c r="E15" i="20"/>
  <c r="D15" i="20"/>
  <c r="C15" i="20"/>
  <c r="F14" i="20"/>
  <c r="E14" i="20"/>
  <c r="D14" i="20"/>
  <c r="C14" i="20"/>
  <c r="F12" i="20"/>
  <c r="E12" i="20"/>
  <c r="D12" i="20"/>
  <c r="C12" i="20"/>
  <c r="F11" i="20"/>
  <c r="E11" i="20"/>
  <c r="D11" i="20"/>
  <c r="C11" i="20"/>
  <c r="C10" i="20"/>
  <c r="F10" i="20"/>
  <c r="E10" i="20"/>
  <c r="D10" i="20"/>
  <c r="F9" i="20"/>
  <c r="E9" i="20"/>
  <c r="D9" i="20"/>
  <c r="C9" i="20"/>
  <c r="F8" i="20"/>
  <c r="E8" i="20"/>
  <c r="D8" i="20"/>
  <c r="C8" i="20"/>
  <c r="F7" i="20"/>
  <c r="E7" i="20"/>
  <c r="D7" i="20"/>
  <c r="C7" i="20"/>
  <c r="F6" i="20"/>
  <c r="E6" i="20"/>
  <c r="D6" i="20"/>
  <c r="C6" i="20"/>
  <c r="F5" i="20"/>
  <c r="E5" i="20"/>
  <c r="D5" i="20"/>
  <c r="C5" i="20"/>
  <c r="F4" i="20"/>
  <c r="E4" i="20"/>
  <c r="D4" i="20"/>
  <c r="C4" i="20"/>
  <c r="C364" i="18"/>
  <c r="E392" i="3"/>
  <c r="A384" i="19"/>
  <c r="D384" i="19"/>
  <c r="G311" i="18"/>
  <c r="G308" i="18"/>
  <c r="G307" i="18"/>
  <c r="G306" i="18"/>
  <c r="G305" i="18"/>
  <c r="G304" i="18"/>
  <c r="G303" i="18"/>
  <c r="G302" i="18"/>
  <c r="G301" i="18"/>
  <c r="G300" i="18"/>
  <c r="G299" i="18"/>
  <c r="G298" i="18"/>
  <c r="G297" i="18"/>
  <c r="G271" i="18"/>
  <c r="G270" i="18"/>
  <c r="G269" i="18"/>
  <c r="G268" i="18"/>
  <c r="G267" i="18"/>
  <c r="G266" i="18"/>
  <c r="G265" i="18"/>
  <c r="G264" i="18"/>
  <c r="G263" i="18"/>
  <c r="G262" i="18"/>
  <c r="G261" i="18"/>
  <c r="G246" i="18"/>
  <c r="G244" i="18"/>
  <c r="G243" i="18"/>
  <c r="G242" i="18"/>
  <c r="G241" i="18"/>
  <c r="G240" i="18"/>
  <c r="G239" i="18"/>
  <c r="G238" i="18"/>
  <c r="G237" i="18"/>
  <c r="G236" i="18"/>
  <c r="G235" i="18"/>
  <c r="G234" i="18"/>
  <c r="G233" i="18"/>
  <c r="G232" i="18"/>
  <c r="G231" i="18"/>
  <c r="G230" i="18"/>
  <c r="G229" i="18"/>
  <c r="G228" i="18"/>
  <c r="G227" i="18"/>
  <c r="G226" i="18"/>
  <c r="G225" i="18"/>
  <c r="G224" i="18"/>
  <c r="G223" i="18"/>
  <c r="G222" i="18"/>
  <c r="G221" i="18"/>
  <c r="G183" i="18"/>
  <c r="G182" i="18"/>
  <c r="G181" i="18"/>
  <c r="G180" i="18"/>
  <c r="A364" i="18"/>
  <c r="E364" i="18"/>
  <c r="F364" i="18"/>
  <c r="H364" i="18"/>
  <c r="I364" i="18"/>
  <c r="A362" i="17"/>
  <c r="D362" i="17"/>
  <c r="A368" i="15"/>
  <c r="D368" i="15"/>
  <c r="G120" i="13"/>
  <c r="A407" i="13"/>
  <c r="C407" i="13"/>
  <c r="E407" i="13" s="1"/>
  <c r="A314" i="10"/>
  <c r="A396" i="9"/>
  <c r="A396" i="8"/>
  <c r="A400" i="7"/>
  <c r="G392" i="5"/>
  <c r="G391" i="5"/>
  <c r="G384" i="5"/>
  <c r="G383" i="5"/>
  <c r="G376" i="5"/>
  <c r="G375" i="5"/>
  <c r="G370" i="5"/>
  <c r="G368" i="5"/>
  <c r="G367" i="5"/>
  <c r="G362" i="5"/>
  <c r="G360" i="5"/>
  <c r="G359" i="5"/>
  <c r="G354" i="5"/>
  <c r="G352" i="5"/>
  <c r="G351" i="5"/>
  <c r="G346" i="5"/>
  <c r="G344" i="5"/>
  <c r="G343" i="5"/>
  <c r="G338" i="5"/>
  <c r="G336" i="5"/>
  <c r="G335" i="5"/>
  <c r="G330" i="5"/>
  <c r="G328" i="5"/>
  <c r="G327" i="5"/>
  <c r="G322" i="5"/>
  <c r="G320" i="5"/>
  <c r="G319" i="5"/>
  <c r="G314" i="5"/>
  <c r="G312" i="5"/>
  <c r="G311" i="5"/>
  <c r="G310" i="5"/>
  <c r="G306" i="5"/>
  <c r="G304" i="5"/>
  <c r="G303" i="5"/>
  <c r="G302" i="5"/>
  <c r="G298" i="5"/>
  <c r="G296" i="5"/>
  <c r="G295" i="5"/>
  <c r="G294" i="5"/>
  <c r="G290" i="5"/>
  <c r="G288" i="5"/>
  <c r="G287" i="5"/>
  <c r="G286" i="5"/>
  <c r="G282" i="5"/>
  <c r="G280" i="5"/>
  <c r="G279" i="5"/>
  <c r="G278" i="5"/>
  <c r="G274" i="5"/>
  <c r="G272" i="5"/>
  <c r="G271" i="5"/>
  <c r="G270" i="5"/>
  <c r="G266" i="5"/>
  <c r="G264" i="5"/>
  <c r="G263" i="5"/>
  <c r="G262" i="5"/>
  <c r="G258" i="5"/>
  <c r="G256" i="5"/>
  <c r="G255" i="5"/>
  <c r="G254" i="5"/>
  <c r="G250" i="5"/>
  <c r="G248" i="5"/>
  <c r="G247" i="5"/>
  <c r="G246" i="5"/>
  <c r="G242" i="5"/>
  <c r="G240" i="5"/>
  <c r="G239" i="5"/>
  <c r="G238" i="5"/>
  <c r="G234" i="5"/>
  <c r="G232" i="5"/>
  <c r="G231" i="5"/>
  <c r="G230" i="5"/>
  <c r="G226" i="5"/>
  <c r="G224" i="5"/>
  <c r="G223" i="5"/>
  <c r="G222" i="5"/>
  <c r="G218" i="5"/>
  <c r="G216" i="5"/>
  <c r="G215" i="5"/>
  <c r="G214" i="5"/>
  <c r="G210" i="5"/>
  <c r="G208" i="5"/>
  <c r="G207" i="5"/>
  <c r="G206" i="5"/>
  <c r="G202" i="5"/>
  <c r="G200" i="5"/>
  <c r="G199" i="5"/>
  <c r="G198" i="5"/>
  <c r="G194" i="5"/>
  <c r="G192" i="5"/>
  <c r="G191" i="5"/>
  <c r="G190" i="5"/>
  <c r="G186" i="5"/>
  <c r="G184" i="5"/>
  <c r="G183" i="5"/>
  <c r="G182" i="5"/>
  <c r="G178" i="5"/>
  <c r="G176" i="5"/>
  <c r="G175" i="5"/>
  <c r="G174" i="5"/>
  <c r="G170" i="5"/>
  <c r="G168" i="5"/>
  <c r="G167" i="5"/>
  <c r="G166" i="5"/>
  <c r="G162" i="5"/>
  <c r="G160" i="5"/>
  <c r="G159" i="5"/>
  <c r="G158" i="5"/>
  <c r="G154" i="5"/>
  <c r="G152" i="5"/>
  <c r="G151" i="5"/>
  <c r="G150" i="5"/>
  <c r="G146" i="5"/>
  <c r="G144" i="5"/>
  <c r="G143" i="5"/>
  <c r="G142" i="5"/>
  <c r="G138" i="5"/>
  <c r="G136" i="5"/>
  <c r="G135" i="5"/>
  <c r="G134" i="5"/>
  <c r="G130" i="5"/>
  <c r="G128" i="5"/>
  <c r="G127" i="5"/>
  <c r="G126" i="5"/>
  <c r="G122" i="5"/>
  <c r="G120" i="5"/>
  <c r="G119" i="5"/>
  <c r="G118" i="5"/>
  <c r="G114" i="5"/>
  <c r="G112" i="5"/>
  <c r="G111" i="5"/>
  <c r="G110" i="5"/>
  <c r="G106" i="5"/>
  <c r="G104" i="5"/>
  <c r="G103" i="5"/>
  <c r="G102" i="5"/>
  <c r="G98" i="5"/>
  <c r="G96" i="5"/>
  <c r="G95" i="5"/>
  <c r="G94" i="5"/>
  <c r="G90" i="5"/>
  <c r="G88" i="5"/>
  <c r="G87" i="5"/>
  <c r="G86" i="5"/>
  <c r="G82" i="5"/>
  <c r="G80" i="5"/>
  <c r="G79" i="5"/>
  <c r="G78" i="5"/>
  <c r="G74" i="5"/>
  <c r="G72" i="5"/>
  <c r="G71" i="5"/>
  <c r="G70" i="5"/>
  <c r="G66" i="5"/>
  <c r="G64" i="5"/>
  <c r="G63" i="5"/>
  <c r="G62" i="5"/>
  <c r="G58" i="5"/>
  <c r="G56" i="5"/>
  <c r="G55" i="5"/>
  <c r="G54" i="5"/>
  <c r="G50" i="5"/>
  <c r="G48" i="5"/>
  <c r="G47" i="5"/>
  <c r="G46" i="5"/>
  <c r="G42" i="5"/>
  <c r="G40" i="5"/>
  <c r="G39" i="5"/>
  <c r="G38" i="5"/>
  <c r="G34" i="5"/>
  <c r="G32" i="5"/>
  <c r="G31" i="5"/>
  <c r="G30" i="5"/>
  <c r="G26" i="5"/>
  <c r="G24" i="5"/>
  <c r="G23" i="5"/>
  <c r="G22" i="5"/>
  <c r="G18" i="5"/>
  <c r="G16" i="5"/>
  <c r="G15" i="5"/>
  <c r="G14" i="5"/>
  <c r="G10" i="5"/>
  <c r="G8" i="5"/>
  <c r="G7" i="5"/>
  <c r="A396" i="5"/>
  <c r="C396" i="5"/>
  <c r="G389" i="5" s="1"/>
  <c r="A314" i="4"/>
  <c r="A396" i="3"/>
  <c r="A388" i="2"/>
  <c r="A405" i="1"/>
  <c r="F26" i="20"/>
  <c r="E26" i="20"/>
  <c r="D26" i="20"/>
  <c r="C26" i="20"/>
  <c r="F24" i="20"/>
  <c r="E24" i="20"/>
  <c r="D24" i="20"/>
  <c r="F20" i="20"/>
  <c r="E20" i="20"/>
  <c r="D20" i="20"/>
  <c r="C20" i="20"/>
  <c r="A382" i="19"/>
  <c r="D382" i="19"/>
  <c r="A383" i="19"/>
  <c r="D383" i="19"/>
  <c r="C363" i="18"/>
  <c r="C362" i="18"/>
  <c r="C361" i="18"/>
  <c r="C360" i="18"/>
  <c r="C359" i="18"/>
  <c r="C358" i="18"/>
  <c r="C357" i="18"/>
  <c r="C356" i="18"/>
  <c r="C355" i="18"/>
  <c r="C354" i="18"/>
  <c r="C353" i="18"/>
  <c r="C352" i="18"/>
  <c r="C351" i="18"/>
  <c r="C350" i="18"/>
  <c r="C349" i="18"/>
  <c r="C348" i="18"/>
  <c r="C347" i="18"/>
  <c r="C346" i="18"/>
  <c r="C345" i="18"/>
  <c r="C344" i="18"/>
  <c r="C343" i="18"/>
  <c r="C342" i="18"/>
  <c r="C341" i="18"/>
  <c r="C340" i="18"/>
  <c r="C339" i="18"/>
  <c r="C338" i="18"/>
  <c r="C337" i="18"/>
  <c r="C336" i="18"/>
  <c r="C335" i="18"/>
  <c r="C334" i="18"/>
  <c r="C333" i="18"/>
  <c r="C332" i="18"/>
  <c r="C331" i="18"/>
  <c r="C330" i="18"/>
  <c r="C329" i="18"/>
  <c r="C328" i="18"/>
  <c r="C327" i="18"/>
  <c r="C326" i="18"/>
  <c r="C325" i="18"/>
  <c r="C324" i="18"/>
  <c r="C323" i="18"/>
  <c r="C322" i="18"/>
  <c r="C321" i="18"/>
  <c r="C320" i="18"/>
  <c r="C319" i="18"/>
  <c r="C318" i="18"/>
  <c r="C317" i="18"/>
  <c r="C316" i="18"/>
  <c r="C315" i="18"/>
  <c r="C314" i="18"/>
  <c r="C313" i="18"/>
  <c r="C312" i="18"/>
  <c r="C311" i="18"/>
  <c r="C310" i="18"/>
  <c r="C309" i="18"/>
  <c r="C308" i="18"/>
  <c r="C307" i="18"/>
  <c r="C306" i="18"/>
  <c r="C305" i="18"/>
  <c r="C304" i="18"/>
  <c r="C303" i="18"/>
  <c r="C302" i="18"/>
  <c r="C301" i="18"/>
  <c r="C300" i="18"/>
  <c r="C299" i="18"/>
  <c r="C298" i="18"/>
  <c r="C297" i="18"/>
  <c r="C296" i="18"/>
  <c r="C295" i="18"/>
  <c r="C294" i="18"/>
  <c r="C293" i="18"/>
  <c r="C292" i="18"/>
  <c r="C291" i="18"/>
  <c r="C290" i="18"/>
  <c r="C289" i="18"/>
  <c r="C288" i="18"/>
  <c r="C287" i="18"/>
  <c r="C286" i="18"/>
  <c r="C285" i="18"/>
  <c r="C284" i="18"/>
  <c r="C283" i="18"/>
  <c r="C282" i="18"/>
  <c r="C281" i="18"/>
  <c r="C280" i="18"/>
  <c r="C279" i="18"/>
  <c r="C278" i="18"/>
  <c r="C277" i="18"/>
  <c r="C276" i="18"/>
  <c r="C275" i="18"/>
  <c r="C274" i="18"/>
  <c r="C273" i="18"/>
  <c r="C272" i="18"/>
  <c r="C271" i="18"/>
  <c r="C270" i="18"/>
  <c r="C269" i="18"/>
  <c r="C268" i="18"/>
  <c r="C267" i="18"/>
  <c r="C266" i="18"/>
  <c r="C265" i="18"/>
  <c r="C264" i="18"/>
  <c r="C263" i="18"/>
  <c r="C262" i="18"/>
  <c r="C261" i="18"/>
  <c r="C260" i="18"/>
  <c r="C259" i="18"/>
  <c r="C258" i="18"/>
  <c r="C257" i="18"/>
  <c r="C256" i="18"/>
  <c r="C255" i="18"/>
  <c r="C254" i="18"/>
  <c r="C253" i="18"/>
  <c r="C252" i="18"/>
  <c r="C251" i="18"/>
  <c r="C250" i="18"/>
  <c r="C249" i="18"/>
  <c r="C248" i="18"/>
  <c r="C247" i="18"/>
  <c r="C246" i="18"/>
  <c r="C245" i="18"/>
  <c r="C244" i="18"/>
  <c r="C243" i="18"/>
  <c r="C242" i="18"/>
  <c r="C241" i="18"/>
  <c r="C240" i="18"/>
  <c r="C239" i="18"/>
  <c r="C238" i="18"/>
  <c r="C237" i="18"/>
  <c r="C236" i="18"/>
  <c r="C235" i="18"/>
  <c r="C234" i="18"/>
  <c r="C233" i="18"/>
  <c r="C232" i="18"/>
  <c r="C231" i="18"/>
  <c r="C230" i="18"/>
  <c r="C229" i="18"/>
  <c r="C228" i="18"/>
  <c r="C227" i="18"/>
  <c r="C226" i="18"/>
  <c r="C225" i="18"/>
  <c r="C224" i="18"/>
  <c r="C223" i="18"/>
  <c r="C222" i="18"/>
  <c r="A362" i="18"/>
  <c r="A363" i="18"/>
  <c r="A360" i="17"/>
  <c r="D360" i="17"/>
  <c r="A361" i="17"/>
  <c r="D361" i="17"/>
  <c r="A366" i="15"/>
  <c r="D366" i="15"/>
  <c r="A367" i="15"/>
  <c r="D367" i="15"/>
  <c r="A405" i="13"/>
  <c r="A406" i="13"/>
  <c r="A398" i="7"/>
  <c r="A399" i="7"/>
  <c r="A312" i="10"/>
  <c r="A313" i="10"/>
  <c r="A394" i="9"/>
  <c r="A395" i="9"/>
  <c r="A312" i="4"/>
  <c r="A313" i="4"/>
  <c r="G309" i="18" l="1"/>
  <c r="G310" i="18"/>
  <c r="G314" i="18"/>
  <c r="G245" i="18"/>
  <c r="G313" i="18"/>
  <c r="G312" i="18"/>
  <c r="G315" i="18"/>
  <c r="G316" i="18"/>
  <c r="G327" i="18"/>
  <c r="G324" i="18"/>
  <c r="G322" i="18"/>
  <c r="G320" i="18"/>
  <c r="G318" i="18"/>
  <c r="G326" i="18"/>
  <c r="G325" i="18"/>
  <c r="G323" i="18"/>
  <c r="G321" i="18"/>
  <c r="G319" i="18"/>
  <c r="G317" i="18"/>
  <c r="G343" i="18"/>
  <c r="G339" i="18"/>
  <c r="G336" i="18"/>
  <c r="G334" i="18"/>
  <c r="G332" i="18"/>
  <c r="G331" i="18"/>
  <c r="G328" i="18"/>
  <c r="G342" i="18"/>
  <c r="G341" i="18"/>
  <c r="G340" i="18"/>
  <c r="G338" i="18"/>
  <c r="G337" i="18"/>
  <c r="G335" i="18"/>
  <c r="G333" i="18"/>
  <c r="G330" i="18"/>
  <c r="G329" i="18"/>
  <c r="G260" i="18"/>
  <c r="G259" i="18"/>
  <c r="G258" i="18"/>
  <c r="G257" i="18"/>
  <c r="G256" i="18"/>
  <c r="G255" i="18"/>
  <c r="G254" i="18"/>
  <c r="G253" i="18"/>
  <c r="G252" i="18"/>
  <c r="G251" i="18"/>
  <c r="G250" i="18"/>
  <c r="G249" i="18"/>
  <c r="G248" i="18"/>
  <c r="G247" i="18"/>
  <c r="G344" i="18"/>
  <c r="G363" i="18"/>
  <c r="G353" i="18"/>
  <c r="G352" i="18"/>
  <c r="G350" i="18"/>
  <c r="G348" i="18"/>
  <c r="G345" i="18"/>
  <c r="G296" i="18"/>
  <c r="G295" i="18"/>
  <c r="G294" i="18"/>
  <c r="G293" i="18"/>
  <c r="G292" i="18"/>
  <c r="G291" i="18"/>
  <c r="G290" i="18"/>
  <c r="G289" i="18"/>
  <c r="G288" i="18"/>
  <c r="G287" i="18"/>
  <c r="G286" i="18"/>
  <c r="G285" i="18"/>
  <c r="G284" i="18"/>
  <c r="G283" i="18"/>
  <c r="G282" i="18"/>
  <c r="G281" i="18"/>
  <c r="G280" i="18"/>
  <c r="G279" i="18"/>
  <c r="G278" i="18"/>
  <c r="G277" i="18"/>
  <c r="G276" i="18"/>
  <c r="G275" i="18"/>
  <c r="G274" i="18"/>
  <c r="G273" i="18"/>
  <c r="G272" i="18"/>
  <c r="G220" i="18"/>
  <c r="G219" i="18"/>
  <c r="G218" i="18"/>
  <c r="G217" i="18"/>
  <c r="G216" i="18"/>
  <c r="G215" i="18"/>
  <c r="G214" i="18"/>
  <c r="G213" i="18"/>
  <c r="G212" i="18"/>
  <c r="G211" i="18"/>
  <c r="G210" i="18"/>
  <c r="G209" i="18"/>
  <c r="G208" i="18"/>
  <c r="G207" i="18"/>
  <c r="G206" i="18"/>
  <c r="G205" i="18"/>
  <c r="G204" i="18"/>
  <c r="G203" i="18"/>
  <c r="G202" i="18"/>
  <c r="G201" i="18"/>
  <c r="G200" i="18"/>
  <c r="G199" i="18"/>
  <c r="G198" i="18"/>
  <c r="G197" i="18"/>
  <c r="G196" i="18"/>
  <c r="G195" i="18"/>
  <c r="G194" i="18"/>
  <c r="G193" i="18"/>
  <c r="G192" i="18"/>
  <c r="G191" i="18"/>
  <c r="G190" i="18"/>
  <c r="G189" i="18"/>
  <c r="G188" i="18"/>
  <c r="G187" i="18"/>
  <c r="G186" i="18"/>
  <c r="G185" i="18"/>
  <c r="G184" i="18"/>
  <c r="G362" i="18"/>
  <c r="G364" i="18"/>
  <c r="G361" i="18"/>
  <c r="G360" i="18"/>
  <c r="G359" i="18"/>
  <c r="G358" i="18"/>
  <c r="G357" i="18"/>
  <c r="G356" i="18"/>
  <c r="G355" i="18"/>
  <c r="G354" i="18"/>
  <c r="G351" i="18"/>
  <c r="G349" i="18"/>
  <c r="G347" i="18"/>
  <c r="G346" i="18"/>
  <c r="G216" i="13"/>
  <c r="G33" i="13"/>
  <c r="G76" i="13"/>
  <c r="G161" i="13"/>
  <c r="G40" i="13"/>
  <c r="G81" i="13"/>
  <c r="G124" i="13"/>
  <c r="G168" i="13"/>
  <c r="G232" i="13"/>
  <c r="G44" i="13"/>
  <c r="G88" i="13"/>
  <c r="G129" i="13"/>
  <c r="G172" i="13"/>
  <c r="G248" i="13"/>
  <c r="G8" i="13"/>
  <c r="G49" i="13"/>
  <c r="G92" i="13"/>
  <c r="G136" i="13"/>
  <c r="G177" i="13"/>
  <c r="G264" i="13"/>
  <c r="G12" i="13"/>
  <c r="G56" i="13"/>
  <c r="G97" i="13"/>
  <c r="G140" i="13"/>
  <c r="G184" i="13"/>
  <c r="G280" i="13"/>
  <c r="G17" i="13"/>
  <c r="G60" i="13"/>
  <c r="G104" i="13"/>
  <c r="G145" i="13"/>
  <c r="G188" i="13"/>
  <c r="G296" i="13"/>
  <c r="G24" i="13"/>
  <c r="G65" i="13"/>
  <c r="G108" i="13"/>
  <c r="G152" i="13"/>
  <c r="G200" i="13"/>
  <c r="G312" i="13"/>
  <c r="G28" i="13"/>
  <c r="G72" i="13"/>
  <c r="G113" i="13"/>
  <c r="G156" i="13"/>
  <c r="G204" i="13"/>
  <c r="G328" i="13"/>
  <c r="G344" i="13"/>
  <c r="G360" i="13"/>
  <c r="G376" i="13"/>
  <c r="G392" i="13"/>
  <c r="G9" i="13"/>
  <c r="G25" i="13"/>
  <c r="G41" i="13"/>
  <c r="G57" i="13"/>
  <c r="G73" i="13"/>
  <c r="G89" i="13"/>
  <c r="G105" i="13"/>
  <c r="G121" i="13"/>
  <c r="G137" i="13"/>
  <c r="G153" i="13"/>
  <c r="G169" i="13"/>
  <c r="G185" i="13"/>
  <c r="G201" i="13"/>
  <c r="G217" i="13"/>
  <c r="G233" i="13"/>
  <c r="G249" i="13"/>
  <c r="G265" i="13"/>
  <c r="G281" i="13"/>
  <c r="G297" i="13"/>
  <c r="G313" i="13"/>
  <c r="G329" i="13"/>
  <c r="G345" i="13"/>
  <c r="G361" i="13"/>
  <c r="G377" i="13"/>
  <c r="G393" i="13"/>
  <c r="G10" i="13"/>
  <c r="G26" i="13"/>
  <c r="G42" i="13"/>
  <c r="G58" i="13"/>
  <c r="G74" i="13"/>
  <c r="G90" i="13"/>
  <c r="G106" i="13"/>
  <c r="G122" i="13"/>
  <c r="G138" i="13"/>
  <c r="G154" i="13"/>
  <c r="G170" i="13"/>
  <c r="G186" i="13"/>
  <c r="G202" i="13"/>
  <c r="G218" i="13"/>
  <c r="G234" i="13"/>
  <c r="G250" i="13"/>
  <c r="G266" i="13"/>
  <c r="G282" i="13"/>
  <c r="G298" i="13"/>
  <c r="G314" i="13"/>
  <c r="G330" i="13"/>
  <c r="G346" i="13"/>
  <c r="G362" i="13"/>
  <c r="G378" i="13"/>
  <c r="G394" i="13"/>
  <c r="G220" i="13"/>
  <c r="G236" i="13"/>
  <c r="G252" i="13"/>
  <c r="G268" i="13"/>
  <c r="G284" i="13"/>
  <c r="G300" i="13"/>
  <c r="G316" i="13"/>
  <c r="G332" i="13"/>
  <c r="G348" i="13"/>
  <c r="G364" i="13"/>
  <c r="G380" i="13"/>
  <c r="G396" i="13"/>
  <c r="G16" i="13"/>
  <c r="G32" i="13"/>
  <c r="G48" i="13"/>
  <c r="G64" i="13"/>
  <c r="G80" i="13"/>
  <c r="G96" i="13"/>
  <c r="G112" i="13"/>
  <c r="G128" i="13"/>
  <c r="G144" i="13"/>
  <c r="G160" i="13"/>
  <c r="G176" i="13"/>
  <c r="G192" i="13"/>
  <c r="G208" i="13"/>
  <c r="G224" i="13"/>
  <c r="G240" i="13"/>
  <c r="G256" i="13"/>
  <c r="G272" i="13"/>
  <c r="G288" i="13"/>
  <c r="G304" i="13"/>
  <c r="G320" i="13"/>
  <c r="G336" i="13"/>
  <c r="G352" i="13"/>
  <c r="G368" i="13"/>
  <c r="G384" i="13"/>
  <c r="G400" i="13"/>
  <c r="G193" i="13"/>
  <c r="G209" i="13"/>
  <c r="G225" i="13"/>
  <c r="G241" i="13"/>
  <c r="G257" i="13"/>
  <c r="G273" i="13"/>
  <c r="G289" i="13"/>
  <c r="G305" i="13"/>
  <c r="G321" i="13"/>
  <c r="G337" i="13"/>
  <c r="G353" i="13"/>
  <c r="G369" i="13"/>
  <c r="G385" i="13"/>
  <c r="G401" i="13"/>
  <c r="G18" i="13"/>
  <c r="G34" i="13"/>
  <c r="G50" i="13"/>
  <c r="G66" i="13"/>
  <c r="G82" i="13"/>
  <c r="G98" i="13"/>
  <c r="G114" i="13"/>
  <c r="G130" i="13"/>
  <c r="G146" i="13"/>
  <c r="G162" i="13"/>
  <c r="G178" i="13"/>
  <c r="G194" i="13"/>
  <c r="G210" i="13"/>
  <c r="G226" i="13"/>
  <c r="G242" i="13"/>
  <c r="G258" i="13"/>
  <c r="G274" i="13"/>
  <c r="G290" i="13"/>
  <c r="G306" i="13"/>
  <c r="G322" i="13"/>
  <c r="G338" i="13"/>
  <c r="G354" i="13"/>
  <c r="G370" i="13"/>
  <c r="G386" i="13"/>
  <c r="G402" i="13"/>
  <c r="G20" i="13"/>
  <c r="G36" i="13"/>
  <c r="G52" i="13"/>
  <c r="G68" i="13"/>
  <c r="G84" i="13"/>
  <c r="G100" i="13"/>
  <c r="G116" i="13"/>
  <c r="G132" i="13"/>
  <c r="G148" i="13"/>
  <c r="G164" i="13"/>
  <c r="G180" i="13"/>
  <c r="G196" i="13"/>
  <c r="G212" i="13"/>
  <c r="G228" i="13"/>
  <c r="G244" i="13"/>
  <c r="G260" i="13"/>
  <c r="G276" i="13"/>
  <c r="G292" i="13"/>
  <c r="G308" i="13"/>
  <c r="G324" i="13"/>
  <c r="G340" i="13"/>
  <c r="G356" i="13"/>
  <c r="G372" i="13"/>
  <c r="G388" i="13"/>
  <c r="G404" i="13"/>
  <c r="G11" i="13"/>
  <c r="G19" i="13"/>
  <c r="G27" i="13"/>
  <c r="G35" i="13"/>
  <c r="G43" i="13"/>
  <c r="G51" i="13"/>
  <c r="G59" i="13"/>
  <c r="G67" i="13"/>
  <c r="G75" i="13"/>
  <c r="G83" i="13"/>
  <c r="G91" i="13"/>
  <c r="G99" i="13"/>
  <c r="G107" i="13"/>
  <c r="G115" i="13"/>
  <c r="G123" i="13"/>
  <c r="G131" i="13"/>
  <c r="G139" i="13"/>
  <c r="G147" i="13"/>
  <c r="G155" i="13"/>
  <c r="G163" i="13"/>
  <c r="G171" i="13"/>
  <c r="G179" i="13"/>
  <c r="G187" i="13"/>
  <c r="G195" i="13"/>
  <c r="G203" i="13"/>
  <c r="G211" i="13"/>
  <c r="G219" i="13"/>
  <c r="G227" i="13"/>
  <c r="G235" i="13"/>
  <c r="G243" i="13"/>
  <c r="G251" i="13"/>
  <c r="G259" i="13"/>
  <c r="G267" i="13"/>
  <c r="G275" i="13"/>
  <c r="G283" i="13"/>
  <c r="G291" i="13"/>
  <c r="G299" i="13"/>
  <c r="G307" i="13"/>
  <c r="G315" i="13"/>
  <c r="G323" i="13"/>
  <c r="G331" i="13"/>
  <c r="G339" i="13"/>
  <c r="G347" i="13"/>
  <c r="G355" i="13"/>
  <c r="G363" i="13"/>
  <c r="G371" i="13"/>
  <c r="G379" i="13"/>
  <c r="G387" i="13"/>
  <c r="G395" i="13"/>
  <c r="G403" i="13"/>
  <c r="G13" i="13"/>
  <c r="G21" i="13"/>
  <c r="G29" i="13"/>
  <c r="G37" i="13"/>
  <c r="G45" i="13"/>
  <c r="G53" i="13"/>
  <c r="G61" i="13"/>
  <c r="G69" i="13"/>
  <c r="G77" i="13"/>
  <c r="G85" i="13"/>
  <c r="G93" i="13"/>
  <c r="G101" i="13"/>
  <c r="G109" i="13"/>
  <c r="G117" i="13"/>
  <c r="G125" i="13"/>
  <c r="G133" i="13"/>
  <c r="G141" i="13"/>
  <c r="G149" i="13"/>
  <c r="G157" i="13"/>
  <c r="G165" i="13"/>
  <c r="G173" i="13"/>
  <c r="G181" i="13"/>
  <c r="G189" i="13"/>
  <c r="G197" i="13"/>
  <c r="G205" i="13"/>
  <c r="G213" i="13"/>
  <c r="G221" i="13"/>
  <c r="G229" i="13"/>
  <c r="G237" i="13"/>
  <c r="G245" i="13"/>
  <c r="G253" i="13"/>
  <c r="G261" i="13"/>
  <c r="G269" i="13"/>
  <c r="G277" i="13"/>
  <c r="G285" i="13"/>
  <c r="G293" i="13"/>
  <c r="G301" i="13"/>
  <c r="G309" i="13"/>
  <c r="G317" i="13"/>
  <c r="G325" i="13"/>
  <c r="G333" i="13"/>
  <c r="G341" i="13"/>
  <c r="G349" i="13"/>
  <c r="G357" i="13"/>
  <c r="G365" i="13"/>
  <c r="G373" i="13"/>
  <c r="G381" i="13"/>
  <c r="G389" i="13"/>
  <c r="G397" i="13"/>
  <c r="G405" i="13"/>
  <c r="G14" i="13"/>
  <c r="G22" i="13"/>
  <c r="G30" i="13"/>
  <c r="G38" i="13"/>
  <c r="G46" i="13"/>
  <c r="G54" i="13"/>
  <c r="G62" i="13"/>
  <c r="G70" i="13"/>
  <c r="G78" i="13"/>
  <c r="G86" i="13"/>
  <c r="G94" i="13"/>
  <c r="G102" i="13"/>
  <c r="G110" i="13"/>
  <c r="G118" i="13"/>
  <c r="G126" i="13"/>
  <c r="G134" i="13"/>
  <c r="G142" i="13"/>
  <c r="G150" i="13"/>
  <c r="G158" i="13"/>
  <c r="G166" i="13"/>
  <c r="G174" i="13"/>
  <c r="G182" i="13"/>
  <c r="G190" i="13"/>
  <c r="G198" i="13"/>
  <c r="G206" i="13"/>
  <c r="G214" i="13"/>
  <c r="G222" i="13"/>
  <c r="G230" i="13"/>
  <c r="G238" i="13"/>
  <c r="G246" i="13"/>
  <c r="G254" i="13"/>
  <c r="G262" i="13"/>
  <c r="G270" i="13"/>
  <c r="G278" i="13"/>
  <c r="G286" i="13"/>
  <c r="G294" i="13"/>
  <c r="G302" i="13"/>
  <c r="G310" i="13"/>
  <c r="G318" i="13"/>
  <c r="G326" i="13"/>
  <c r="G334" i="13"/>
  <c r="G342" i="13"/>
  <c r="G350" i="13"/>
  <c r="G358" i="13"/>
  <c r="G366" i="13"/>
  <c r="G374" i="13"/>
  <c r="G382" i="13"/>
  <c r="G390" i="13"/>
  <c r="G398" i="13"/>
  <c r="G407" i="13"/>
  <c r="G7" i="13"/>
  <c r="G15" i="13"/>
  <c r="G23" i="13"/>
  <c r="G31" i="13"/>
  <c r="G39" i="13"/>
  <c r="G47" i="13"/>
  <c r="G55" i="13"/>
  <c r="G63" i="13"/>
  <c r="G71" i="13"/>
  <c r="G79" i="13"/>
  <c r="G87" i="13"/>
  <c r="G95" i="13"/>
  <c r="G103" i="13"/>
  <c r="G111" i="13"/>
  <c r="G119" i="13"/>
  <c r="G127" i="13"/>
  <c r="G135" i="13"/>
  <c r="G143" i="13"/>
  <c r="G151" i="13"/>
  <c r="G159" i="13"/>
  <c r="G167" i="13"/>
  <c r="G175" i="13"/>
  <c r="G183" i="13"/>
  <c r="G191" i="13"/>
  <c r="G199" i="13"/>
  <c r="G207" i="13"/>
  <c r="G215" i="13"/>
  <c r="G223" i="13"/>
  <c r="G231" i="13"/>
  <c r="G239" i="13"/>
  <c r="G247" i="13"/>
  <c r="G255" i="13"/>
  <c r="G263" i="13"/>
  <c r="G271" i="13"/>
  <c r="G279" i="13"/>
  <c r="G287" i="13"/>
  <c r="G295" i="13"/>
  <c r="G303" i="13"/>
  <c r="G311" i="13"/>
  <c r="G319" i="13"/>
  <c r="G327" i="13"/>
  <c r="G335" i="13"/>
  <c r="G343" i="13"/>
  <c r="G351" i="13"/>
  <c r="G359" i="13"/>
  <c r="G367" i="13"/>
  <c r="G375" i="13"/>
  <c r="G383" i="13"/>
  <c r="G391" i="13"/>
  <c r="G399" i="13"/>
  <c r="G406" i="13"/>
  <c r="G318" i="5"/>
  <c r="G326" i="5"/>
  <c r="G334" i="5"/>
  <c r="G342" i="5"/>
  <c r="G350" i="5"/>
  <c r="G358" i="5"/>
  <c r="G366" i="5"/>
  <c r="G374" i="5"/>
  <c r="G382" i="5"/>
  <c r="G390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G337" i="5"/>
  <c r="G345" i="5"/>
  <c r="G353" i="5"/>
  <c r="G361" i="5"/>
  <c r="G369" i="5"/>
  <c r="G377" i="5"/>
  <c r="G385" i="5"/>
  <c r="G393" i="5"/>
  <c r="G378" i="5"/>
  <c r="G386" i="5"/>
  <c r="G394" i="5"/>
  <c r="F396" i="5"/>
  <c r="G11" i="5"/>
  <c r="G19" i="5"/>
  <c r="G27" i="5"/>
  <c r="G35" i="5"/>
  <c r="G43" i="5"/>
  <c r="G51" i="5"/>
  <c r="G59" i="5"/>
  <c r="G67" i="5"/>
  <c r="G75" i="5"/>
  <c r="G83" i="5"/>
  <c r="G91" i="5"/>
  <c r="G99" i="5"/>
  <c r="G107" i="5"/>
  <c r="G115" i="5"/>
  <c r="G123" i="5"/>
  <c r="G131" i="5"/>
  <c r="G139" i="5"/>
  <c r="G147" i="5"/>
  <c r="G155" i="5"/>
  <c r="G163" i="5"/>
  <c r="G171" i="5"/>
  <c r="G179" i="5"/>
  <c r="G187" i="5"/>
  <c r="G195" i="5"/>
  <c r="G203" i="5"/>
  <c r="G211" i="5"/>
  <c r="G219" i="5"/>
  <c r="G227" i="5"/>
  <c r="G235" i="5"/>
  <c r="G243" i="5"/>
  <c r="G251" i="5"/>
  <c r="G259" i="5"/>
  <c r="G267" i="5"/>
  <c r="G275" i="5"/>
  <c r="G283" i="5"/>
  <c r="G291" i="5"/>
  <c r="G299" i="5"/>
  <c r="G307" i="5"/>
  <c r="G315" i="5"/>
  <c r="G323" i="5"/>
  <c r="G331" i="5"/>
  <c r="G339" i="5"/>
  <c r="G347" i="5"/>
  <c r="G355" i="5"/>
  <c r="G363" i="5"/>
  <c r="G371" i="5"/>
  <c r="G379" i="5"/>
  <c r="G387" i="5"/>
  <c r="G396" i="5"/>
  <c r="E396" i="5"/>
  <c r="G12" i="5"/>
  <c r="G20" i="5"/>
  <c r="G28" i="5"/>
  <c r="G36" i="5"/>
  <c r="G44" i="5"/>
  <c r="G52" i="5"/>
  <c r="G60" i="5"/>
  <c r="G68" i="5"/>
  <c r="G76" i="5"/>
  <c r="G84" i="5"/>
  <c r="G92" i="5"/>
  <c r="G100" i="5"/>
  <c r="G108" i="5"/>
  <c r="G116" i="5"/>
  <c r="G124" i="5"/>
  <c r="G132" i="5"/>
  <c r="G140" i="5"/>
  <c r="G148" i="5"/>
  <c r="G156" i="5"/>
  <c r="G164" i="5"/>
  <c r="G172" i="5"/>
  <c r="G180" i="5"/>
  <c r="G188" i="5"/>
  <c r="G196" i="5"/>
  <c r="G204" i="5"/>
  <c r="G212" i="5"/>
  <c r="G220" i="5"/>
  <c r="G228" i="5"/>
  <c r="G236" i="5"/>
  <c r="G244" i="5"/>
  <c r="G252" i="5"/>
  <c r="G260" i="5"/>
  <c r="G268" i="5"/>
  <c r="G276" i="5"/>
  <c r="G284" i="5"/>
  <c r="G292" i="5"/>
  <c r="G300" i="5"/>
  <c r="G308" i="5"/>
  <c r="G316" i="5"/>
  <c r="G324" i="5"/>
  <c r="G332" i="5"/>
  <c r="G340" i="5"/>
  <c r="G348" i="5"/>
  <c r="G356" i="5"/>
  <c r="G364" i="5"/>
  <c r="G372" i="5"/>
  <c r="G380" i="5"/>
  <c r="G388" i="5"/>
  <c r="G395" i="5"/>
  <c r="G13" i="5"/>
  <c r="G21" i="5"/>
  <c r="G29" i="5"/>
  <c r="G37" i="5"/>
  <c r="G45" i="5"/>
  <c r="G53" i="5"/>
  <c r="G61" i="5"/>
  <c r="G69" i="5"/>
  <c r="G77" i="5"/>
  <c r="G85" i="5"/>
  <c r="G93" i="5"/>
  <c r="G101" i="5"/>
  <c r="G109" i="5"/>
  <c r="G117" i="5"/>
  <c r="G125" i="5"/>
  <c r="G133" i="5"/>
  <c r="G141" i="5"/>
  <c r="G149" i="5"/>
  <c r="G157" i="5"/>
  <c r="G165" i="5"/>
  <c r="G173" i="5"/>
  <c r="G181" i="5"/>
  <c r="G189" i="5"/>
  <c r="G197" i="5"/>
  <c r="G205" i="5"/>
  <c r="G213" i="5"/>
  <c r="G221" i="5"/>
  <c r="G229" i="5"/>
  <c r="G237" i="5"/>
  <c r="G245" i="5"/>
  <c r="G253" i="5"/>
  <c r="G261" i="5"/>
  <c r="G269" i="5"/>
  <c r="G277" i="5"/>
  <c r="G285" i="5"/>
  <c r="G293" i="5"/>
  <c r="G301" i="5"/>
  <c r="G309" i="5"/>
  <c r="G317" i="5"/>
  <c r="G325" i="5"/>
  <c r="G333" i="5"/>
  <c r="G341" i="5"/>
  <c r="G349" i="5"/>
  <c r="G357" i="5"/>
  <c r="G365" i="5"/>
  <c r="G373" i="5"/>
  <c r="G381" i="5"/>
  <c r="D364" i="18"/>
  <c r="F407" i="13"/>
  <c r="H362" i="18"/>
  <c r="I362" i="18"/>
  <c r="D362" i="18"/>
  <c r="E362" i="18"/>
  <c r="F362" i="18"/>
  <c r="F363" i="18"/>
  <c r="I363" i="18"/>
  <c r="E363" i="18"/>
  <c r="D363" i="18"/>
  <c r="H363" i="18"/>
  <c r="A394" i="3"/>
  <c r="A395" i="3"/>
  <c r="A395" i="5"/>
  <c r="A394" i="5"/>
  <c r="A394" i="8"/>
  <c r="A395" i="8"/>
  <c r="A386" i="2"/>
  <c r="A387" i="2"/>
  <c r="A404" i="1"/>
  <c r="A403" i="1"/>
  <c r="A381" i="19"/>
  <c r="D381" i="19"/>
  <c r="A361" i="18"/>
  <c r="A359" i="17"/>
  <c r="D359" i="17"/>
  <c r="A365" i="15"/>
  <c r="D365" i="15"/>
  <c r="A404" i="13"/>
  <c r="H361" i="18" l="1"/>
  <c r="A397" i="7" l="1"/>
  <c r="A311" i="4"/>
  <c r="A393" i="5"/>
  <c r="A393" i="3"/>
  <c r="A393" i="9"/>
  <c r="A311" i="10"/>
  <c r="A393" i="8"/>
  <c r="A385" i="2"/>
  <c r="A402" i="1"/>
  <c r="A364" i="15"/>
  <c r="D364" i="15"/>
  <c r="A380" i="19"/>
  <c r="D380" i="19"/>
  <c r="A360" i="18"/>
  <c r="A358" i="17"/>
  <c r="A357" i="17"/>
  <c r="D357" i="17"/>
  <c r="D358" i="17"/>
  <c r="A403" i="13"/>
  <c r="A310" i="10"/>
  <c r="A392" i="9"/>
  <c r="A310" i="4"/>
  <c r="A396" i="7"/>
  <c r="A392" i="5"/>
  <c r="A392" i="3"/>
  <c r="D361" i="18" l="1"/>
  <c r="H360" i="18"/>
  <c r="A392" i="8"/>
  <c r="A384" i="2"/>
  <c r="A401" i="1"/>
  <c r="A395" i="7"/>
  <c r="A391" i="5"/>
  <c r="A390" i="5"/>
  <c r="A389" i="5"/>
  <c r="A388" i="5"/>
  <c r="A387" i="5"/>
  <c r="A386" i="5"/>
  <c r="A385" i="5"/>
  <c r="A384" i="5"/>
  <c r="A383" i="5"/>
  <c r="A382" i="5"/>
  <c r="A381" i="5"/>
  <c r="A380" i="5"/>
  <c r="A309" i="4"/>
  <c r="A391" i="3"/>
  <c r="A379" i="19"/>
  <c r="D379" i="19"/>
  <c r="A359" i="18"/>
  <c r="A363" i="15"/>
  <c r="D363" i="15"/>
  <c r="A402" i="13"/>
  <c r="H359" i="18" l="1"/>
  <c r="E361" i="18"/>
  <c r="D360" i="18"/>
  <c r="E360" i="18"/>
  <c r="A309" i="10"/>
  <c r="A391" i="9"/>
  <c r="A391" i="8"/>
  <c r="A383" i="2"/>
  <c r="A400" i="1"/>
  <c r="A393" i="7"/>
  <c r="A394" i="7"/>
  <c r="A356" i="17"/>
  <c r="D356" i="17"/>
  <c r="A358" i="18"/>
  <c r="A378" i="19"/>
  <c r="D378" i="19"/>
  <c r="A377" i="19"/>
  <c r="D377" i="19"/>
  <c r="A357" i="18"/>
  <c r="A355" i="17"/>
  <c r="D355" i="17"/>
  <c r="A361" i="15"/>
  <c r="D361" i="15"/>
  <c r="A362" i="15"/>
  <c r="D362" i="15"/>
  <c r="A400" i="13"/>
  <c r="A401" i="13"/>
  <c r="F361" i="18" l="1"/>
  <c r="F360" i="18"/>
  <c r="D359" i="18"/>
  <c r="H358" i="18"/>
  <c r="D358" i="18"/>
  <c r="H357" i="18"/>
  <c r="A308" i="4"/>
  <c r="A299" i="4"/>
  <c r="A300" i="4"/>
  <c r="A301" i="4"/>
  <c r="A302" i="4"/>
  <c r="A303" i="4"/>
  <c r="A304" i="4"/>
  <c r="A305" i="4"/>
  <c r="A306" i="4"/>
  <c r="A307" i="4"/>
  <c r="A298" i="4"/>
  <c r="A389" i="3"/>
  <c r="A390" i="3"/>
  <c r="A307" i="10"/>
  <c r="A308" i="10"/>
  <c r="A390" i="9"/>
  <c r="A389" i="9"/>
  <c r="A390" i="8"/>
  <c r="A389" i="8"/>
  <c r="A382" i="2"/>
  <c r="A381" i="2"/>
  <c r="A399" i="1"/>
  <c r="A398" i="1"/>
  <c r="D357" i="18" l="1"/>
  <c r="A376" i="19"/>
  <c r="D376" i="19"/>
  <c r="A356" i="18"/>
  <c r="H356" i="18"/>
  <c r="A354" i="17"/>
  <c r="D354" i="17"/>
  <c r="A360" i="15"/>
  <c r="D360" i="15"/>
  <c r="A399" i="13"/>
  <c r="A306" i="10"/>
  <c r="A388" i="9"/>
  <c r="A388" i="8"/>
  <c r="A392" i="7"/>
  <c r="G322" i="6"/>
  <c r="G321" i="6"/>
  <c r="G320" i="6"/>
  <c r="G319" i="6"/>
  <c r="G318" i="6"/>
  <c r="G317" i="6"/>
  <c r="G316" i="6"/>
  <c r="G315" i="6"/>
  <c r="G314" i="6"/>
  <c r="G313" i="6"/>
  <c r="G312" i="6"/>
  <c r="G311" i="6"/>
  <c r="G310" i="6"/>
  <c r="G309" i="6"/>
  <c r="G308" i="6"/>
  <c r="G307" i="6"/>
  <c r="G306" i="6"/>
  <c r="G305" i="6"/>
  <c r="G304" i="6"/>
  <c r="G303" i="6"/>
  <c r="G302" i="6"/>
  <c r="G301" i="6"/>
  <c r="G300" i="6"/>
  <c r="G299" i="6"/>
  <c r="G298" i="6"/>
  <c r="G297" i="6"/>
  <c r="G296" i="6"/>
  <c r="G295" i="6"/>
  <c r="G294" i="6"/>
  <c r="G293" i="6"/>
  <c r="G292" i="6"/>
  <c r="G291" i="6"/>
  <c r="G290" i="6"/>
  <c r="G289" i="6"/>
  <c r="G288" i="6"/>
  <c r="G287" i="6"/>
  <c r="G286" i="6"/>
  <c r="G285" i="6"/>
  <c r="G284" i="6"/>
  <c r="G283" i="6"/>
  <c r="G282" i="6"/>
  <c r="G281" i="6"/>
  <c r="G280" i="6"/>
  <c r="G279" i="6"/>
  <c r="G278" i="6"/>
  <c r="G277" i="6"/>
  <c r="G276" i="6"/>
  <c r="G275" i="6"/>
  <c r="G274" i="6"/>
  <c r="G273" i="6"/>
  <c r="G272" i="6"/>
  <c r="G271" i="6"/>
  <c r="G270" i="6"/>
  <c r="G269" i="6"/>
  <c r="G268" i="6"/>
  <c r="G267" i="6"/>
  <c r="G266" i="6"/>
  <c r="G265" i="6"/>
  <c r="G264" i="6"/>
  <c r="G263" i="6"/>
  <c r="G262" i="6"/>
  <c r="G261" i="6"/>
  <c r="G260" i="6"/>
  <c r="G259" i="6"/>
  <c r="G258" i="6"/>
  <c r="G257" i="6"/>
  <c r="G256" i="6"/>
  <c r="G255" i="6"/>
  <c r="G254" i="6"/>
  <c r="G253" i="6"/>
  <c r="G252" i="6"/>
  <c r="G251" i="6"/>
  <c r="G250" i="6"/>
  <c r="G249" i="6"/>
  <c r="G248" i="6"/>
  <c r="G247" i="6"/>
  <c r="G246" i="6"/>
  <c r="G245" i="6"/>
  <c r="G244" i="6"/>
  <c r="G243" i="6"/>
  <c r="G242" i="6"/>
  <c r="G241" i="6"/>
  <c r="G240" i="6"/>
  <c r="G239" i="6"/>
  <c r="G238" i="6"/>
  <c r="G237" i="6"/>
  <c r="G236" i="6"/>
  <c r="G235" i="6"/>
  <c r="G234" i="6"/>
  <c r="G233" i="6"/>
  <c r="G232" i="6"/>
  <c r="G231" i="6"/>
  <c r="G230" i="6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A322" i="6"/>
  <c r="C322" i="6"/>
  <c r="E322" i="6" s="1"/>
  <c r="F322" i="6"/>
  <c r="A388" i="3"/>
  <c r="A380" i="2"/>
  <c r="A397" i="1"/>
  <c r="A381" i="9"/>
  <c r="A382" i="9"/>
  <c r="A383" i="9"/>
  <c r="A384" i="9"/>
  <c r="A385" i="9"/>
  <c r="A386" i="9"/>
  <c r="A387" i="9"/>
  <c r="A380" i="9"/>
  <c r="A353" i="17"/>
  <c r="D353" i="17"/>
  <c r="A359" i="15"/>
  <c r="D359" i="15"/>
  <c r="A375" i="19"/>
  <c r="D375" i="19"/>
  <c r="A355" i="18"/>
  <c r="A398" i="13"/>
  <c r="A305" i="10"/>
  <c r="A387" i="8"/>
  <c r="A391" i="7"/>
  <c r="A387" i="3"/>
  <c r="A379" i="2"/>
  <c r="A396" i="1"/>
  <c r="A358" i="15"/>
  <c r="D358" i="15"/>
  <c r="A374" i="19"/>
  <c r="D374" i="19"/>
  <c r="A354" i="18"/>
  <c r="A352" i="17"/>
  <c r="D352" i="17"/>
  <c r="D356" i="18" l="1"/>
  <c r="D355" i="18"/>
  <c r="H355" i="18"/>
  <c r="H354" i="18"/>
  <c r="A390" i="7" l="1"/>
  <c r="A397" i="13"/>
  <c r="A386" i="3"/>
  <c r="A304" i="10"/>
  <c r="A386" i="8"/>
  <c r="A378" i="2"/>
  <c r="A395" i="1"/>
  <c r="A373" i="19"/>
  <c r="D373" i="19"/>
  <c r="A353" i="18"/>
  <c r="A351" i="17"/>
  <c r="D351" i="17"/>
  <c r="A357" i="15"/>
  <c r="D357" i="15"/>
  <c r="D354" i="18" l="1"/>
  <c r="H353" i="18"/>
  <c r="A396" i="13"/>
  <c r="A389" i="7" l="1"/>
  <c r="A303" i="10"/>
  <c r="A385" i="8"/>
  <c r="A385" i="3"/>
  <c r="A377" i="2"/>
  <c r="A394" i="1"/>
  <c r="A356" i="15"/>
  <c r="D356" i="15"/>
  <c r="A372" i="19"/>
  <c r="D372" i="19"/>
  <c r="A352" i="18"/>
  <c r="A350" i="17"/>
  <c r="D350" i="17"/>
  <c r="A395" i="13"/>
  <c r="D353" i="18" l="1"/>
  <c r="H352" i="18"/>
  <c r="A388" i="7" l="1"/>
  <c r="A302" i="10"/>
  <c r="A384" i="8"/>
  <c r="A384" i="3"/>
  <c r="A376" i="2"/>
  <c r="A393" i="1"/>
  <c r="A371" i="19"/>
  <c r="D371" i="19"/>
  <c r="A351" i="18"/>
  <c r="A349" i="17"/>
  <c r="D349" i="17"/>
  <c r="A355" i="15"/>
  <c r="D355" i="15"/>
  <c r="A394" i="13"/>
  <c r="D352" i="18" l="1"/>
  <c r="H351" i="18"/>
  <c r="A387" i="7"/>
  <c r="A383" i="3"/>
  <c r="A301" i="10"/>
  <c r="A383" i="8"/>
  <c r="A375" i="2"/>
  <c r="A392" i="1"/>
  <c r="G162" i="18"/>
  <c r="A370" i="19"/>
  <c r="D370" i="19"/>
  <c r="G179" i="18"/>
  <c r="G176" i="18"/>
  <c r="G154" i="18"/>
  <c r="G151" i="18"/>
  <c r="G143" i="18"/>
  <c r="G138" i="18"/>
  <c r="G122" i="18"/>
  <c r="G119" i="18"/>
  <c r="G114" i="18"/>
  <c r="G106" i="18"/>
  <c r="G103" i="18"/>
  <c r="G86" i="18"/>
  <c r="G80" i="18"/>
  <c r="G77" i="18"/>
  <c r="G68" i="18"/>
  <c r="G63" i="18"/>
  <c r="G51" i="18"/>
  <c r="G46" i="18"/>
  <c r="G42" i="18"/>
  <c r="G34" i="18"/>
  <c r="G31" i="18"/>
  <c r="G25" i="18"/>
  <c r="G20" i="18"/>
  <c r="G18" i="18"/>
  <c r="G16" i="18"/>
  <c r="G7" i="18"/>
  <c r="A350" i="18"/>
  <c r="A348" i="17"/>
  <c r="D348" i="17"/>
  <c r="A354" i="15"/>
  <c r="D354" i="15"/>
  <c r="G37" i="18" l="1"/>
  <c r="G72" i="18"/>
  <c r="G111" i="18"/>
  <c r="G146" i="18"/>
  <c r="G159" i="18"/>
  <c r="G26" i="18"/>
  <c r="G127" i="18"/>
  <c r="G167" i="18"/>
  <c r="D351" i="18"/>
  <c r="G54" i="18"/>
  <c r="G89" i="18"/>
  <c r="G28" i="18"/>
  <c r="G60" i="18"/>
  <c r="G94" i="18"/>
  <c r="G135" i="18"/>
  <c r="G170" i="18"/>
  <c r="G98" i="18"/>
  <c r="G130" i="18"/>
  <c r="G35" i="18"/>
  <c r="G44" i="18"/>
  <c r="G52" i="18"/>
  <c r="G61" i="18"/>
  <c r="G70" i="18"/>
  <c r="G78" i="18"/>
  <c r="G87" i="18"/>
  <c r="G96" i="18"/>
  <c r="G104" i="18"/>
  <c r="G112" i="18"/>
  <c r="G120" i="18"/>
  <c r="G128" i="18"/>
  <c r="G136" i="18"/>
  <c r="G144" i="18"/>
  <c r="G152" i="18"/>
  <c r="G160" i="18"/>
  <c r="G168" i="18"/>
  <c r="G177" i="18"/>
  <c r="G19" i="18"/>
  <c r="G27" i="18"/>
  <c r="G36" i="18"/>
  <c r="G45" i="18"/>
  <c r="G53" i="18"/>
  <c r="G62" i="18"/>
  <c r="G71" i="18"/>
  <c r="G79" i="18"/>
  <c r="G88" i="18"/>
  <c r="G97" i="18"/>
  <c r="G105" i="18"/>
  <c r="G113" i="18"/>
  <c r="G121" i="18"/>
  <c r="G129" i="18"/>
  <c r="G137" i="18"/>
  <c r="G145" i="18"/>
  <c r="G153" i="18"/>
  <c r="G161" i="18"/>
  <c r="G169" i="18"/>
  <c r="G178" i="18"/>
  <c r="G9" i="18"/>
  <c r="G21" i="18"/>
  <c r="G29" i="18"/>
  <c r="G38" i="18"/>
  <c r="G47" i="18"/>
  <c r="G55" i="18"/>
  <c r="G64" i="18"/>
  <c r="G73" i="18"/>
  <c r="G81" i="18"/>
  <c r="G90" i="18"/>
  <c r="G99" i="18"/>
  <c r="G107" i="18"/>
  <c r="G115" i="18"/>
  <c r="G123" i="18"/>
  <c r="G131" i="18"/>
  <c r="G139" i="18"/>
  <c r="G147" i="18"/>
  <c r="G155" i="18"/>
  <c r="G163" i="18"/>
  <c r="G171" i="18"/>
  <c r="G10" i="18"/>
  <c r="G22" i="18"/>
  <c r="G39" i="18"/>
  <c r="G48" i="18"/>
  <c r="G57" i="18"/>
  <c r="G65" i="18"/>
  <c r="G74" i="18"/>
  <c r="G83" i="18"/>
  <c r="G91" i="18"/>
  <c r="G100" i="18"/>
  <c r="G108" i="18"/>
  <c r="G116" i="18"/>
  <c r="G124" i="18"/>
  <c r="G132" i="18"/>
  <c r="G140" i="18"/>
  <c r="G148" i="18"/>
  <c r="G156" i="18"/>
  <c r="G164" i="18"/>
  <c r="G172" i="18"/>
  <c r="G12" i="18"/>
  <c r="G23" i="18"/>
  <c r="G32" i="18"/>
  <c r="G40" i="18"/>
  <c r="G49" i="18"/>
  <c r="G58" i="18"/>
  <c r="G66" i="18"/>
  <c r="G75" i="18"/>
  <c r="G84" i="18"/>
  <c r="G92" i="18"/>
  <c r="G101" i="18"/>
  <c r="G109" i="18"/>
  <c r="G117" i="18"/>
  <c r="G125" i="18"/>
  <c r="G133" i="18"/>
  <c r="G141" i="18"/>
  <c r="G149" i="18"/>
  <c r="G157" i="18"/>
  <c r="G165" i="18"/>
  <c r="G173" i="18"/>
  <c r="G14" i="18"/>
  <c r="G24" i="18"/>
  <c r="G33" i="18"/>
  <c r="G41" i="18"/>
  <c r="G50" i="18"/>
  <c r="G59" i="18"/>
  <c r="G67" i="18"/>
  <c r="G76" i="18"/>
  <c r="G85" i="18"/>
  <c r="G93" i="18"/>
  <c r="G102" i="18"/>
  <c r="G110" i="18"/>
  <c r="G118" i="18"/>
  <c r="G126" i="18"/>
  <c r="G134" i="18"/>
  <c r="G142" i="18"/>
  <c r="G150" i="18"/>
  <c r="G158" i="18"/>
  <c r="G166" i="18"/>
  <c r="G174" i="18"/>
  <c r="G175" i="18"/>
  <c r="H350" i="18"/>
  <c r="A393" i="13" l="1"/>
  <c r="A386" i="7" l="1"/>
  <c r="A382" i="3"/>
  <c r="A300" i="10"/>
  <c r="A382" i="8"/>
  <c r="A374" i="2"/>
  <c r="A391" i="1"/>
  <c r="A369" i="19"/>
  <c r="D369" i="19"/>
  <c r="A349" i="18"/>
  <c r="A347" i="17"/>
  <c r="D347" i="17"/>
  <c r="D353" i="15"/>
  <c r="A353" i="15"/>
  <c r="A392" i="13"/>
  <c r="H349" i="18" l="1"/>
  <c r="D350" i="18"/>
  <c r="A385" i="7"/>
  <c r="A381" i="3"/>
  <c r="A299" i="10"/>
  <c r="A381" i="8"/>
  <c r="A373" i="2"/>
  <c r="A390" i="1"/>
  <c r="D12" i="19"/>
  <c r="E9" i="19"/>
  <c r="E10" i="19" s="1"/>
  <c r="E11" i="19" s="1"/>
  <c r="E12" i="19" s="1"/>
  <c r="E13" i="19" s="1"/>
  <c r="E14" i="19" s="1"/>
  <c r="E15" i="19" s="1"/>
  <c r="E16" i="19" s="1"/>
  <c r="E17" i="19" s="1"/>
  <c r="E18" i="19" s="1"/>
  <c r="E19" i="19" s="1"/>
  <c r="E20" i="19" s="1"/>
  <c r="E21" i="19" s="1"/>
  <c r="E22" i="19" s="1"/>
  <c r="E23" i="19" s="1"/>
  <c r="E24" i="19" s="1"/>
  <c r="E25" i="19" s="1"/>
  <c r="E26" i="19" s="1"/>
  <c r="E27" i="19" s="1"/>
  <c r="E28" i="19" s="1"/>
  <c r="E29" i="19" s="1"/>
  <c r="E30" i="19" s="1"/>
  <c r="E31" i="19" s="1"/>
  <c r="E32" i="19" s="1"/>
  <c r="E33" i="19" s="1"/>
  <c r="E34" i="19" s="1"/>
  <c r="E35" i="19" s="1"/>
  <c r="E36" i="19" s="1"/>
  <c r="E37" i="19" s="1"/>
  <c r="E38" i="19" s="1"/>
  <c r="E39" i="19" s="1"/>
  <c r="E40" i="19" s="1"/>
  <c r="E41" i="19" s="1"/>
  <c r="E42" i="19" s="1"/>
  <c r="E43" i="19" s="1"/>
  <c r="E44" i="19" s="1"/>
  <c r="E45" i="19" s="1"/>
  <c r="E46" i="19" s="1"/>
  <c r="E47" i="19" s="1"/>
  <c r="E48" i="19" s="1"/>
  <c r="E49" i="19" s="1"/>
  <c r="E50" i="19" s="1"/>
  <c r="E51" i="19" s="1"/>
  <c r="E52" i="19" s="1"/>
  <c r="E53" i="19" s="1"/>
  <c r="E54" i="19" s="1"/>
  <c r="E55" i="19" s="1"/>
  <c r="E56" i="19" s="1"/>
  <c r="E57" i="19" s="1"/>
  <c r="E58" i="19" s="1"/>
  <c r="E59" i="19" s="1"/>
  <c r="E60" i="19" s="1"/>
  <c r="E61" i="19" s="1"/>
  <c r="E62" i="19" s="1"/>
  <c r="E63" i="19" s="1"/>
  <c r="E64" i="19" s="1"/>
  <c r="E65" i="19" s="1"/>
  <c r="E66" i="19" s="1"/>
  <c r="E67" i="19" s="1"/>
  <c r="E68" i="19" s="1"/>
  <c r="E69" i="19" s="1"/>
  <c r="E70" i="19" s="1"/>
  <c r="E71" i="19" s="1"/>
  <c r="E72" i="19" s="1"/>
  <c r="E73" i="19" s="1"/>
  <c r="E74" i="19" s="1"/>
  <c r="E75" i="19" s="1"/>
  <c r="E76" i="19" s="1"/>
  <c r="E77" i="19" s="1"/>
  <c r="E78" i="19" s="1"/>
  <c r="E79" i="19" s="1"/>
  <c r="E80" i="19" s="1"/>
  <c r="E81" i="19" s="1"/>
  <c r="E82" i="19" s="1"/>
  <c r="E83" i="19" s="1"/>
  <c r="E84" i="19" s="1"/>
  <c r="E85" i="19" s="1"/>
  <c r="E86" i="19" s="1"/>
  <c r="E87" i="19" s="1"/>
  <c r="E88" i="19" s="1"/>
  <c r="E89" i="19" s="1"/>
  <c r="E90" i="19" s="1"/>
  <c r="E91" i="19" s="1"/>
  <c r="E92" i="19" s="1"/>
  <c r="E93" i="19" s="1"/>
  <c r="E94" i="19" s="1"/>
  <c r="E95" i="19" s="1"/>
  <c r="E96" i="19" s="1"/>
  <c r="E97" i="19" s="1"/>
  <c r="E98" i="19" s="1"/>
  <c r="E99" i="19" s="1"/>
  <c r="E100" i="19" s="1"/>
  <c r="E101" i="19" s="1"/>
  <c r="E102" i="19" s="1"/>
  <c r="E103" i="19" s="1"/>
  <c r="E104" i="19" s="1"/>
  <c r="E105" i="19" s="1"/>
  <c r="E106" i="19" s="1"/>
  <c r="E107" i="19" s="1"/>
  <c r="E108" i="19" s="1"/>
  <c r="E109" i="19" s="1"/>
  <c r="E110" i="19" s="1"/>
  <c r="E111" i="19" s="1"/>
  <c r="E112" i="19" s="1"/>
  <c r="E113" i="19" s="1"/>
  <c r="E114" i="19" s="1"/>
  <c r="E115" i="19" s="1"/>
  <c r="E116" i="19" s="1"/>
  <c r="E117" i="19" s="1"/>
  <c r="E118" i="19" s="1"/>
  <c r="E119" i="19" s="1"/>
  <c r="E120" i="19" s="1"/>
  <c r="E121" i="19" s="1"/>
  <c r="E122" i="19" s="1"/>
  <c r="E123" i="19" s="1"/>
  <c r="E124" i="19" s="1"/>
  <c r="E125" i="19" s="1"/>
  <c r="E126" i="19" s="1"/>
  <c r="E127" i="19" s="1"/>
  <c r="E128" i="19" s="1"/>
  <c r="E129" i="19" s="1"/>
  <c r="E130" i="19" s="1"/>
  <c r="E131" i="19" s="1"/>
  <c r="E132" i="19" s="1"/>
  <c r="E133" i="19" s="1"/>
  <c r="E134" i="19" s="1"/>
  <c r="E135" i="19" s="1"/>
  <c r="E136" i="19" s="1"/>
  <c r="E137" i="19" s="1"/>
  <c r="E138" i="19" s="1"/>
  <c r="E139" i="19" s="1"/>
  <c r="E140" i="19" s="1"/>
  <c r="E141" i="19" s="1"/>
  <c r="E142" i="19" s="1"/>
  <c r="E143" i="19" s="1"/>
  <c r="E144" i="19" s="1"/>
  <c r="E145" i="19" s="1"/>
  <c r="E146" i="19" s="1"/>
  <c r="E147" i="19" s="1"/>
  <c r="E148" i="19" s="1"/>
  <c r="E149" i="19" s="1"/>
  <c r="E150" i="19" s="1"/>
  <c r="E151" i="19" s="1"/>
  <c r="E152" i="19" s="1"/>
  <c r="E153" i="19" s="1"/>
  <c r="E154" i="19" s="1"/>
  <c r="E155" i="19" s="1"/>
  <c r="E156" i="19" s="1"/>
  <c r="E157" i="19" s="1"/>
  <c r="E158" i="19" s="1"/>
  <c r="E159" i="19" s="1"/>
  <c r="E160" i="19" s="1"/>
  <c r="E161" i="19" s="1"/>
  <c r="E162" i="19" s="1"/>
  <c r="E163" i="19" s="1"/>
  <c r="E164" i="19" s="1"/>
  <c r="E165" i="19" s="1"/>
  <c r="E166" i="19" s="1"/>
  <c r="E167" i="19" s="1"/>
  <c r="E168" i="19" s="1"/>
  <c r="E169" i="19" s="1"/>
  <c r="E170" i="19" s="1"/>
  <c r="E171" i="19" s="1"/>
  <c r="E172" i="19" s="1"/>
  <c r="E173" i="19" s="1"/>
  <c r="E174" i="19" s="1"/>
  <c r="E175" i="19" s="1"/>
  <c r="E176" i="19" s="1"/>
  <c r="E177" i="19" s="1"/>
  <c r="E178" i="19" s="1"/>
  <c r="E179" i="19" s="1"/>
  <c r="E180" i="19" s="1"/>
  <c r="E181" i="19" s="1"/>
  <c r="E182" i="19" s="1"/>
  <c r="E183" i="19" s="1"/>
  <c r="E184" i="19" s="1"/>
  <c r="E185" i="19" s="1"/>
  <c r="E186" i="19" s="1"/>
  <c r="E187" i="19" s="1"/>
  <c r="E188" i="19" s="1"/>
  <c r="E189" i="19" s="1"/>
  <c r="E190" i="19" s="1"/>
  <c r="E191" i="19" s="1"/>
  <c r="E192" i="19" s="1"/>
  <c r="E193" i="19" s="1"/>
  <c r="E194" i="19" s="1"/>
  <c r="E195" i="19" s="1"/>
  <c r="E196" i="19" s="1"/>
  <c r="E197" i="19" s="1"/>
  <c r="E198" i="19" s="1"/>
  <c r="E199" i="19" s="1"/>
  <c r="E200" i="19" s="1"/>
  <c r="E201" i="19" s="1"/>
  <c r="E202" i="19" s="1"/>
  <c r="E203" i="19" s="1"/>
  <c r="E204" i="19" s="1"/>
  <c r="E205" i="19" s="1"/>
  <c r="E206" i="19" s="1"/>
  <c r="E207" i="19" s="1"/>
  <c r="E208" i="19" s="1"/>
  <c r="E209" i="19" s="1"/>
  <c r="E210" i="19" s="1"/>
  <c r="E211" i="19" s="1"/>
  <c r="E212" i="19" s="1"/>
  <c r="E213" i="19" s="1"/>
  <c r="E214" i="19" s="1"/>
  <c r="E215" i="19" s="1"/>
  <c r="E216" i="19" s="1"/>
  <c r="E217" i="19" s="1"/>
  <c r="E218" i="19" s="1"/>
  <c r="E219" i="19" s="1"/>
  <c r="E220" i="19" s="1"/>
  <c r="E221" i="19" s="1"/>
  <c r="E222" i="19" s="1"/>
  <c r="E223" i="19" s="1"/>
  <c r="E224" i="19" s="1"/>
  <c r="E225" i="19" s="1"/>
  <c r="E226" i="19" s="1"/>
  <c r="E227" i="19" s="1"/>
  <c r="E228" i="19" s="1"/>
  <c r="E229" i="19" s="1"/>
  <c r="E230" i="19" s="1"/>
  <c r="E231" i="19" s="1"/>
  <c r="E232" i="19" s="1"/>
  <c r="E233" i="19" s="1"/>
  <c r="E234" i="19" s="1"/>
  <c r="E235" i="19" s="1"/>
  <c r="E236" i="19" s="1"/>
  <c r="E237" i="19" s="1"/>
  <c r="E238" i="19" s="1"/>
  <c r="E239" i="19" s="1"/>
  <c r="E240" i="19" s="1"/>
  <c r="E241" i="19" s="1"/>
  <c r="E242" i="19" s="1"/>
  <c r="E243" i="19" s="1"/>
  <c r="E244" i="19" s="1"/>
  <c r="E245" i="19" s="1"/>
  <c r="E246" i="19" s="1"/>
  <c r="E247" i="19" s="1"/>
  <c r="E248" i="19" s="1"/>
  <c r="E249" i="19" s="1"/>
  <c r="E250" i="19" s="1"/>
  <c r="E251" i="19" s="1"/>
  <c r="E252" i="19" s="1"/>
  <c r="E253" i="19" s="1"/>
  <c r="E254" i="19" s="1"/>
  <c r="E255" i="19" s="1"/>
  <c r="E256" i="19" s="1"/>
  <c r="E257" i="19" s="1"/>
  <c r="E258" i="19" s="1"/>
  <c r="E259" i="19" s="1"/>
  <c r="E260" i="19" s="1"/>
  <c r="E261" i="19" s="1"/>
  <c r="E262" i="19" s="1"/>
  <c r="E263" i="19" s="1"/>
  <c r="E264" i="19" s="1"/>
  <c r="E265" i="19" s="1"/>
  <c r="E266" i="19" s="1"/>
  <c r="E267" i="19" s="1"/>
  <c r="E268" i="19" s="1"/>
  <c r="E269" i="19" s="1"/>
  <c r="E270" i="19" s="1"/>
  <c r="E271" i="19" s="1"/>
  <c r="E272" i="19" s="1"/>
  <c r="E273" i="19" s="1"/>
  <c r="E274" i="19" s="1"/>
  <c r="E275" i="19" s="1"/>
  <c r="E276" i="19" s="1"/>
  <c r="E277" i="19" s="1"/>
  <c r="E278" i="19" s="1"/>
  <c r="E279" i="19" s="1"/>
  <c r="E280" i="19" s="1"/>
  <c r="E281" i="19" s="1"/>
  <c r="E282" i="19" s="1"/>
  <c r="E283" i="19" s="1"/>
  <c r="E284" i="19" s="1"/>
  <c r="E285" i="19" s="1"/>
  <c r="E286" i="19" s="1"/>
  <c r="E287" i="19" s="1"/>
  <c r="E288" i="19" s="1"/>
  <c r="E289" i="19" s="1"/>
  <c r="E290" i="19" s="1"/>
  <c r="E291" i="19" s="1"/>
  <c r="E292" i="19" s="1"/>
  <c r="E293" i="19" s="1"/>
  <c r="E294" i="19" s="1"/>
  <c r="E295" i="19" s="1"/>
  <c r="E296" i="19" s="1"/>
  <c r="E297" i="19" s="1"/>
  <c r="E298" i="19" s="1"/>
  <c r="E299" i="19" s="1"/>
  <c r="E300" i="19" s="1"/>
  <c r="E301" i="19" s="1"/>
  <c r="E302" i="19" s="1"/>
  <c r="E303" i="19" s="1"/>
  <c r="E304" i="19" s="1"/>
  <c r="E305" i="19" s="1"/>
  <c r="E306" i="19" s="1"/>
  <c r="E307" i="19" s="1"/>
  <c r="E308" i="19" s="1"/>
  <c r="E309" i="19" s="1"/>
  <c r="E310" i="19" s="1"/>
  <c r="E311" i="19" s="1"/>
  <c r="E312" i="19" s="1"/>
  <c r="E313" i="19" s="1"/>
  <c r="E314" i="19" s="1"/>
  <c r="E315" i="19" s="1"/>
  <c r="E316" i="19" s="1"/>
  <c r="E317" i="19" s="1"/>
  <c r="E318" i="19" s="1"/>
  <c r="E319" i="19" s="1"/>
  <c r="E320" i="19" s="1"/>
  <c r="E321" i="19" s="1"/>
  <c r="E322" i="19" s="1"/>
  <c r="E323" i="19" s="1"/>
  <c r="E324" i="19" s="1"/>
  <c r="E325" i="19" s="1"/>
  <c r="E326" i="19" s="1"/>
  <c r="E327" i="19" s="1"/>
  <c r="E328" i="19" s="1"/>
  <c r="E329" i="19" s="1"/>
  <c r="E330" i="19" s="1"/>
  <c r="E331" i="19" s="1"/>
  <c r="E332" i="19" s="1"/>
  <c r="E333" i="19" s="1"/>
  <c r="E334" i="19" s="1"/>
  <c r="E335" i="19" s="1"/>
  <c r="E336" i="19" s="1"/>
  <c r="E337" i="19" s="1"/>
  <c r="E338" i="19" s="1"/>
  <c r="E339" i="19" s="1"/>
  <c r="E340" i="19" s="1"/>
  <c r="E341" i="19" s="1"/>
  <c r="E342" i="19" s="1"/>
  <c r="E343" i="19" s="1"/>
  <c r="E344" i="19" s="1"/>
  <c r="E345" i="19" s="1"/>
  <c r="E346" i="19" s="1"/>
  <c r="E347" i="19" s="1"/>
  <c r="E348" i="19" s="1"/>
  <c r="E349" i="19" s="1"/>
  <c r="E350" i="19" s="1"/>
  <c r="E351" i="19" s="1"/>
  <c r="E352" i="19" s="1"/>
  <c r="E353" i="19" s="1"/>
  <c r="E354" i="19" s="1"/>
  <c r="E355" i="19" s="1"/>
  <c r="E356" i="19" s="1"/>
  <c r="E357" i="19" s="1"/>
  <c r="E358" i="19" s="1"/>
  <c r="E359" i="19" s="1"/>
  <c r="E360" i="19" s="1"/>
  <c r="E361" i="19" s="1"/>
  <c r="E362" i="19" s="1"/>
  <c r="E363" i="19" s="1"/>
  <c r="E364" i="19" s="1"/>
  <c r="E365" i="19" s="1"/>
  <c r="E366" i="19" s="1"/>
  <c r="E367" i="19" s="1"/>
  <c r="E368" i="19" s="1"/>
  <c r="E369" i="19" s="1"/>
  <c r="E370" i="19" s="1"/>
  <c r="F370" i="19" l="1"/>
  <c r="F369" i="19"/>
  <c r="D13" i="20"/>
  <c r="F36" i="20"/>
  <c r="E36" i="20"/>
  <c r="D36" i="20"/>
  <c r="C36" i="20"/>
  <c r="F35" i="20"/>
  <c r="E35" i="20"/>
  <c r="D35" i="20"/>
  <c r="C35" i="20"/>
  <c r="F34" i="20"/>
  <c r="E34" i="20"/>
  <c r="D34" i="20"/>
  <c r="C34" i="20"/>
  <c r="F33" i="20"/>
  <c r="E33" i="20"/>
  <c r="D33" i="20"/>
  <c r="C33" i="20"/>
  <c r="F32" i="20"/>
  <c r="E32" i="20"/>
  <c r="D32" i="20"/>
  <c r="C32" i="20"/>
  <c r="D368" i="19" l="1"/>
  <c r="A368" i="19"/>
  <c r="D367" i="19"/>
  <c r="A367" i="19"/>
  <c r="D366" i="19"/>
  <c r="A366" i="19"/>
  <c r="D365" i="19"/>
  <c r="A365" i="19"/>
  <c r="D364" i="19"/>
  <c r="A364" i="19"/>
  <c r="D363" i="19"/>
  <c r="A363" i="19"/>
  <c r="D362" i="19"/>
  <c r="A362" i="19"/>
  <c r="D361" i="19"/>
  <c r="A361" i="19"/>
  <c r="D360" i="19"/>
  <c r="A360" i="19"/>
  <c r="D359" i="19"/>
  <c r="A359" i="19"/>
  <c r="D358" i="19"/>
  <c r="A358" i="19"/>
  <c r="D357" i="19"/>
  <c r="A357" i="19"/>
  <c r="D356" i="19"/>
  <c r="A356" i="19"/>
  <c r="D355" i="19"/>
  <c r="A355" i="19"/>
  <c r="D354" i="19"/>
  <c r="A354" i="19"/>
  <c r="D353" i="19"/>
  <c r="A353" i="19"/>
  <c r="D352" i="19"/>
  <c r="A352" i="19"/>
  <c r="D351" i="19"/>
  <c r="A351" i="19"/>
  <c r="D350" i="19"/>
  <c r="A350" i="19"/>
  <c r="D349" i="19"/>
  <c r="A349" i="19"/>
  <c r="D348" i="19"/>
  <c r="A348" i="19"/>
  <c r="D347" i="19"/>
  <c r="A347" i="19"/>
  <c r="D346" i="19"/>
  <c r="A346" i="19"/>
  <c r="D345" i="19"/>
  <c r="A345" i="19"/>
  <c r="D344" i="19"/>
  <c r="A344" i="19"/>
  <c r="D343" i="19"/>
  <c r="A343" i="19"/>
  <c r="D342" i="19"/>
  <c r="A342" i="19"/>
  <c r="D341" i="19"/>
  <c r="A341" i="19"/>
  <c r="D340" i="19"/>
  <c r="A340" i="19"/>
  <c r="D339" i="19"/>
  <c r="A339" i="19"/>
  <c r="D338" i="19"/>
  <c r="A338" i="19"/>
  <c r="D337" i="19"/>
  <c r="A337" i="19"/>
  <c r="D336" i="19"/>
  <c r="A336" i="19"/>
  <c r="D335" i="19"/>
  <c r="A335" i="19"/>
  <c r="D334" i="19"/>
  <c r="A334" i="19"/>
  <c r="D333" i="19"/>
  <c r="A333" i="19"/>
  <c r="D332" i="19"/>
  <c r="A332" i="19"/>
  <c r="D331" i="19"/>
  <c r="A331" i="19"/>
  <c r="D330" i="19"/>
  <c r="A330" i="19"/>
  <c r="D329" i="19"/>
  <c r="A329" i="19"/>
  <c r="D328" i="19"/>
  <c r="A328" i="19"/>
  <c r="D327" i="19"/>
  <c r="A327" i="19"/>
  <c r="D326" i="19"/>
  <c r="A326" i="19"/>
  <c r="D325" i="19"/>
  <c r="A325" i="19"/>
  <c r="D324" i="19"/>
  <c r="A324" i="19"/>
  <c r="D323" i="19"/>
  <c r="A323" i="19"/>
  <c r="D322" i="19"/>
  <c r="A322" i="19"/>
  <c r="D321" i="19"/>
  <c r="A321" i="19"/>
  <c r="D320" i="19"/>
  <c r="A320" i="19"/>
  <c r="D319" i="19"/>
  <c r="A319" i="19"/>
  <c r="D318" i="19"/>
  <c r="A318" i="19"/>
  <c r="D317" i="19"/>
  <c r="A317" i="19"/>
  <c r="D316" i="19"/>
  <c r="A316" i="19"/>
  <c r="D315" i="19"/>
  <c r="A315" i="19"/>
  <c r="D314" i="19"/>
  <c r="A314" i="19"/>
  <c r="D313" i="19"/>
  <c r="A313" i="19"/>
  <c r="D312" i="19"/>
  <c r="A312" i="19"/>
  <c r="D311" i="19"/>
  <c r="A311" i="19"/>
  <c r="D310" i="19"/>
  <c r="A310" i="19"/>
  <c r="D309" i="19"/>
  <c r="A309" i="19"/>
  <c r="D308" i="19"/>
  <c r="A308" i="19"/>
  <c r="D307" i="19"/>
  <c r="A307" i="19"/>
  <c r="D306" i="19"/>
  <c r="A306" i="19"/>
  <c r="D305" i="19"/>
  <c r="A305" i="19"/>
  <c r="D304" i="19"/>
  <c r="A304" i="19"/>
  <c r="D303" i="19"/>
  <c r="A303" i="19"/>
  <c r="D302" i="19"/>
  <c r="A302" i="19"/>
  <c r="D301" i="19"/>
  <c r="A301" i="19"/>
  <c r="D300" i="19"/>
  <c r="A300" i="19"/>
  <c r="D299" i="19"/>
  <c r="A299" i="19"/>
  <c r="D298" i="19"/>
  <c r="A298" i="19"/>
  <c r="D297" i="19"/>
  <c r="A297" i="19"/>
  <c r="D296" i="19"/>
  <c r="A296" i="19"/>
  <c r="D295" i="19"/>
  <c r="A295" i="19"/>
  <c r="D294" i="19"/>
  <c r="A294" i="19"/>
  <c r="D293" i="19"/>
  <c r="A293" i="19"/>
  <c r="D292" i="19"/>
  <c r="A292" i="19"/>
  <c r="D291" i="19"/>
  <c r="A291" i="19"/>
  <c r="D290" i="19"/>
  <c r="A290" i="19"/>
  <c r="D289" i="19"/>
  <c r="A289" i="19"/>
  <c r="D288" i="19"/>
  <c r="A288" i="19"/>
  <c r="D287" i="19"/>
  <c r="A287" i="19"/>
  <c r="D286" i="19"/>
  <c r="A286" i="19"/>
  <c r="D285" i="19"/>
  <c r="A285" i="19"/>
  <c r="D284" i="19"/>
  <c r="A284" i="19"/>
  <c r="D283" i="19"/>
  <c r="A283" i="19"/>
  <c r="D282" i="19"/>
  <c r="A282" i="19"/>
  <c r="D281" i="19"/>
  <c r="A281" i="19"/>
  <c r="D280" i="19"/>
  <c r="A280" i="19"/>
  <c r="D279" i="19"/>
  <c r="A279" i="19"/>
  <c r="D278" i="19"/>
  <c r="A278" i="19"/>
  <c r="D277" i="19"/>
  <c r="A277" i="19"/>
  <c r="D276" i="19"/>
  <c r="A276" i="19"/>
  <c r="D275" i="19"/>
  <c r="A275" i="19"/>
  <c r="D274" i="19"/>
  <c r="A274" i="19"/>
  <c r="D273" i="19"/>
  <c r="A273" i="19"/>
  <c r="D272" i="19"/>
  <c r="A272" i="19"/>
  <c r="D271" i="19"/>
  <c r="A271" i="19"/>
  <c r="D270" i="19"/>
  <c r="A270" i="19"/>
  <c r="D269" i="19"/>
  <c r="A269" i="19"/>
  <c r="D268" i="19"/>
  <c r="A268" i="19"/>
  <c r="D267" i="19"/>
  <c r="A267" i="19"/>
  <c r="D266" i="19"/>
  <c r="A266" i="19"/>
  <c r="D265" i="19"/>
  <c r="A265" i="19"/>
  <c r="D264" i="19"/>
  <c r="A264" i="19"/>
  <c r="D263" i="19"/>
  <c r="A263" i="19"/>
  <c r="D262" i="19"/>
  <c r="A262" i="19"/>
  <c r="D261" i="19"/>
  <c r="A261" i="19"/>
  <c r="D260" i="19"/>
  <c r="A260" i="19"/>
  <c r="D259" i="19"/>
  <c r="A259" i="19"/>
  <c r="D258" i="19"/>
  <c r="A258" i="19"/>
  <c r="D257" i="19"/>
  <c r="A257" i="19"/>
  <c r="D256" i="19"/>
  <c r="A256" i="19"/>
  <c r="D255" i="19"/>
  <c r="A255" i="19"/>
  <c r="D254" i="19"/>
  <c r="A254" i="19"/>
  <c r="D253" i="19"/>
  <c r="A253" i="19"/>
  <c r="D252" i="19"/>
  <c r="A252" i="19"/>
  <c r="D251" i="19"/>
  <c r="A251" i="19"/>
  <c r="D250" i="19"/>
  <c r="A250" i="19"/>
  <c r="D249" i="19"/>
  <c r="A249" i="19"/>
  <c r="D248" i="19"/>
  <c r="A248" i="19"/>
  <c r="D247" i="19"/>
  <c r="A247" i="19"/>
  <c r="D246" i="19"/>
  <c r="A246" i="19"/>
  <c r="D245" i="19"/>
  <c r="A245" i="19"/>
  <c r="D244" i="19"/>
  <c r="A244" i="19"/>
  <c r="D243" i="19"/>
  <c r="A243" i="19"/>
  <c r="D242" i="19"/>
  <c r="A242" i="19"/>
  <c r="D241" i="19"/>
  <c r="A241" i="19"/>
  <c r="D240" i="19"/>
  <c r="A240" i="19"/>
  <c r="D239" i="19"/>
  <c r="A239" i="19"/>
  <c r="D238" i="19"/>
  <c r="A238" i="19"/>
  <c r="D237" i="19"/>
  <c r="A237" i="19"/>
  <c r="D236" i="19"/>
  <c r="A236" i="19"/>
  <c r="D235" i="19"/>
  <c r="A235" i="19"/>
  <c r="D234" i="19"/>
  <c r="A234" i="19"/>
  <c r="D233" i="19"/>
  <c r="A233" i="19"/>
  <c r="D232" i="19"/>
  <c r="A232" i="19"/>
  <c r="D231" i="19"/>
  <c r="A231" i="19"/>
  <c r="D230" i="19"/>
  <c r="A230" i="19"/>
  <c r="D229" i="19"/>
  <c r="A229" i="19"/>
  <c r="D228" i="19"/>
  <c r="A228" i="19"/>
  <c r="D227" i="19"/>
  <c r="A227" i="19"/>
  <c r="D226" i="19"/>
  <c r="A226" i="19"/>
  <c r="D225" i="19"/>
  <c r="A225" i="19"/>
  <c r="D224" i="19"/>
  <c r="A224" i="19"/>
  <c r="D223" i="19"/>
  <c r="A223" i="19"/>
  <c r="D222" i="19"/>
  <c r="A222" i="19"/>
  <c r="D221" i="19"/>
  <c r="A221" i="19"/>
  <c r="D220" i="19"/>
  <c r="A220" i="19"/>
  <c r="D219" i="19"/>
  <c r="A219" i="19"/>
  <c r="D218" i="19"/>
  <c r="A218" i="19"/>
  <c r="D217" i="19"/>
  <c r="A217" i="19"/>
  <c r="D216" i="19"/>
  <c r="A216" i="19"/>
  <c r="D215" i="19"/>
  <c r="A215" i="19"/>
  <c r="D214" i="19"/>
  <c r="A214" i="19"/>
  <c r="D213" i="19"/>
  <c r="A213" i="19"/>
  <c r="D212" i="19"/>
  <c r="A212" i="19"/>
  <c r="D211" i="19"/>
  <c r="D210" i="19"/>
  <c r="D209" i="19"/>
  <c r="D208" i="19"/>
  <c r="D207" i="19"/>
  <c r="D206" i="19"/>
  <c r="D205" i="19"/>
  <c r="D204" i="19"/>
  <c r="D203" i="19"/>
  <c r="D202" i="19"/>
  <c r="D201" i="19"/>
  <c r="D200" i="19"/>
  <c r="D199" i="19"/>
  <c r="D198" i="19"/>
  <c r="D197" i="19"/>
  <c r="D196" i="19"/>
  <c r="D195" i="19"/>
  <c r="D194" i="19"/>
  <c r="D193" i="19"/>
  <c r="D192" i="19"/>
  <c r="D191" i="19"/>
  <c r="D190" i="19"/>
  <c r="D189" i="19"/>
  <c r="D188" i="19"/>
  <c r="D187" i="19"/>
  <c r="D186" i="19"/>
  <c r="D185" i="19"/>
  <c r="D184" i="19"/>
  <c r="D183" i="19"/>
  <c r="D182" i="19"/>
  <c r="D181" i="19"/>
  <c r="D180" i="19"/>
  <c r="D179" i="19"/>
  <c r="D178" i="19"/>
  <c r="D177" i="19"/>
  <c r="D176" i="19"/>
  <c r="D175" i="19"/>
  <c r="D174" i="19"/>
  <c r="D173" i="19"/>
  <c r="D172" i="19"/>
  <c r="D171" i="19"/>
  <c r="D170" i="19"/>
  <c r="D169" i="19"/>
  <c r="D168" i="19"/>
  <c r="D167" i="19"/>
  <c r="D166" i="19"/>
  <c r="D165" i="19"/>
  <c r="D164" i="19"/>
  <c r="D163" i="19"/>
  <c r="D162" i="19"/>
  <c r="D161" i="19"/>
  <c r="D160" i="19"/>
  <c r="D159" i="19"/>
  <c r="D158" i="19"/>
  <c r="D157" i="19"/>
  <c r="D156" i="19"/>
  <c r="D155" i="19"/>
  <c r="D154" i="19"/>
  <c r="D153" i="19"/>
  <c r="D152" i="19"/>
  <c r="D151" i="19"/>
  <c r="D150" i="19"/>
  <c r="D149" i="19"/>
  <c r="D148" i="19"/>
  <c r="D147" i="19"/>
  <c r="D146" i="19"/>
  <c r="D145" i="19"/>
  <c r="D144" i="19"/>
  <c r="D143" i="19"/>
  <c r="D142" i="19"/>
  <c r="D141" i="19"/>
  <c r="D140" i="19"/>
  <c r="D139" i="19"/>
  <c r="D138" i="19"/>
  <c r="D137" i="19"/>
  <c r="D136" i="19"/>
  <c r="D135" i="19"/>
  <c r="D134" i="19"/>
  <c r="D133" i="19"/>
  <c r="D132" i="19"/>
  <c r="D131" i="19"/>
  <c r="D130" i="19"/>
  <c r="D129" i="19"/>
  <c r="D128" i="19"/>
  <c r="D127" i="19"/>
  <c r="D126" i="19"/>
  <c r="D125" i="19"/>
  <c r="D124" i="19"/>
  <c r="D123" i="19"/>
  <c r="D122" i="19"/>
  <c r="D121" i="19"/>
  <c r="D120" i="19"/>
  <c r="D119" i="19"/>
  <c r="D118" i="19"/>
  <c r="D117" i="19"/>
  <c r="D116" i="19"/>
  <c r="D115" i="19"/>
  <c r="D114" i="19"/>
  <c r="D113" i="19"/>
  <c r="D112" i="19"/>
  <c r="D111" i="19"/>
  <c r="D110" i="19"/>
  <c r="D109" i="19"/>
  <c r="D108" i="19"/>
  <c r="D107" i="19"/>
  <c r="D106" i="19"/>
  <c r="D105" i="19"/>
  <c r="D104" i="19"/>
  <c r="D103" i="19"/>
  <c r="D102" i="19"/>
  <c r="D101" i="19"/>
  <c r="D100" i="19"/>
  <c r="D99" i="19"/>
  <c r="D98" i="19"/>
  <c r="D97" i="19"/>
  <c r="D96" i="19"/>
  <c r="D95" i="19"/>
  <c r="D94" i="19"/>
  <c r="D93" i="19"/>
  <c r="D92" i="19"/>
  <c r="D91" i="19"/>
  <c r="D90" i="19"/>
  <c r="D89" i="19"/>
  <c r="D88" i="19"/>
  <c r="D87" i="19"/>
  <c r="D86" i="19"/>
  <c r="D85" i="19"/>
  <c r="D84" i="19"/>
  <c r="D83" i="19"/>
  <c r="D82" i="19"/>
  <c r="D81" i="19"/>
  <c r="D80" i="19"/>
  <c r="D79" i="19"/>
  <c r="D78" i="19"/>
  <c r="D77" i="19"/>
  <c r="D76" i="19"/>
  <c r="D75" i="19"/>
  <c r="D74" i="19"/>
  <c r="D73" i="19"/>
  <c r="D72" i="19"/>
  <c r="D71" i="19"/>
  <c r="D70" i="19"/>
  <c r="D69" i="19"/>
  <c r="D68" i="19"/>
  <c r="D67" i="19"/>
  <c r="D66" i="19"/>
  <c r="D65" i="19"/>
  <c r="D64" i="19"/>
  <c r="D63" i="19"/>
  <c r="D62" i="19"/>
  <c r="D61" i="19"/>
  <c r="D60" i="19"/>
  <c r="D59" i="19"/>
  <c r="D58" i="19"/>
  <c r="D57" i="19"/>
  <c r="D56" i="19"/>
  <c r="D55" i="19"/>
  <c r="D54" i="19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1" i="19"/>
  <c r="D10" i="19"/>
  <c r="D9" i="19"/>
  <c r="F8" i="19"/>
  <c r="A348" i="18"/>
  <c r="A347" i="18"/>
  <c r="A346" i="18"/>
  <c r="A345" i="18"/>
  <c r="A344" i="18"/>
  <c r="A343" i="18"/>
  <c r="A342" i="18"/>
  <c r="A341" i="18"/>
  <c r="A340" i="18"/>
  <c r="A339" i="18"/>
  <c r="A338" i="18"/>
  <c r="A337" i="18"/>
  <c r="A336" i="18"/>
  <c r="A335" i="18"/>
  <c r="A334" i="18"/>
  <c r="A333" i="18"/>
  <c r="A332" i="18"/>
  <c r="A331" i="18"/>
  <c r="A330" i="18"/>
  <c r="A329" i="18"/>
  <c r="A328" i="18"/>
  <c r="A327" i="18"/>
  <c r="A326" i="18"/>
  <c r="A325" i="18"/>
  <c r="A324" i="18"/>
  <c r="A323" i="18"/>
  <c r="A322" i="18"/>
  <c r="A321" i="18"/>
  <c r="A320" i="18"/>
  <c r="A319" i="18"/>
  <c r="A318" i="18"/>
  <c r="A317" i="18"/>
  <c r="A316" i="18"/>
  <c r="A315" i="18"/>
  <c r="A314" i="18"/>
  <c r="A313" i="18"/>
  <c r="A312" i="18"/>
  <c r="A311" i="18"/>
  <c r="A310" i="18"/>
  <c r="A309" i="18"/>
  <c r="A308" i="18"/>
  <c r="A307" i="18"/>
  <c r="A306" i="18"/>
  <c r="A305" i="18"/>
  <c r="A304" i="18"/>
  <c r="A303" i="18"/>
  <c r="A302" i="18"/>
  <c r="A301" i="18"/>
  <c r="A300" i="18"/>
  <c r="A299" i="18"/>
  <c r="A298" i="18"/>
  <c r="A297" i="18"/>
  <c r="A296" i="18"/>
  <c r="A295" i="18"/>
  <c r="A294" i="18"/>
  <c r="A293" i="18"/>
  <c r="A292" i="18"/>
  <c r="A291" i="18"/>
  <c r="A290" i="18"/>
  <c r="A289" i="18"/>
  <c r="A288" i="18"/>
  <c r="A287" i="18"/>
  <c r="A286" i="18"/>
  <c r="A285" i="18"/>
  <c r="A284" i="18"/>
  <c r="A283" i="18"/>
  <c r="A282" i="18"/>
  <c r="A281" i="18"/>
  <c r="A280" i="18"/>
  <c r="A279" i="18"/>
  <c r="A278" i="18"/>
  <c r="A277" i="18"/>
  <c r="A276" i="18"/>
  <c r="A275" i="18"/>
  <c r="A274" i="18"/>
  <c r="A273" i="18"/>
  <c r="A272" i="18"/>
  <c r="A271" i="18"/>
  <c r="A270" i="18"/>
  <c r="A269" i="18"/>
  <c r="A268" i="18"/>
  <c r="A267" i="18"/>
  <c r="A266" i="18"/>
  <c r="A265" i="18"/>
  <c r="A264" i="18"/>
  <c r="A263" i="18"/>
  <c r="A262" i="18"/>
  <c r="A261" i="18"/>
  <c r="A260" i="18"/>
  <c r="A259" i="18"/>
  <c r="A258" i="18"/>
  <c r="A257" i="18"/>
  <c r="A256" i="18"/>
  <c r="A255" i="18"/>
  <c r="A254" i="18"/>
  <c r="A253" i="18"/>
  <c r="A252" i="18"/>
  <c r="A251" i="18"/>
  <c r="A250" i="18"/>
  <c r="A249" i="18"/>
  <c r="A248" i="18"/>
  <c r="A247" i="18"/>
  <c r="A246" i="18"/>
  <c r="A245" i="18"/>
  <c r="A244" i="18"/>
  <c r="A243" i="18"/>
  <c r="A242" i="18"/>
  <c r="A241" i="18"/>
  <c r="A240" i="18"/>
  <c r="A239" i="18"/>
  <c r="A238" i="18"/>
  <c r="A237" i="18"/>
  <c r="A236" i="18"/>
  <c r="A235" i="18"/>
  <c r="A234" i="18"/>
  <c r="A233" i="18"/>
  <c r="A232" i="18"/>
  <c r="A231" i="18"/>
  <c r="A230" i="18"/>
  <c r="A229" i="18"/>
  <c r="A228" i="18"/>
  <c r="A227" i="18"/>
  <c r="A226" i="18"/>
  <c r="A225" i="18"/>
  <c r="A224" i="18"/>
  <c r="A223" i="18"/>
  <c r="A222" i="18"/>
  <c r="F221" i="18"/>
  <c r="E221" i="18"/>
  <c r="D221" i="18"/>
  <c r="A221" i="18"/>
  <c r="F220" i="18"/>
  <c r="E220" i="18"/>
  <c r="D220" i="18"/>
  <c r="A220" i="18"/>
  <c r="F219" i="18"/>
  <c r="E219" i="18"/>
  <c r="D219" i="18"/>
  <c r="A219" i="18"/>
  <c r="F218" i="18"/>
  <c r="E218" i="18"/>
  <c r="D218" i="18"/>
  <c r="A218" i="18"/>
  <c r="F217" i="18"/>
  <c r="E217" i="18"/>
  <c r="D217" i="18"/>
  <c r="A217" i="18"/>
  <c r="F216" i="18"/>
  <c r="E216" i="18"/>
  <c r="D216" i="18"/>
  <c r="A216" i="18"/>
  <c r="F215" i="18"/>
  <c r="E215" i="18"/>
  <c r="D215" i="18"/>
  <c r="A215" i="18"/>
  <c r="F214" i="18"/>
  <c r="E214" i="18"/>
  <c r="D214" i="18"/>
  <c r="A214" i="18"/>
  <c r="F213" i="18"/>
  <c r="E213" i="18"/>
  <c r="D213" i="18"/>
  <c r="A213" i="18"/>
  <c r="F212" i="18"/>
  <c r="E212" i="18"/>
  <c r="D212" i="18"/>
  <c r="A212" i="18"/>
  <c r="F211" i="18"/>
  <c r="E211" i="18"/>
  <c r="D211" i="18"/>
  <c r="A211" i="18"/>
  <c r="F210" i="18"/>
  <c r="E210" i="18"/>
  <c r="D210" i="18"/>
  <c r="A210" i="18"/>
  <c r="F209" i="18"/>
  <c r="E209" i="18"/>
  <c r="D209" i="18"/>
  <c r="A209" i="18"/>
  <c r="F208" i="18"/>
  <c r="E208" i="18"/>
  <c r="D208" i="18"/>
  <c r="A208" i="18"/>
  <c r="F207" i="18"/>
  <c r="E207" i="18"/>
  <c r="D207" i="18"/>
  <c r="A207" i="18"/>
  <c r="F206" i="18"/>
  <c r="E206" i="18"/>
  <c r="D206" i="18"/>
  <c r="A206" i="18"/>
  <c r="F205" i="18"/>
  <c r="E205" i="18"/>
  <c r="D205" i="18"/>
  <c r="A205" i="18"/>
  <c r="F204" i="18"/>
  <c r="E204" i="18"/>
  <c r="D204" i="18"/>
  <c r="A204" i="18"/>
  <c r="F203" i="18"/>
  <c r="E203" i="18"/>
  <c r="D203" i="18"/>
  <c r="A203" i="18"/>
  <c r="F202" i="18"/>
  <c r="E202" i="18"/>
  <c r="D202" i="18"/>
  <c r="A202" i="18"/>
  <c r="F201" i="18"/>
  <c r="E201" i="18"/>
  <c r="D201" i="18"/>
  <c r="A201" i="18"/>
  <c r="F200" i="18"/>
  <c r="E200" i="18"/>
  <c r="D200" i="18"/>
  <c r="A200" i="18"/>
  <c r="F199" i="18"/>
  <c r="E199" i="18"/>
  <c r="D199" i="18"/>
  <c r="A199" i="18"/>
  <c r="F198" i="18"/>
  <c r="E198" i="18"/>
  <c r="D198" i="18"/>
  <c r="A198" i="18"/>
  <c r="F197" i="18"/>
  <c r="E197" i="18"/>
  <c r="D197" i="18"/>
  <c r="A197" i="18"/>
  <c r="F196" i="18"/>
  <c r="E196" i="18"/>
  <c r="D196" i="18"/>
  <c r="A196" i="18"/>
  <c r="F195" i="18"/>
  <c r="E195" i="18"/>
  <c r="D195" i="18"/>
  <c r="A195" i="18"/>
  <c r="F194" i="18"/>
  <c r="E194" i="18"/>
  <c r="D194" i="18"/>
  <c r="A194" i="18"/>
  <c r="F193" i="18"/>
  <c r="E193" i="18"/>
  <c r="D193" i="18"/>
  <c r="A193" i="18"/>
  <c r="F192" i="18"/>
  <c r="E192" i="18"/>
  <c r="D192" i="18"/>
  <c r="A192" i="18"/>
  <c r="F191" i="18"/>
  <c r="E191" i="18"/>
  <c r="D191" i="18"/>
  <c r="F190" i="18"/>
  <c r="E190" i="18"/>
  <c r="D190" i="18"/>
  <c r="F189" i="18"/>
  <c r="E189" i="18"/>
  <c r="D189" i="18"/>
  <c r="F188" i="18"/>
  <c r="E188" i="18"/>
  <c r="D188" i="18"/>
  <c r="F187" i="18"/>
  <c r="E187" i="18"/>
  <c r="D187" i="18"/>
  <c r="F186" i="18"/>
  <c r="E186" i="18"/>
  <c r="D186" i="18"/>
  <c r="F185" i="18"/>
  <c r="E185" i="18"/>
  <c r="D185" i="18"/>
  <c r="F184" i="18"/>
  <c r="E184" i="18"/>
  <c r="D184" i="18"/>
  <c r="F183" i="18"/>
  <c r="E183" i="18"/>
  <c r="D183" i="18"/>
  <c r="F182" i="18"/>
  <c r="E182" i="18"/>
  <c r="D182" i="18"/>
  <c r="F181" i="18"/>
  <c r="E181" i="18"/>
  <c r="D181" i="18"/>
  <c r="F180" i="18"/>
  <c r="E180" i="18"/>
  <c r="D180" i="18"/>
  <c r="F179" i="18"/>
  <c r="E179" i="18"/>
  <c r="D179" i="18"/>
  <c r="F178" i="18"/>
  <c r="E178" i="18"/>
  <c r="D178" i="18"/>
  <c r="F177" i="18"/>
  <c r="E177" i="18"/>
  <c r="D177" i="18"/>
  <c r="F176" i="18"/>
  <c r="E176" i="18"/>
  <c r="D176" i="18"/>
  <c r="F175" i="18"/>
  <c r="E175" i="18"/>
  <c r="D175" i="18"/>
  <c r="F174" i="18"/>
  <c r="E174" i="18"/>
  <c r="D174" i="18"/>
  <c r="F173" i="18"/>
  <c r="E173" i="18"/>
  <c r="D173" i="18"/>
  <c r="F172" i="18"/>
  <c r="E172" i="18"/>
  <c r="D172" i="18"/>
  <c r="F171" i="18"/>
  <c r="E171" i="18"/>
  <c r="D171" i="18"/>
  <c r="F170" i="18"/>
  <c r="E170" i="18"/>
  <c r="D170" i="18"/>
  <c r="F169" i="18"/>
  <c r="E169" i="18"/>
  <c r="D169" i="18"/>
  <c r="F168" i="18"/>
  <c r="E168" i="18"/>
  <c r="D168" i="18"/>
  <c r="F167" i="18"/>
  <c r="E167" i="18"/>
  <c r="D167" i="18"/>
  <c r="F166" i="18"/>
  <c r="E166" i="18"/>
  <c r="D166" i="18"/>
  <c r="F165" i="18"/>
  <c r="E165" i="18"/>
  <c r="D165" i="18"/>
  <c r="F164" i="18"/>
  <c r="E164" i="18"/>
  <c r="D164" i="18"/>
  <c r="F163" i="18"/>
  <c r="E163" i="18"/>
  <c r="D163" i="18"/>
  <c r="F162" i="18"/>
  <c r="E162" i="18"/>
  <c r="D162" i="18"/>
  <c r="F161" i="18"/>
  <c r="E161" i="18"/>
  <c r="D161" i="18"/>
  <c r="F160" i="18"/>
  <c r="E160" i="18"/>
  <c r="D160" i="18"/>
  <c r="F159" i="18"/>
  <c r="E159" i="18"/>
  <c r="D159" i="18"/>
  <c r="F158" i="18"/>
  <c r="E158" i="18"/>
  <c r="D158" i="18"/>
  <c r="F157" i="18"/>
  <c r="E157" i="18"/>
  <c r="D157" i="18"/>
  <c r="F156" i="18"/>
  <c r="E156" i="18"/>
  <c r="D156" i="18"/>
  <c r="F155" i="18"/>
  <c r="E155" i="18"/>
  <c r="D155" i="18"/>
  <c r="F154" i="18"/>
  <c r="E154" i="18"/>
  <c r="D154" i="18"/>
  <c r="F153" i="18"/>
  <c r="E153" i="18"/>
  <c r="D153" i="18"/>
  <c r="F152" i="18"/>
  <c r="E152" i="18"/>
  <c r="D152" i="18"/>
  <c r="F151" i="18"/>
  <c r="E151" i="18"/>
  <c r="D151" i="18"/>
  <c r="F150" i="18"/>
  <c r="E150" i="18"/>
  <c r="D150" i="18"/>
  <c r="F149" i="18"/>
  <c r="E149" i="18"/>
  <c r="D149" i="18"/>
  <c r="F148" i="18"/>
  <c r="E148" i="18"/>
  <c r="D148" i="18"/>
  <c r="F147" i="18"/>
  <c r="E147" i="18"/>
  <c r="D147" i="18"/>
  <c r="F146" i="18"/>
  <c r="E146" i="18"/>
  <c r="D146" i="18"/>
  <c r="F145" i="18"/>
  <c r="E145" i="18"/>
  <c r="D145" i="18"/>
  <c r="F144" i="18"/>
  <c r="E144" i="18"/>
  <c r="D144" i="18"/>
  <c r="F143" i="18"/>
  <c r="E143" i="18"/>
  <c r="D143" i="18"/>
  <c r="F142" i="18"/>
  <c r="E142" i="18"/>
  <c r="D142" i="18"/>
  <c r="F141" i="18"/>
  <c r="E141" i="18"/>
  <c r="D141" i="18"/>
  <c r="F140" i="18"/>
  <c r="E140" i="18"/>
  <c r="D140" i="18"/>
  <c r="F139" i="18"/>
  <c r="E139" i="18"/>
  <c r="D139" i="18"/>
  <c r="F138" i="18"/>
  <c r="E138" i="18"/>
  <c r="D138" i="18"/>
  <c r="F137" i="18"/>
  <c r="E137" i="18"/>
  <c r="D137" i="18"/>
  <c r="F136" i="18"/>
  <c r="E136" i="18"/>
  <c r="D136" i="18"/>
  <c r="F135" i="18"/>
  <c r="E135" i="18"/>
  <c r="D135" i="18"/>
  <c r="F134" i="18"/>
  <c r="E134" i="18"/>
  <c r="D134" i="18"/>
  <c r="F133" i="18"/>
  <c r="E133" i="18"/>
  <c r="D133" i="18"/>
  <c r="F132" i="18"/>
  <c r="E132" i="18"/>
  <c r="D132" i="18"/>
  <c r="F131" i="18"/>
  <c r="E131" i="18"/>
  <c r="D131" i="18"/>
  <c r="F130" i="18"/>
  <c r="E130" i="18"/>
  <c r="D130" i="18"/>
  <c r="F129" i="18"/>
  <c r="E129" i="18"/>
  <c r="D129" i="18"/>
  <c r="F128" i="18"/>
  <c r="E128" i="18"/>
  <c r="D128" i="18"/>
  <c r="F127" i="18"/>
  <c r="E127" i="18"/>
  <c r="D127" i="18"/>
  <c r="F126" i="18"/>
  <c r="E126" i="18"/>
  <c r="D126" i="18"/>
  <c r="F125" i="18"/>
  <c r="E125" i="18"/>
  <c r="D125" i="18"/>
  <c r="F124" i="18"/>
  <c r="E124" i="18"/>
  <c r="D124" i="18"/>
  <c r="F123" i="18"/>
  <c r="E123" i="18"/>
  <c r="D123" i="18"/>
  <c r="F122" i="18"/>
  <c r="E122" i="18"/>
  <c r="D122" i="18"/>
  <c r="F121" i="18"/>
  <c r="E121" i="18"/>
  <c r="D121" i="18"/>
  <c r="F120" i="18"/>
  <c r="E120" i="18"/>
  <c r="D120" i="18"/>
  <c r="F119" i="18"/>
  <c r="E119" i="18"/>
  <c r="D119" i="18"/>
  <c r="F118" i="18"/>
  <c r="E118" i="18"/>
  <c r="D118" i="18"/>
  <c r="F117" i="18"/>
  <c r="E117" i="18"/>
  <c r="D117" i="18"/>
  <c r="F116" i="18"/>
  <c r="E116" i="18"/>
  <c r="D116" i="18"/>
  <c r="F115" i="18"/>
  <c r="E115" i="18"/>
  <c r="D115" i="18"/>
  <c r="F114" i="18"/>
  <c r="E114" i="18"/>
  <c r="D114" i="18"/>
  <c r="F113" i="18"/>
  <c r="E113" i="18"/>
  <c r="D113" i="18"/>
  <c r="F112" i="18"/>
  <c r="E112" i="18"/>
  <c r="D112" i="18"/>
  <c r="F111" i="18"/>
  <c r="E111" i="18"/>
  <c r="D111" i="18"/>
  <c r="F110" i="18"/>
  <c r="E110" i="18"/>
  <c r="D110" i="18"/>
  <c r="F109" i="18"/>
  <c r="E109" i="18"/>
  <c r="D109" i="18"/>
  <c r="F108" i="18"/>
  <c r="E108" i="18"/>
  <c r="D108" i="18"/>
  <c r="F107" i="18"/>
  <c r="E107" i="18"/>
  <c r="D107" i="18"/>
  <c r="F106" i="18"/>
  <c r="E106" i="18"/>
  <c r="D106" i="18"/>
  <c r="F105" i="18"/>
  <c r="E105" i="18"/>
  <c r="D105" i="18"/>
  <c r="F104" i="18"/>
  <c r="E104" i="18"/>
  <c r="D104" i="18"/>
  <c r="F103" i="18"/>
  <c r="E103" i="18"/>
  <c r="D103" i="18"/>
  <c r="F102" i="18"/>
  <c r="E102" i="18"/>
  <c r="D102" i="18"/>
  <c r="F101" i="18"/>
  <c r="E101" i="18"/>
  <c r="D101" i="18"/>
  <c r="F100" i="18"/>
  <c r="E100" i="18"/>
  <c r="D100" i="18"/>
  <c r="F99" i="18"/>
  <c r="E99" i="18"/>
  <c r="D99" i="18"/>
  <c r="F98" i="18"/>
  <c r="E98" i="18"/>
  <c r="D98" i="18"/>
  <c r="F97" i="18"/>
  <c r="E97" i="18"/>
  <c r="D97" i="18"/>
  <c r="F96" i="18"/>
  <c r="E96" i="18"/>
  <c r="D96" i="18"/>
  <c r="F94" i="18"/>
  <c r="E94" i="18"/>
  <c r="D94" i="18"/>
  <c r="F93" i="18"/>
  <c r="E93" i="18"/>
  <c r="D93" i="18"/>
  <c r="F92" i="18"/>
  <c r="E92" i="18"/>
  <c r="D92" i="18"/>
  <c r="F91" i="18"/>
  <c r="E91" i="18"/>
  <c r="D91" i="18"/>
  <c r="F90" i="18"/>
  <c r="E90" i="18"/>
  <c r="D90" i="18"/>
  <c r="F89" i="18"/>
  <c r="E89" i="18"/>
  <c r="D89" i="18"/>
  <c r="F88" i="18"/>
  <c r="E88" i="18"/>
  <c r="D88" i="18"/>
  <c r="F87" i="18"/>
  <c r="E87" i="18"/>
  <c r="D87" i="18"/>
  <c r="F86" i="18"/>
  <c r="E86" i="18"/>
  <c r="D86" i="18"/>
  <c r="F85" i="18"/>
  <c r="E85" i="18"/>
  <c r="D85" i="18"/>
  <c r="F84" i="18"/>
  <c r="E84" i="18"/>
  <c r="D84" i="18"/>
  <c r="F83" i="18"/>
  <c r="E83" i="18"/>
  <c r="D83" i="18"/>
  <c r="F81" i="18"/>
  <c r="E81" i="18"/>
  <c r="D81" i="18"/>
  <c r="F80" i="18"/>
  <c r="E80" i="18"/>
  <c r="D80" i="18"/>
  <c r="F79" i="18"/>
  <c r="E79" i="18"/>
  <c r="D79" i="18"/>
  <c r="F78" i="18"/>
  <c r="E78" i="18"/>
  <c r="D78" i="18"/>
  <c r="F77" i="18"/>
  <c r="E77" i="18"/>
  <c r="D77" i="18"/>
  <c r="F76" i="18"/>
  <c r="E76" i="18"/>
  <c r="D76" i="18"/>
  <c r="F75" i="18"/>
  <c r="E75" i="18"/>
  <c r="D75" i="18"/>
  <c r="F74" i="18"/>
  <c r="E74" i="18"/>
  <c r="D74" i="18"/>
  <c r="F73" i="18"/>
  <c r="E73" i="18"/>
  <c r="D73" i="18"/>
  <c r="F72" i="18"/>
  <c r="E72" i="18"/>
  <c r="D72" i="18"/>
  <c r="F71" i="18"/>
  <c r="E71" i="18"/>
  <c r="D71" i="18"/>
  <c r="F70" i="18"/>
  <c r="E70" i="18"/>
  <c r="D70" i="18"/>
  <c r="F68" i="18"/>
  <c r="E68" i="18"/>
  <c r="D68" i="18"/>
  <c r="F67" i="18"/>
  <c r="E67" i="18"/>
  <c r="D67" i="18"/>
  <c r="F66" i="18"/>
  <c r="E66" i="18"/>
  <c r="D66" i="18"/>
  <c r="F65" i="18"/>
  <c r="E65" i="18"/>
  <c r="D65" i="18"/>
  <c r="F64" i="18"/>
  <c r="E64" i="18"/>
  <c r="D64" i="18"/>
  <c r="F63" i="18"/>
  <c r="E63" i="18"/>
  <c r="D63" i="18"/>
  <c r="F62" i="18"/>
  <c r="E62" i="18"/>
  <c r="D62" i="18"/>
  <c r="F61" i="18"/>
  <c r="E61" i="18"/>
  <c r="D61" i="18"/>
  <c r="F60" i="18"/>
  <c r="E60" i="18"/>
  <c r="D60" i="18"/>
  <c r="F59" i="18"/>
  <c r="E59" i="18"/>
  <c r="D59" i="18"/>
  <c r="F58" i="18"/>
  <c r="E58" i="18"/>
  <c r="D58" i="18"/>
  <c r="F57" i="18"/>
  <c r="E57" i="18"/>
  <c r="D57" i="18"/>
  <c r="F55" i="18"/>
  <c r="E55" i="18"/>
  <c r="D55" i="18"/>
  <c r="F54" i="18"/>
  <c r="E54" i="18"/>
  <c r="D54" i="18"/>
  <c r="F53" i="18"/>
  <c r="E53" i="18"/>
  <c r="D53" i="18"/>
  <c r="F52" i="18"/>
  <c r="E52" i="18"/>
  <c r="D52" i="18"/>
  <c r="F51" i="18"/>
  <c r="E51" i="18"/>
  <c r="D51" i="18"/>
  <c r="F50" i="18"/>
  <c r="E50" i="18"/>
  <c r="D50" i="18"/>
  <c r="F49" i="18"/>
  <c r="E49" i="18"/>
  <c r="D49" i="18"/>
  <c r="F48" i="18"/>
  <c r="E48" i="18"/>
  <c r="D48" i="18"/>
  <c r="F47" i="18"/>
  <c r="E47" i="18"/>
  <c r="D47" i="18"/>
  <c r="F46" i="18"/>
  <c r="E46" i="18"/>
  <c r="D46" i="18"/>
  <c r="F45" i="18"/>
  <c r="E45" i="18"/>
  <c r="D45" i="18"/>
  <c r="F44" i="18"/>
  <c r="E44" i="18"/>
  <c r="D44" i="18"/>
  <c r="F42" i="18"/>
  <c r="E42" i="18"/>
  <c r="D42" i="18"/>
  <c r="F41" i="18"/>
  <c r="E41" i="18"/>
  <c r="D41" i="18"/>
  <c r="F40" i="18"/>
  <c r="E40" i="18"/>
  <c r="D40" i="18"/>
  <c r="F39" i="18"/>
  <c r="E39" i="18"/>
  <c r="D39" i="18"/>
  <c r="F38" i="18"/>
  <c r="E38" i="18"/>
  <c r="D38" i="18"/>
  <c r="F37" i="18"/>
  <c r="E37" i="18"/>
  <c r="D37" i="18"/>
  <c r="F36" i="18"/>
  <c r="E36" i="18"/>
  <c r="D36" i="18"/>
  <c r="F35" i="18"/>
  <c r="E35" i="18"/>
  <c r="D35" i="18"/>
  <c r="F34" i="18"/>
  <c r="E34" i="18"/>
  <c r="D34" i="18"/>
  <c r="F33" i="18"/>
  <c r="E33" i="18"/>
  <c r="D33" i="18"/>
  <c r="F32" i="18"/>
  <c r="E32" i="18"/>
  <c r="D32" i="18"/>
  <c r="F31" i="18"/>
  <c r="E31" i="18"/>
  <c r="D31" i="18"/>
  <c r="E29" i="18"/>
  <c r="D29" i="18"/>
  <c r="E28" i="18"/>
  <c r="D28" i="18"/>
  <c r="E27" i="18"/>
  <c r="D27" i="18"/>
  <c r="E26" i="18"/>
  <c r="D26" i="18"/>
  <c r="E25" i="18"/>
  <c r="D25" i="18"/>
  <c r="E24" i="18"/>
  <c r="D24" i="18"/>
  <c r="E23" i="18"/>
  <c r="D23" i="18"/>
  <c r="E22" i="18"/>
  <c r="D22" i="18"/>
  <c r="E21" i="18"/>
  <c r="D21" i="18"/>
  <c r="E20" i="18"/>
  <c r="D20" i="18"/>
  <c r="E19" i="18"/>
  <c r="D19" i="18"/>
  <c r="E18" i="18"/>
  <c r="D18" i="18"/>
  <c r="E16" i="18"/>
  <c r="E14" i="18"/>
  <c r="F12" i="18"/>
  <c r="E12" i="18"/>
  <c r="F10" i="18"/>
  <c r="E10" i="18"/>
  <c r="D346" i="17"/>
  <c r="A346" i="17"/>
  <c r="D345" i="17"/>
  <c r="A345" i="17"/>
  <c r="D344" i="17"/>
  <c r="A344" i="17"/>
  <c r="D343" i="17"/>
  <c r="A343" i="17"/>
  <c r="D342" i="17"/>
  <c r="A342" i="17"/>
  <c r="D341" i="17"/>
  <c r="A341" i="17"/>
  <c r="D340" i="17"/>
  <c r="A340" i="17"/>
  <c r="D339" i="17"/>
  <c r="A339" i="17"/>
  <c r="D338" i="17"/>
  <c r="A338" i="17"/>
  <c r="D337" i="17"/>
  <c r="A337" i="17"/>
  <c r="D336" i="17"/>
  <c r="A336" i="17"/>
  <c r="D335" i="17"/>
  <c r="A335" i="17"/>
  <c r="D334" i="17"/>
  <c r="A334" i="17"/>
  <c r="D333" i="17"/>
  <c r="A333" i="17"/>
  <c r="D332" i="17"/>
  <c r="A332" i="17"/>
  <c r="D331" i="17"/>
  <c r="A331" i="17"/>
  <c r="D330" i="17"/>
  <c r="A330" i="17"/>
  <c r="D329" i="17"/>
  <c r="A329" i="17"/>
  <c r="D328" i="17"/>
  <c r="A328" i="17"/>
  <c r="D327" i="17"/>
  <c r="A327" i="17"/>
  <c r="D326" i="17"/>
  <c r="A326" i="17"/>
  <c r="D325" i="17"/>
  <c r="A325" i="17"/>
  <c r="D324" i="17"/>
  <c r="A324" i="17"/>
  <c r="D323" i="17"/>
  <c r="A323" i="17"/>
  <c r="D322" i="17"/>
  <c r="A322" i="17"/>
  <c r="D321" i="17"/>
  <c r="A321" i="17"/>
  <c r="D320" i="17"/>
  <c r="A320" i="17"/>
  <c r="D319" i="17"/>
  <c r="A319" i="17"/>
  <c r="D318" i="17"/>
  <c r="A318" i="17"/>
  <c r="D317" i="17"/>
  <c r="A317" i="17"/>
  <c r="D316" i="17"/>
  <c r="A316" i="17"/>
  <c r="D315" i="17"/>
  <c r="A315" i="17"/>
  <c r="D314" i="17"/>
  <c r="A314" i="17"/>
  <c r="D313" i="17"/>
  <c r="A313" i="17"/>
  <c r="D312" i="17"/>
  <c r="A312" i="17"/>
  <c r="D311" i="17"/>
  <c r="A311" i="17"/>
  <c r="D310" i="17"/>
  <c r="A310" i="17"/>
  <c r="D309" i="17"/>
  <c r="A309" i="17"/>
  <c r="D308" i="17"/>
  <c r="A308" i="17"/>
  <c r="D307" i="17"/>
  <c r="A307" i="17"/>
  <c r="D306" i="17"/>
  <c r="A306" i="17"/>
  <c r="D305" i="17"/>
  <c r="A305" i="17"/>
  <c r="D304" i="17"/>
  <c r="A304" i="17"/>
  <c r="D303" i="17"/>
  <c r="A303" i="17"/>
  <c r="D302" i="17"/>
  <c r="A302" i="17"/>
  <c r="D301" i="17"/>
  <c r="A301" i="17"/>
  <c r="D300" i="17"/>
  <c r="A300" i="17"/>
  <c r="D299" i="17"/>
  <c r="A299" i="17"/>
  <c r="D298" i="17"/>
  <c r="A298" i="17"/>
  <c r="D297" i="17"/>
  <c r="A297" i="17"/>
  <c r="D296" i="17"/>
  <c r="A296" i="17"/>
  <c r="D295" i="17"/>
  <c r="A295" i="17"/>
  <c r="D294" i="17"/>
  <c r="A294" i="17"/>
  <c r="D293" i="17"/>
  <c r="A293" i="17"/>
  <c r="D292" i="17"/>
  <c r="A292" i="17"/>
  <c r="D291" i="17"/>
  <c r="A291" i="17"/>
  <c r="D290" i="17"/>
  <c r="A290" i="17"/>
  <c r="D289" i="17"/>
  <c r="A289" i="17"/>
  <c r="D288" i="17"/>
  <c r="A288" i="17"/>
  <c r="D287" i="17"/>
  <c r="A287" i="17"/>
  <c r="D286" i="17"/>
  <c r="A286" i="17"/>
  <c r="D285" i="17"/>
  <c r="A285" i="17"/>
  <c r="D284" i="17"/>
  <c r="A284" i="17"/>
  <c r="D283" i="17"/>
  <c r="A283" i="17"/>
  <c r="D282" i="17"/>
  <c r="A282" i="17"/>
  <c r="D281" i="17"/>
  <c r="A281" i="17"/>
  <c r="D280" i="17"/>
  <c r="A280" i="17"/>
  <c r="D279" i="17"/>
  <c r="A279" i="17"/>
  <c r="D278" i="17"/>
  <c r="A278" i="17"/>
  <c r="D277" i="17"/>
  <c r="A277" i="17"/>
  <c r="D276" i="17"/>
  <c r="A276" i="17"/>
  <c r="D275" i="17"/>
  <c r="A275" i="17"/>
  <c r="D274" i="17"/>
  <c r="A274" i="17"/>
  <c r="D273" i="17"/>
  <c r="A273" i="17"/>
  <c r="D272" i="17"/>
  <c r="A272" i="17"/>
  <c r="D271" i="17"/>
  <c r="A271" i="17"/>
  <c r="D270" i="17"/>
  <c r="A270" i="17"/>
  <c r="D269" i="17"/>
  <c r="A269" i="17"/>
  <c r="D268" i="17"/>
  <c r="A268" i="17"/>
  <c r="D267" i="17"/>
  <c r="A267" i="17"/>
  <c r="D266" i="17"/>
  <c r="A266" i="17"/>
  <c r="D265" i="17"/>
  <c r="A265" i="17"/>
  <c r="D264" i="17"/>
  <c r="A264" i="17"/>
  <c r="D263" i="17"/>
  <c r="A263" i="17"/>
  <c r="D262" i="17"/>
  <c r="A262" i="17"/>
  <c r="D261" i="17"/>
  <c r="A261" i="17"/>
  <c r="D260" i="17"/>
  <c r="A260" i="17"/>
  <c r="D259" i="17"/>
  <c r="A259" i="17"/>
  <c r="D258" i="17"/>
  <c r="A258" i="17"/>
  <c r="D257" i="17"/>
  <c r="A257" i="17"/>
  <c r="D256" i="17"/>
  <c r="A256" i="17"/>
  <c r="D255" i="17"/>
  <c r="A255" i="17"/>
  <c r="D254" i="17"/>
  <c r="A254" i="17"/>
  <c r="D253" i="17"/>
  <c r="A253" i="17"/>
  <c r="D252" i="17"/>
  <c r="A252" i="17"/>
  <c r="D251" i="17"/>
  <c r="A251" i="17"/>
  <c r="D250" i="17"/>
  <c r="A250" i="17"/>
  <c r="D249" i="17"/>
  <c r="A249" i="17"/>
  <c r="D248" i="17"/>
  <c r="A248" i="17"/>
  <c r="D247" i="17"/>
  <c r="A247" i="17"/>
  <c r="D246" i="17"/>
  <c r="A246" i="17"/>
  <c r="D245" i="17"/>
  <c r="A245" i="17"/>
  <c r="D244" i="17"/>
  <c r="A244" i="17"/>
  <c r="D243" i="17"/>
  <c r="A243" i="17"/>
  <c r="D242" i="17"/>
  <c r="A242" i="17"/>
  <c r="D241" i="17"/>
  <c r="A241" i="17"/>
  <c r="D240" i="17"/>
  <c r="A240" i="17"/>
  <c r="D239" i="17"/>
  <c r="A239" i="17"/>
  <c r="D238" i="17"/>
  <c r="A238" i="17"/>
  <c r="D237" i="17"/>
  <c r="A237" i="17"/>
  <c r="D236" i="17"/>
  <c r="A236" i="17"/>
  <c r="D235" i="17"/>
  <c r="A235" i="17"/>
  <c r="D234" i="17"/>
  <c r="A234" i="17"/>
  <c r="D233" i="17"/>
  <c r="A233" i="17"/>
  <c r="D232" i="17"/>
  <c r="A232" i="17"/>
  <c r="D231" i="17"/>
  <c r="A231" i="17"/>
  <c r="D230" i="17"/>
  <c r="A230" i="17"/>
  <c r="D229" i="17"/>
  <c r="A229" i="17"/>
  <c r="D228" i="17"/>
  <c r="A228" i="17"/>
  <c r="D227" i="17"/>
  <c r="A227" i="17"/>
  <c r="D226" i="17"/>
  <c r="A226" i="17"/>
  <c r="D225" i="17"/>
  <c r="A225" i="17"/>
  <c r="D224" i="17"/>
  <c r="A224" i="17"/>
  <c r="D223" i="17"/>
  <c r="A223" i="17"/>
  <c r="D222" i="17"/>
  <c r="A222" i="17"/>
  <c r="D221" i="17"/>
  <c r="A221" i="17"/>
  <c r="D220" i="17"/>
  <c r="A220" i="17"/>
  <c r="D219" i="17"/>
  <c r="A219" i="17"/>
  <c r="D218" i="17"/>
  <c r="A218" i="17"/>
  <c r="D217" i="17"/>
  <c r="A217" i="17"/>
  <c r="D216" i="17"/>
  <c r="A216" i="17"/>
  <c r="D215" i="17"/>
  <c r="A215" i="17"/>
  <c r="D214" i="17"/>
  <c r="A214" i="17"/>
  <c r="D213" i="17"/>
  <c r="A213" i="17"/>
  <c r="D212" i="17"/>
  <c r="A212" i="17"/>
  <c r="D211" i="17"/>
  <c r="A211" i="17"/>
  <c r="D210" i="17"/>
  <c r="A210" i="17"/>
  <c r="D209" i="17"/>
  <c r="A209" i="17"/>
  <c r="D208" i="17"/>
  <c r="A208" i="17"/>
  <c r="D207" i="17"/>
  <c r="A207" i="17"/>
  <c r="D206" i="17"/>
  <c r="A206" i="17"/>
  <c r="D205" i="17"/>
  <c r="A205" i="17"/>
  <c r="D204" i="17"/>
  <c r="A204" i="17"/>
  <c r="D203" i="17"/>
  <c r="A203" i="17"/>
  <c r="D202" i="17"/>
  <c r="A202" i="17"/>
  <c r="D201" i="17"/>
  <c r="A201" i="17"/>
  <c r="D200" i="17"/>
  <c r="A200" i="17"/>
  <c r="D199" i="17"/>
  <c r="A199" i="17"/>
  <c r="D198" i="17"/>
  <c r="A198" i="17"/>
  <c r="D197" i="17"/>
  <c r="A197" i="17"/>
  <c r="D196" i="17"/>
  <c r="A196" i="17"/>
  <c r="D195" i="17"/>
  <c r="A195" i="17"/>
  <c r="D194" i="17"/>
  <c r="A194" i="17"/>
  <c r="D193" i="17"/>
  <c r="A193" i="17"/>
  <c r="D192" i="17"/>
  <c r="A192" i="17"/>
  <c r="D191" i="17"/>
  <c r="A191" i="17"/>
  <c r="D190" i="17"/>
  <c r="A190" i="17"/>
  <c r="D189" i="17"/>
  <c r="D188" i="17"/>
  <c r="D187" i="17"/>
  <c r="D186" i="17"/>
  <c r="D185" i="17"/>
  <c r="D184" i="17"/>
  <c r="D183" i="17"/>
  <c r="D182" i="17"/>
  <c r="D181" i="17"/>
  <c r="D180" i="17"/>
  <c r="D179" i="17"/>
  <c r="D178" i="17"/>
  <c r="D177" i="17"/>
  <c r="D176" i="17"/>
  <c r="D175" i="17"/>
  <c r="D174" i="17"/>
  <c r="D173" i="17"/>
  <c r="D172" i="17"/>
  <c r="D171" i="17"/>
  <c r="D170" i="17"/>
  <c r="D169" i="17"/>
  <c r="D168" i="17"/>
  <c r="D167" i="17"/>
  <c r="D166" i="17"/>
  <c r="D165" i="17"/>
  <c r="D164" i="17"/>
  <c r="D163" i="17"/>
  <c r="D162" i="17"/>
  <c r="D161" i="17"/>
  <c r="D160" i="17"/>
  <c r="D159" i="17"/>
  <c r="D158" i="17"/>
  <c r="D157" i="17"/>
  <c r="D156" i="17"/>
  <c r="D155" i="17"/>
  <c r="D154" i="17"/>
  <c r="D153" i="17"/>
  <c r="D152" i="17"/>
  <c r="D151" i="17"/>
  <c r="D150" i="17"/>
  <c r="D149" i="17"/>
  <c r="D148" i="17"/>
  <c r="D147" i="17"/>
  <c r="D146" i="17"/>
  <c r="D145" i="17"/>
  <c r="D144" i="17"/>
  <c r="D143" i="17"/>
  <c r="D142" i="17"/>
  <c r="D141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6" i="17"/>
  <c r="D65" i="17"/>
  <c r="D64" i="17"/>
  <c r="D63" i="17"/>
  <c r="D62" i="17"/>
  <c r="D61" i="17"/>
  <c r="D60" i="17"/>
  <c r="D59" i="17"/>
  <c r="D58" i="17"/>
  <c r="D57" i="17"/>
  <c r="D56" i="17"/>
  <c r="D55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7" i="17"/>
  <c r="D26" i="17"/>
  <c r="D25" i="17"/>
  <c r="D24" i="17"/>
  <c r="D23" i="17"/>
  <c r="D22" i="17"/>
  <c r="D21" i="17"/>
  <c r="D20" i="17"/>
  <c r="D19" i="17"/>
  <c r="D18" i="17"/>
  <c r="D14" i="17"/>
  <c r="D12" i="17"/>
  <c r="D10" i="17"/>
  <c r="D8" i="17"/>
  <c r="I47" i="16"/>
  <c r="H47" i="16"/>
  <c r="G47" i="16"/>
  <c r="F47" i="16"/>
  <c r="E47" i="16"/>
  <c r="D47" i="16"/>
  <c r="C47" i="16"/>
  <c r="B47" i="16"/>
  <c r="I46" i="16"/>
  <c r="H46" i="16"/>
  <c r="G46" i="16"/>
  <c r="F46" i="16"/>
  <c r="E46" i="16"/>
  <c r="D46" i="16"/>
  <c r="C46" i="16"/>
  <c r="B46" i="16"/>
  <c r="I45" i="16"/>
  <c r="H45" i="16"/>
  <c r="G45" i="16"/>
  <c r="F45" i="16"/>
  <c r="E45" i="16"/>
  <c r="D45" i="16"/>
  <c r="C45" i="16"/>
  <c r="B45" i="16"/>
  <c r="I44" i="16"/>
  <c r="H44" i="16"/>
  <c r="G44" i="16"/>
  <c r="F44" i="16"/>
  <c r="E44" i="16"/>
  <c r="D44" i="16"/>
  <c r="C44" i="16"/>
  <c r="B44" i="16"/>
  <c r="I43" i="16"/>
  <c r="H43" i="16"/>
  <c r="G43" i="16"/>
  <c r="F43" i="16"/>
  <c r="E43" i="16"/>
  <c r="D43" i="16"/>
  <c r="C43" i="16"/>
  <c r="B43" i="16"/>
  <c r="I42" i="16"/>
  <c r="H42" i="16"/>
  <c r="G42" i="16"/>
  <c r="F42" i="16"/>
  <c r="E42" i="16"/>
  <c r="D42" i="16"/>
  <c r="C42" i="16"/>
  <c r="B42" i="16"/>
  <c r="I41" i="16"/>
  <c r="H41" i="16"/>
  <c r="G41" i="16"/>
  <c r="F41" i="16"/>
  <c r="E41" i="16"/>
  <c r="D41" i="16"/>
  <c r="C41" i="16"/>
  <c r="B41" i="16"/>
  <c r="I40" i="16"/>
  <c r="H40" i="16"/>
  <c r="G40" i="16"/>
  <c r="F40" i="16"/>
  <c r="E40" i="16"/>
  <c r="D40" i="16"/>
  <c r="C40" i="16"/>
  <c r="B40" i="16"/>
  <c r="I39" i="16"/>
  <c r="H39" i="16"/>
  <c r="G39" i="16"/>
  <c r="F39" i="16"/>
  <c r="E39" i="16"/>
  <c r="D39" i="16"/>
  <c r="C39" i="16"/>
  <c r="B39" i="16"/>
  <c r="I38" i="16"/>
  <c r="H38" i="16"/>
  <c r="G38" i="16"/>
  <c r="F38" i="16"/>
  <c r="E38" i="16"/>
  <c r="D38" i="16"/>
  <c r="C38" i="16"/>
  <c r="B38" i="16"/>
  <c r="I37" i="16"/>
  <c r="H37" i="16"/>
  <c r="G37" i="16"/>
  <c r="F37" i="16"/>
  <c r="E37" i="16"/>
  <c r="D37" i="16"/>
  <c r="C37" i="16"/>
  <c r="B37" i="16"/>
  <c r="I36" i="16"/>
  <c r="H36" i="16"/>
  <c r="G36" i="16"/>
  <c r="F36" i="16"/>
  <c r="E36" i="16"/>
  <c r="D36" i="16"/>
  <c r="C36" i="16"/>
  <c r="B36" i="16"/>
  <c r="D352" i="15"/>
  <c r="A352" i="15"/>
  <c r="D351" i="15"/>
  <c r="A351" i="15"/>
  <c r="D350" i="15"/>
  <c r="A350" i="15"/>
  <c r="D349" i="15"/>
  <c r="A349" i="15"/>
  <c r="D348" i="15"/>
  <c r="A348" i="15"/>
  <c r="D347" i="15"/>
  <c r="A347" i="15"/>
  <c r="D346" i="15"/>
  <c r="A346" i="15"/>
  <c r="D345" i="15"/>
  <c r="A345" i="15"/>
  <c r="D344" i="15"/>
  <c r="A344" i="15"/>
  <c r="D343" i="15"/>
  <c r="A343" i="15"/>
  <c r="D342" i="15"/>
  <c r="A342" i="15"/>
  <c r="D341" i="15"/>
  <c r="A341" i="15"/>
  <c r="D340" i="15"/>
  <c r="A340" i="15"/>
  <c r="D339" i="15"/>
  <c r="A339" i="15"/>
  <c r="D338" i="15"/>
  <c r="A338" i="15"/>
  <c r="D337" i="15"/>
  <c r="A337" i="15"/>
  <c r="D336" i="15"/>
  <c r="A336" i="15"/>
  <c r="D335" i="15"/>
  <c r="A335" i="15"/>
  <c r="D334" i="15"/>
  <c r="A334" i="15"/>
  <c r="D333" i="15"/>
  <c r="A333" i="15"/>
  <c r="D332" i="15"/>
  <c r="A332" i="15"/>
  <c r="D331" i="15"/>
  <c r="A331" i="15"/>
  <c r="D330" i="15"/>
  <c r="A330" i="15"/>
  <c r="D329" i="15"/>
  <c r="A329" i="15"/>
  <c r="D328" i="15"/>
  <c r="A328" i="15"/>
  <c r="D327" i="15"/>
  <c r="A327" i="15"/>
  <c r="D326" i="15"/>
  <c r="A326" i="15"/>
  <c r="D325" i="15"/>
  <c r="A325" i="15"/>
  <c r="D324" i="15"/>
  <c r="A324" i="15"/>
  <c r="D323" i="15"/>
  <c r="A323" i="15"/>
  <c r="D322" i="15"/>
  <c r="A322" i="15"/>
  <c r="D321" i="15"/>
  <c r="A321" i="15"/>
  <c r="D320" i="15"/>
  <c r="A320" i="15"/>
  <c r="D319" i="15"/>
  <c r="A319" i="15"/>
  <c r="D318" i="15"/>
  <c r="A318" i="15"/>
  <c r="D317" i="15"/>
  <c r="A317" i="15"/>
  <c r="D316" i="15"/>
  <c r="A316" i="15"/>
  <c r="D315" i="15"/>
  <c r="A315" i="15"/>
  <c r="D314" i="15"/>
  <c r="A314" i="15"/>
  <c r="D313" i="15"/>
  <c r="A313" i="15"/>
  <c r="D312" i="15"/>
  <c r="A312" i="15"/>
  <c r="D311" i="15"/>
  <c r="A311" i="15"/>
  <c r="D310" i="15"/>
  <c r="A310" i="15"/>
  <c r="D309" i="15"/>
  <c r="A309" i="15"/>
  <c r="D308" i="15"/>
  <c r="A308" i="15"/>
  <c r="D307" i="15"/>
  <c r="A307" i="15"/>
  <c r="D306" i="15"/>
  <c r="A306" i="15"/>
  <c r="D305" i="15"/>
  <c r="A305" i="15"/>
  <c r="D304" i="15"/>
  <c r="A304" i="15"/>
  <c r="D303" i="15"/>
  <c r="A303" i="15"/>
  <c r="D302" i="15"/>
  <c r="A302" i="15"/>
  <c r="D301" i="15"/>
  <c r="A301" i="15"/>
  <c r="D300" i="15"/>
  <c r="A300" i="15"/>
  <c r="D299" i="15"/>
  <c r="A299" i="15"/>
  <c r="D298" i="15"/>
  <c r="A298" i="15"/>
  <c r="D297" i="15"/>
  <c r="A297" i="15"/>
  <c r="D296" i="15"/>
  <c r="A296" i="15"/>
  <c r="D295" i="15"/>
  <c r="A295" i="15"/>
  <c r="D294" i="15"/>
  <c r="A294" i="15"/>
  <c r="D293" i="15"/>
  <c r="A293" i="15"/>
  <c r="D292" i="15"/>
  <c r="A292" i="15"/>
  <c r="D291" i="15"/>
  <c r="A291" i="15"/>
  <c r="D290" i="15"/>
  <c r="A290" i="15"/>
  <c r="D289" i="15"/>
  <c r="A289" i="15"/>
  <c r="D288" i="15"/>
  <c r="A288" i="15"/>
  <c r="D287" i="15"/>
  <c r="A287" i="15"/>
  <c r="D286" i="15"/>
  <c r="A286" i="15"/>
  <c r="D285" i="15"/>
  <c r="A285" i="15"/>
  <c r="D284" i="15"/>
  <c r="A284" i="15"/>
  <c r="D283" i="15"/>
  <c r="A283" i="15"/>
  <c r="D282" i="15"/>
  <c r="A282" i="15"/>
  <c r="D281" i="15"/>
  <c r="A281" i="15"/>
  <c r="D280" i="15"/>
  <c r="A280" i="15"/>
  <c r="D279" i="15"/>
  <c r="A279" i="15"/>
  <c r="D278" i="15"/>
  <c r="A278" i="15"/>
  <c r="D277" i="15"/>
  <c r="A277" i="15"/>
  <c r="D276" i="15"/>
  <c r="A276" i="15"/>
  <c r="D275" i="15"/>
  <c r="A275" i="15"/>
  <c r="D274" i="15"/>
  <c r="A274" i="15"/>
  <c r="D273" i="15"/>
  <c r="A273" i="15"/>
  <c r="D272" i="15"/>
  <c r="A272" i="15"/>
  <c r="D271" i="15"/>
  <c r="A271" i="15"/>
  <c r="D270" i="15"/>
  <c r="A270" i="15"/>
  <c r="D269" i="15"/>
  <c r="A269" i="15"/>
  <c r="D268" i="15"/>
  <c r="A268" i="15"/>
  <c r="D267" i="15"/>
  <c r="A267" i="15"/>
  <c r="D266" i="15"/>
  <c r="A266" i="15"/>
  <c r="D265" i="15"/>
  <c r="A265" i="15"/>
  <c r="D264" i="15"/>
  <c r="A264" i="15"/>
  <c r="D263" i="15"/>
  <c r="A263" i="15"/>
  <c r="D262" i="15"/>
  <c r="A262" i="15"/>
  <c r="D261" i="15"/>
  <c r="A261" i="15"/>
  <c r="D260" i="15"/>
  <c r="A260" i="15"/>
  <c r="D259" i="15"/>
  <c r="A259" i="15"/>
  <c r="D258" i="15"/>
  <c r="A258" i="15"/>
  <c r="D257" i="15"/>
  <c r="A257" i="15"/>
  <c r="D256" i="15"/>
  <c r="A256" i="15"/>
  <c r="D255" i="15"/>
  <c r="A255" i="15"/>
  <c r="D254" i="15"/>
  <c r="A254" i="15"/>
  <c r="D253" i="15"/>
  <c r="A253" i="15"/>
  <c r="D252" i="15"/>
  <c r="A252" i="15"/>
  <c r="D251" i="15"/>
  <c r="A251" i="15"/>
  <c r="D250" i="15"/>
  <c r="A250" i="15"/>
  <c r="D249" i="15"/>
  <c r="A249" i="15"/>
  <c r="D248" i="15"/>
  <c r="A248" i="15"/>
  <c r="D247" i="15"/>
  <c r="A247" i="15"/>
  <c r="D246" i="15"/>
  <c r="A246" i="15"/>
  <c r="D245" i="15"/>
  <c r="A245" i="15"/>
  <c r="D244" i="15"/>
  <c r="A244" i="15"/>
  <c r="D243" i="15"/>
  <c r="A243" i="15"/>
  <c r="D242" i="15"/>
  <c r="A242" i="15"/>
  <c r="D241" i="15"/>
  <c r="A241" i="15"/>
  <c r="D240" i="15"/>
  <c r="A240" i="15"/>
  <c r="D239" i="15"/>
  <c r="A239" i="15"/>
  <c r="D238" i="15"/>
  <c r="A238" i="15"/>
  <c r="D237" i="15"/>
  <c r="A237" i="15"/>
  <c r="D236" i="15"/>
  <c r="A236" i="15"/>
  <c r="D235" i="15"/>
  <c r="A235" i="15"/>
  <c r="D234" i="15"/>
  <c r="A234" i="15"/>
  <c r="D233" i="15"/>
  <c r="A233" i="15"/>
  <c r="D232" i="15"/>
  <c r="A232" i="15"/>
  <c r="D231" i="15"/>
  <c r="A231" i="15"/>
  <c r="D230" i="15"/>
  <c r="A230" i="15"/>
  <c r="D229" i="15"/>
  <c r="A229" i="15"/>
  <c r="D228" i="15"/>
  <c r="A228" i="15"/>
  <c r="D227" i="15"/>
  <c r="A227" i="15"/>
  <c r="D226" i="15"/>
  <c r="A226" i="15"/>
  <c r="D225" i="15"/>
  <c r="A225" i="15"/>
  <c r="D224" i="15"/>
  <c r="A224" i="15"/>
  <c r="D223" i="15"/>
  <c r="A223" i="15"/>
  <c r="D222" i="15"/>
  <c r="A222" i="15"/>
  <c r="D221" i="15"/>
  <c r="A221" i="15"/>
  <c r="D220" i="15"/>
  <c r="A220" i="15"/>
  <c r="D219" i="15"/>
  <c r="A219" i="15"/>
  <c r="D218" i="15"/>
  <c r="A218" i="15"/>
  <c r="D217" i="15"/>
  <c r="A217" i="15"/>
  <c r="D216" i="15"/>
  <c r="A216" i="15"/>
  <c r="D215" i="15"/>
  <c r="A215" i="15"/>
  <c r="D214" i="15"/>
  <c r="A214" i="15"/>
  <c r="D213" i="15"/>
  <c r="A213" i="15"/>
  <c r="D212" i="15"/>
  <c r="A212" i="15"/>
  <c r="D211" i="15"/>
  <c r="A211" i="15"/>
  <c r="D210" i="15"/>
  <c r="A210" i="15"/>
  <c r="D209" i="15"/>
  <c r="A209" i="15"/>
  <c r="D208" i="15"/>
  <c r="A208" i="15"/>
  <c r="D207" i="15"/>
  <c r="A207" i="15"/>
  <c r="D206" i="15"/>
  <c r="A206" i="15"/>
  <c r="D205" i="15"/>
  <c r="A205" i="15"/>
  <c r="D204" i="15"/>
  <c r="A204" i="15"/>
  <c r="D203" i="15"/>
  <c r="A203" i="15"/>
  <c r="D202" i="15"/>
  <c r="A202" i="15"/>
  <c r="D201" i="15"/>
  <c r="A201" i="15"/>
  <c r="D200" i="15"/>
  <c r="A200" i="15"/>
  <c r="D199" i="15"/>
  <c r="A199" i="15"/>
  <c r="D198" i="15"/>
  <c r="A198" i="15"/>
  <c r="D197" i="15"/>
  <c r="A197" i="15"/>
  <c r="D196" i="15"/>
  <c r="A196" i="15"/>
  <c r="D195" i="15"/>
  <c r="D194" i="15"/>
  <c r="D193" i="15"/>
  <c r="D192" i="15"/>
  <c r="D191" i="15"/>
  <c r="D190" i="15"/>
  <c r="D189" i="15"/>
  <c r="D188" i="15"/>
  <c r="D187" i="15"/>
  <c r="D186" i="15"/>
  <c r="D185" i="15"/>
  <c r="D184" i="15"/>
  <c r="D183" i="15"/>
  <c r="D182" i="15"/>
  <c r="D181" i="15"/>
  <c r="D180" i="15"/>
  <c r="D179" i="15"/>
  <c r="D178" i="15"/>
  <c r="D177" i="15"/>
  <c r="D176" i="15"/>
  <c r="D175" i="15"/>
  <c r="D174" i="15"/>
  <c r="D173" i="15"/>
  <c r="D172" i="15"/>
  <c r="D171" i="15"/>
  <c r="D170" i="15"/>
  <c r="D169" i="15"/>
  <c r="D168" i="15"/>
  <c r="D167" i="15"/>
  <c r="D166" i="15"/>
  <c r="D165" i="15"/>
  <c r="D164" i="15"/>
  <c r="D163" i="15"/>
  <c r="D162" i="15"/>
  <c r="D161" i="15"/>
  <c r="D160" i="15"/>
  <c r="D159" i="15"/>
  <c r="D158" i="15"/>
  <c r="D157" i="15"/>
  <c r="D156" i="15"/>
  <c r="D155" i="15"/>
  <c r="D154" i="15"/>
  <c r="D153" i="15"/>
  <c r="D152" i="15"/>
  <c r="D151" i="15"/>
  <c r="D150" i="15"/>
  <c r="D149" i="15"/>
  <c r="D148" i="15"/>
  <c r="D147" i="15"/>
  <c r="D146" i="15"/>
  <c r="D145" i="15"/>
  <c r="D144" i="15"/>
  <c r="D143" i="15"/>
  <c r="D142" i="15"/>
  <c r="D141" i="15"/>
  <c r="D140" i="15"/>
  <c r="D139" i="15"/>
  <c r="D138" i="15"/>
  <c r="D137" i="15"/>
  <c r="D136" i="15"/>
  <c r="D135" i="15"/>
  <c r="D134" i="15"/>
  <c r="D133" i="15"/>
  <c r="D132" i="15"/>
  <c r="D131" i="15"/>
  <c r="D130" i="15"/>
  <c r="D129" i="15"/>
  <c r="D128" i="15"/>
  <c r="D127" i="15"/>
  <c r="D126" i="15"/>
  <c r="D125" i="15"/>
  <c r="D124" i="15"/>
  <c r="D123" i="15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5" i="15"/>
  <c r="D84" i="15"/>
  <c r="D83" i="15"/>
  <c r="D82" i="15"/>
  <c r="D81" i="15"/>
  <c r="D80" i="15"/>
  <c r="D79" i="15"/>
  <c r="D78" i="15"/>
  <c r="D77" i="15"/>
  <c r="D76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1" i="15"/>
  <c r="D60" i="15"/>
  <c r="D59" i="15"/>
  <c r="D58" i="15"/>
  <c r="D57" i="15"/>
  <c r="D56" i="15"/>
  <c r="D55" i="15"/>
  <c r="D54" i="15"/>
  <c r="D53" i="15"/>
  <c r="D52" i="15"/>
  <c r="D51" i="15"/>
  <c r="D50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2" i="15"/>
  <c r="D21" i="15"/>
  <c r="D20" i="15"/>
  <c r="D19" i="15"/>
  <c r="D18" i="15"/>
  <c r="D17" i="15"/>
  <c r="D16" i="15"/>
  <c r="D15" i="15"/>
  <c r="D14" i="15"/>
  <c r="C9" i="15"/>
  <c r="C7" i="15"/>
  <c r="C5" i="15"/>
  <c r="A391" i="13"/>
  <c r="A390" i="13"/>
  <c r="A389" i="13"/>
  <c r="A388" i="13"/>
  <c r="A387" i="13"/>
  <c r="A386" i="13"/>
  <c r="A385" i="13"/>
  <c r="A384" i="13"/>
  <c r="A383" i="13"/>
  <c r="A382" i="13"/>
  <c r="A381" i="13"/>
  <c r="A380" i="13"/>
  <c r="A379" i="13"/>
  <c r="A378" i="13"/>
  <c r="A377" i="13"/>
  <c r="A376" i="13"/>
  <c r="A375" i="13"/>
  <c r="A374" i="13"/>
  <c r="A373" i="13"/>
  <c r="A372" i="13"/>
  <c r="A371" i="13"/>
  <c r="A370" i="13"/>
  <c r="A369" i="13"/>
  <c r="A368" i="13"/>
  <c r="A367" i="13"/>
  <c r="A366" i="13"/>
  <c r="A365" i="13"/>
  <c r="A364" i="13"/>
  <c r="A363" i="13"/>
  <c r="A362" i="13"/>
  <c r="A361" i="13"/>
  <c r="A360" i="13"/>
  <c r="A359" i="13"/>
  <c r="A358" i="13"/>
  <c r="A357" i="13"/>
  <c r="A356" i="13"/>
  <c r="A355" i="13"/>
  <c r="A354" i="13"/>
  <c r="A353" i="13"/>
  <c r="A352" i="13"/>
  <c r="A351" i="13"/>
  <c r="A350" i="13"/>
  <c r="A349" i="13"/>
  <c r="A348" i="13"/>
  <c r="A347" i="13"/>
  <c r="A346" i="13"/>
  <c r="A345" i="13"/>
  <c r="A344" i="13"/>
  <c r="A343" i="13"/>
  <c r="A342" i="13"/>
  <c r="A341" i="13"/>
  <c r="A340" i="13"/>
  <c r="A339" i="13"/>
  <c r="A338" i="13"/>
  <c r="A337" i="13"/>
  <c r="A336" i="13"/>
  <c r="A335" i="13"/>
  <c r="A334" i="13"/>
  <c r="A333" i="13"/>
  <c r="A332" i="13"/>
  <c r="A331" i="13"/>
  <c r="A330" i="13"/>
  <c r="A329" i="13"/>
  <c r="A328" i="13"/>
  <c r="A327" i="13"/>
  <c r="A326" i="13"/>
  <c r="A325" i="13"/>
  <c r="A324" i="13"/>
  <c r="A323" i="13"/>
  <c r="A322" i="13"/>
  <c r="A321" i="13"/>
  <c r="A320" i="13"/>
  <c r="A319" i="13"/>
  <c r="A318" i="13"/>
  <c r="A317" i="13"/>
  <c r="A316" i="13"/>
  <c r="A315" i="13"/>
  <c r="A314" i="13"/>
  <c r="A313" i="13"/>
  <c r="A312" i="13"/>
  <c r="A311" i="13"/>
  <c r="A310" i="13"/>
  <c r="A309" i="13"/>
  <c r="A308" i="13"/>
  <c r="A307" i="13"/>
  <c r="A306" i="13"/>
  <c r="A305" i="13"/>
  <c r="A304" i="13"/>
  <c r="A303" i="13"/>
  <c r="A302" i="13"/>
  <c r="A301" i="13"/>
  <c r="A300" i="13"/>
  <c r="A299" i="13"/>
  <c r="A298" i="13"/>
  <c r="A297" i="13"/>
  <c r="A296" i="13"/>
  <c r="A295" i="13"/>
  <c r="A294" i="13"/>
  <c r="A293" i="13"/>
  <c r="A292" i="13"/>
  <c r="A291" i="13"/>
  <c r="A290" i="13"/>
  <c r="A289" i="13"/>
  <c r="A288" i="13"/>
  <c r="A287" i="13"/>
  <c r="A286" i="13"/>
  <c r="A285" i="13"/>
  <c r="A284" i="13"/>
  <c r="A283" i="13"/>
  <c r="A282" i="13"/>
  <c r="A281" i="13"/>
  <c r="A280" i="13"/>
  <c r="A279" i="13"/>
  <c r="A278" i="13"/>
  <c r="A277" i="13"/>
  <c r="A276" i="13"/>
  <c r="A275" i="13"/>
  <c r="A274" i="13"/>
  <c r="A273" i="13"/>
  <c r="A272" i="13"/>
  <c r="A271" i="13"/>
  <c r="A270" i="13"/>
  <c r="A269" i="13"/>
  <c r="A268" i="13"/>
  <c r="A267" i="13"/>
  <c r="A266" i="13"/>
  <c r="A265" i="13"/>
  <c r="A264" i="13"/>
  <c r="A263" i="13"/>
  <c r="A262" i="13"/>
  <c r="A261" i="13"/>
  <c r="A260" i="13"/>
  <c r="A259" i="13"/>
  <c r="A258" i="13"/>
  <c r="A257" i="13"/>
  <c r="A256" i="13"/>
  <c r="A255" i="13"/>
  <c r="A254" i="13"/>
  <c r="A253" i="13"/>
  <c r="A252" i="13"/>
  <c r="A251" i="13"/>
  <c r="A250" i="13"/>
  <c r="A249" i="13"/>
  <c r="A248" i="13"/>
  <c r="A247" i="13"/>
  <c r="A246" i="13"/>
  <c r="A245" i="13"/>
  <c r="A244" i="13"/>
  <c r="A243" i="13"/>
  <c r="A242" i="13"/>
  <c r="A241" i="13"/>
  <c r="A240" i="13"/>
  <c r="A239" i="13"/>
  <c r="A238" i="13"/>
  <c r="A237" i="13"/>
  <c r="A236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C8" i="13" s="1"/>
  <c r="B22" i="12"/>
  <c r="D22" i="12" s="1"/>
  <c r="E20" i="12"/>
  <c r="D20" i="12"/>
  <c r="C20" i="12"/>
  <c r="E19" i="12"/>
  <c r="D19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A298" i="10"/>
  <c r="A297" i="10"/>
  <c r="A296" i="10"/>
  <c r="A295" i="10"/>
  <c r="A294" i="10"/>
  <c r="A293" i="10"/>
  <c r="A292" i="10"/>
  <c r="A291" i="10"/>
  <c r="A290" i="10"/>
  <c r="A289" i="10"/>
  <c r="A288" i="10"/>
  <c r="A287" i="10"/>
  <c r="A286" i="10"/>
  <c r="A285" i="10"/>
  <c r="A284" i="10"/>
  <c r="A283" i="10"/>
  <c r="A282" i="10"/>
  <c r="A281" i="10"/>
  <c r="A280" i="10"/>
  <c r="A279" i="10"/>
  <c r="A278" i="10"/>
  <c r="A277" i="10"/>
  <c r="A276" i="10"/>
  <c r="A275" i="10"/>
  <c r="A274" i="10"/>
  <c r="A273" i="10"/>
  <c r="A272" i="10"/>
  <c r="A271" i="10"/>
  <c r="A270" i="10"/>
  <c r="A269" i="10"/>
  <c r="A268" i="10"/>
  <c r="A267" i="10"/>
  <c r="A266" i="10"/>
  <c r="A265" i="10"/>
  <c r="A264" i="10"/>
  <c r="A263" i="10"/>
  <c r="A262" i="10"/>
  <c r="A261" i="10"/>
  <c r="A260" i="10"/>
  <c r="A259" i="10"/>
  <c r="A258" i="10"/>
  <c r="A257" i="10"/>
  <c r="A256" i="10"/>
  <c r="A255" i="10"/>
  <c r="A254" i="10"/>
  <c r="A253" i="10"/>
  <c r="A252" i="10"/>
  <c r="A251" i="10"/>
  <c r="A250" i="10"/>
  <c r="A249" i="10"/>
  <c r="A248" i="10"/>
  <c r="A247" i="10"/>
  <c r="A246" i="10"/>
  <c r="A245" i="10"/>
  <c r="A244" i="10"/>
  <c r="A243" i="10"/>
  <c r="A242" i="10"/>
  <c r="A241" i="10"/>
  <c r="A240" i="10"/>
  <c r="A239" i="10"/>
  <c r="A238" i="10"/>
  <c r="A237" i="10"/>
  <c r="A236" i="10"/>
  <c r="A235" i="10"/>
  <c r="A234" i="10"/>
  <c r="A233" i="10"/>
  <c r="A232" i="10"/>
  <c r="A231" i="10"/>
  <c r="A230" i="10"/>
  <c r="A229" i="10"/>
  <c r="A228" i="10"/>
  <c r="A227" i="10"/>
  <c r="A226" i="10"/>
  <c r="A225" i="10"/>
  <c r="A224" i="10"/>
  <c r="A223" i="10"/>
  <c r="A222" i="10"/>
  <c r="A221" i="10"/>
  <c r="A220" i="10"/>
  <c r="A219" i="10"/>
  <c r="A218" i="10"/>
  <c r="A217" i="10"/>
  <c r="A216" i="10"/>
  <c r="A215" i="10"/>
  <c r="A214" i="10"/>
  <c r="A213" i="10"/>
  <c r="A212" i="10"/>
  <c r="A211" i="10"/>
  <c r="A210" i="10"/>
  <c r="A209" i="10"/>
  <c r="A208" i="10"/>
  <c r="A207" i="10"/>
  <c r="A206" i="10"/>
  <c r="A205" i="10"/>
  <c r="A204" i="10"/>
  <c r="A203" i="10"/>
  <c r="A202" i="10"/>
  <c r="A201" i="10"/>
  <c r="A200" i="10"/>
  <c r="A199" i="10"/>
  <c r="A198" i="10"/>
  <c r="A197" i="10"/>
  <c r="A196" i="10"/>
  <c r="A195" i="10"/>
  <c r="A194" i="10"/>
  <c r="A193" i="10"/>
  <c r="A192" i="10"/>
  <c r="A191" i="10"/>
  <c r="A190" i="10"/>
  <c r="A189" i="10"/>
  <c r="A188" i="10"/>
  <c r="A187" i="10"/>
  <c r="A186" i="10"/>
  <c r="A185" i="10"/>
  <c r="A184" i="10"/>
  <c r="A183" i="10"/>
  <c r="A182" i="10"/>
  <c r="A181" i="10"/>
  <c r="A180" i="10"/>
  <c r="A179" i="10"/>
  <c r="A178" i="10"/>
  <c r="A177" i="10"/>
  <c r="A176" i="10"/>
  <c r="A175" i="10"/>
  <c r="A174" i="10"/>
  <c r="A173" i="10"/>
  <c r="A172" i="10"/>
  <c r="A171" i="10"/>
  <c r="A170" i="10"/>
  <c r="A169" i="10"/>
  <c r="A168" i="10"/>
  <c r="A167" i="10"/>
  <c r="A166" i="10"/>
  <c r="A165" i="10"/>
  <c r="A164" i="10"/>
  <c r="A163" i="10"/>
  <c r="A162" i="10"/>
  <c r="A161" i="10"/>
  <c r="A160" i="10"/>
  <c r="A159" i="10"/>
  <c r="A158" i="10"/>
  <c r="A157" i="10"/>
  <c r="A156" i="10"/>
  <c r="A155" i="10"/>
  <c r="A154" i="10"/>
  <c r="A153" i="10"/>
  <c r="A152" i="10"/>
  <c r="A151" i="10"/>
  <c r="A150" i="10"/>
  <c r="A149" i="10"/>
  <c r="A148" i="10"/>
  <c r="A147" i="10"/>
  <c r="A146" i="10"/>
  <c r="A145" i="10"/>
  <c r="A144" i="10"/>
  <c r="A143" i="10"/>
  <c r="A142" i="10"/>
  <c r="C8" i="10"/>
  <c r="C9" i="10" s="1"/>
  <c r="C10" i="10" s="1"/>
  <c r="A379" i="9"/>
  <c r="A378" i="9"/>
  <c r="A377" i="9"/>
  <c r="A376" i="9"/>
  <c r="A375" i="9"/>
  <c r="A374" i="9"/>
  <c r="A373" i="9"/>
  <c r="A372" i="9"/>
  <c r="A371" i="9"/>
  <c r="A370" i="9"/>
  <c r="A369" i="9"/>
  <c r="A368" i="9"/>
  <c r="A367" i="9"/>
  <c r="A366" i="9"/>
  <c r="A365" i="9"/>
  <c r="A364" i="9"/>
  <c r="A363" i="9"/>
  <c r="A362" i="9"/>
  <c r="A361" i="9"/>
  <c r="A360" i="9"/>
  <c r="A359" i="9"/>
  <c r="A358" i="9"/>
  <c r="A357" i="9"/>
  <c r="A356" i="9"/>
  <c r="A355" i="9"/>
  <c r="A354" i="9"/>
  <c r="A353" i="9"/>
  <c r="A352" i="9"/>
  <c r="A351" i="9"/>
  <c r="A350" i="9"/>
  <c r="A349" i="9"/>
  <c r="A348" i="9"/>
  <c r="A347" i="9"/>
  <c r="A346" i="9"/>
  <c r="A345" i="9"/>
  <c r="A344" i="9"/>
  <c r="A343" i="9"/>
  <c r="A342" i="9"/>
  <c r="A341" i="9"/>
  <c r="A340" i="9"/>
  <c r="A339" i="9"/>
  <c r="A338" i="9"/>
  <c r="A337" i="9"/>
  <c r="A336" i="9"/>
  <c r="A335" i="9"/>
  <c r="A334" i="9"/>
  <c r="A333" i="9"/>
  <c r="A332" i="9"/>
  <c r="A331" i="9"/>
  <c r="A330" i="9"/>
  <c r="A329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303" i="9"/>
  <c r="A302" i="9"/>
  <c r="A301" i="9"/>
  <c r="A300" i="9"/>
  <c r="A299" i="9"/>
  <c r="A298" i="9"/>
  <c r="A297" i="9"/>
  <c r="A296" i="9"/>
  <c r="A295" i="9"/>
  <c r="A294" i="9"/>
  <c r="A293" i="9"/>
  <c r="A292" i="9"/>
  <c r="A291" i="9"/>
  <c r="A290" i="9"/>
  <c r="A289" i="9"/>
  <c r="A288" i="9"/>
  <c r="A287" i="9"/>
  <c r="A286" i="9"/>
  <c r="A285" i="9"/>
  <c r="A284" i="9"/>
  <c r="A283" i="9"/>
  <c r="A282" i="9"/>
  <c r="A281" i="9"/>
  <c r="A280" i="9"/>
  <c r="A279" i="9"/>
  <c r="A278" i="9"/>
  <c r="A277" i="9"/>
  <c r="A276" i="9"/>
  <c r="A275" i="9"/>
  <c r="A274" i="9"/>
  <c r="A273" i="9"/>
  <c r="A272" i="9"/>
  <c r="A271" i="9"/>
  <c r="A270" i="9"/>
  <c r="A269" i="9"/>
  <c r="A268" i="9"/>
  <c r="A267" i="9"/>
  <c r="A266" i="9"/>
  <c r="A265" i="9"/>
  <c r="A264" i="9"/>
  <c r="A263" i="9"/>
  <c r="A262" i="9"/>
  <c r="A261" i="9"/>
  <c r="A260" i="9"/>
  <c r="A259" i="9"/>
  <c r="A258" i="9"/>
  <c r="A257" i="9"/>
  <c r="A256" i="9"/>
  <c r="A255" i="9"/>
  <c r="A254" i="9"/>
  <c r="A253" i="9"/>
  <c r="A252" i="9"/>
  <c r="A251" i="9"/>
  <c r="A250" i="9"/>
  <c r="A249" i="9"/>
  <c r="A248" i="9"/>
  <c r="A247" i="9"/>
  <c r="A246" i="9"/>
  <c r="A245" i="9"/>
  <c r="A244" i="9"/>
  <c r="A243" i="9"/>
  <c r="A242" i="9"/>
  <c r="A241" i="9"/>
  <c r="A240" i="9"/>
  <c r="A239" i="9"/>
  <c r="A238" i="9"/>
  <c r="A237" i="9"/>
  <c r="A236" i="9"/>
  <c r="A235" i="9"/>
  <c r="A234" i="9"/>
  <c r="A233" i="9"/>
  <c r="A232" i="9"/>
  <c r="A231" i="9"/>
  <c r="A230" i="9"/>
  <c r="A229" i="9"/>
  <c r="A228" i="9"/>
  <c r="A227" i="9"/>
  <c r="A226" i="9"/>
  <c r="A225" i="9"/>
  <c r="A224" i="9"/>
  <c r="C76" i="9"/>
  <c r="C77" i="9" s="1"/>
  <c r="F75" i="9"/>
  <c r="E75" i="9"/>
  <c r="D75" i="9"/>
  <c r="F74" i="9"/>
  <c r="E74" i="9"/>
  <c r="D74" i="9"/>
  <c r="F73" i="9"/>
  <c r="E73" i="9"/>
  <c r="D73" i="9"/>
  <c r="F72" i="9"/>
  <c r="E72" i="9"/>
  <c r="D72" i="9"/>
  <c r="F71" i="9"/>
  <c r="E71" i="9"/>
  <c r="D71" i="9"/>
  <c r="F70" i="9"/>
  <c r="E70" i="9"/>
  <c r="D70" i="9"/>
  <c r="F69" i="9"/>
  <c r="E69" i="9"/>
  <c r="D69" i="9"/>
  <c r="F68" i="9"/>
  <c r="E68" i="9"/>
  <c r="D68" i="9"/>
  <c r="E67" i="9"/>
  <c r="D67" i="9"/>
  <c r="E66" i="9"/>
  <c r="D66" i="9"/>
  <c r="E65" i="9"/>
  <c r="D65" i="9"/>
  <c r="E64" i="9"/>
  <c r="D64" i="9"/>
  <c r="E63" i="9"/>
  <c r="D63" i="9"/>
  <c r="E62" i="9"/>
  <c r="D62" i="9"/>
  <c r="E61" i="9"/>
  <c r="D61" i="9"/>
  <c r="E60" i="9"/>
  <c r="D60" i="9"/>
  <c r="E59" i="9"/>
  <c r="D59" i="9"/>
  <c r="E58" i="9"/>
  <c r="D58" i="9"/>
  <c r="E57" i="9"/>
  <c r="D57" i="9"/>
  <c r="E56" i="9"/>
  <c r="D56" i="9"/>
  <c r="E55" i="9"/>
  <c r="D55" i="9"/>
  <c r="E54" i="9"/>
  <c r="D54" i="9"/>
  <c r="E53" i="9"/>
  <c r="E52" i="9"/>
  <c r="D52" i="9"/>
  <c r="E51" i="9"/>
  <c r="D51" i="9"/>
  <c r="E50" i="9"/>
  <c r="D50" i="9"/>
  <c r="E49" i="9"/>
  <c r="D49" i="9"/>
  <c r="E48" i="9"/>
  <c r="D48" i="9"/>
  <c r="F47" i="9"/>
  <c r="E47" i="9"/>
  <c r="C44" i="9"/>
  <c r="F43" i="9"/>
  <c r="E43" i="9"/>
  <c r="C36" i="9"/>
  <c r="C37" i="9" s="1"/>
  <c r="F35" i="9"/>
  <c r="E35" i="9"/>
  <c r="D35" i="9"/>
  <c r="F34" i="9"/>
  <c r="E34" i="9"/>
  <c r="D34" i="9"/>
  <c r="F33" i="9"/>
  <c r="E33" i="9"/>
  <c r="D33" i="9"/>
  <c r="F32" i="9"/>
  <c r="E32" i="9"/>
  <c r="D32" i="9"/>
  <c r="F31" i="9"/>
  <c r="E31" i="9"/>
  <c r="D31" i="9"/>
  <c r="F30" i="9"/>
  <c r="E30" i="9"/>
  <c r="D30" i="9"/>
  <c r="F29" i="9"/>
  <c r="E29" i="9"/>
  <c r="D29" i="9"/>
  <c r="F28" i="9"/>
  <c r="E28" i="9"/>
  <c r="D28" i="9"/>
  <c r="F27" i="9"/>
  <c r="E27" i="9"/>
  <c r="D27" i="9"/>
  <c r="F26" i="9"/>
  <c r="E26" i="9"/>
  <c r="D26" i="9"/>
  <c r="F25" i="9"/>
  <c r="E25" i="9"/>
  <c r="D25" i="9"/>
  <c r="F24" i="9"/>
  <c r="E24" i="9"/>
  <c r="D24" i="9"/>
  <c r="F23" i="9"/>
  <c r="E23" i="9"/>
  <c r="D23" i="9"/>
  <c r="F22" i="9"/>
  <c r="E22" i="9"/>
  <c r="D22" i="9"/>
  <c r="F21" i="9"/>
  <c r="E21" i="9"/>
  <c r="D21" i="9"/>
  <c r="F20" i="9"/>
  <c r="E20" i="9"/>
  <c r="D20" i="9"/>
  <c r="F19" i="9"/>
  <c r="E19" i="9"/>
  <c r="D19" i="9"/>
  <c r="E18" i="9"/>
  <c r="D18" i="9"/>
  <c r="E17" i="9"/>
  <c r="D17" i="9"/>
  <c r="E16" i="9"/>
  <c r="D16" i="9"/>
  <c r="E15" i="9"/>
  <c r="D15" i="9"/>
  <c r="E14" i="9"/>
  <c r="D14" i="9"/>
  <c r="E13" i="9"/>
  <c r="D13" i="9"/>
  <c r="E12" i="9"/>
  <c r="D12" i="9"/>
  <c r="E11" i="9"/>
  <c r="D11" i="9"/>
  <c r="E10" i="9"/>
  <c r="D10" i="9"/>
  <c r="E9" i="9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C76" i="8"/>
  <c r="F76" i="8" s="1"/>
  <c r="F75" i="8"/>
  <c r="E75" i="8"/>
  <c r="D75" i="8"/>
  <c r="F74" i="8"/>
  <c r="E74" i="8"/>
  <c r="D74" i="8"/>
  <c r="F73" i="8"/>
  <c r="E73" i="8"/>
  <c r="D73" i="8"/>
  <c r="F72" i="8"/>
  <c r="E72" i="8"/>
  <c r="D72" i="8"/>
  <c r="F71" i="8"/>
  <c r="E71" i="8"/>
  <c r="D71" i="8"/>
  <c r="F70" i="8"/>
  <c r="E70" i="8"/>
  <c r="D70" i="8"/>
  <c r="F69" i="8"/>
  <c r="E69" i="8"/>
  <c r="D69" i="8"/>
  <c r="F68" i="8"/>
  <c r="E68" i="8"/>
  <c r="D68" i="8"/>
  <c r="F67" i="8"/>
  <c r="E67" i="8"/>
  <c r="D67" i="8"/>
  <c r="F66" i="8"/>
  <c r="E66" i="8"/>
  <c r="D66" i="8"/>
  <c r="F65" i="8"/>
  <c r="E65" i="8"/>
  <c r="D65" i="8"/>
  <c r="E64" i="8"/>
  <c r="D64" i="8"/>
  <c r="E63" i="8"/>
  <c r="D63" i="8"/>
  <c r="E62" i="8"/>
  <c r="D62" i="8"/>
  <c r="E61" i="8"/>
  <c r="D61" i="8"/>
  <c r="E60" i="8"/>
  <c r="D60" i="8"/>
  <c r="E59" i="8"/>
  <c r="D59" i="8"/>
  <c r="E58" i="8"/>
  <c r="D58" i="8"/>
  <c r="E57" i="8"/>
  <c r="D57" i="8"/>
  <c r="E56" i="8"/>
  <c r="D56" i="8"/>
  <c r="E55" i="8"/>
  <c r="D55" i="8"/>
  <c r="F54" i="8"/>
  <c r="E54" i="8"/>
  <c r="D54" i="8"/>
  <c r="F53" i="8"/>
  <c r="E53" i="8"/>
  <c r="C43" i="8"/>
  <c r="C44" i="8" s="1"/>
  <c r="F42" i="8"/>
  <c r="E42" i="8"/>
  <c r="D42" i="8"/>
  <c r="F41" i="8"/>
  <c r="E41" i="8"/>
  <c r="D41" i="8"/>
  <c r="F40" i="8"/>
  <c r="E40" i="8"/>
  <c r="D40" i="8"/>
  <c r="F39" i="8"/>
  <c r="E39" i="8"/>
  <c r="D39" i="8"/>
  <c r="F38" i="8"/>
  <c r="E38" i="8"/>
  <c r="D38" i="8"/>
  <c r="F37" i="8"/>
  <c r="E37" i="8"/>
  <c r="D37" i="8"/>
  <c r="F36" i="8"/>
  <c r="E36" i="8"/>
  <c r="D36" i="8"/>
  <c r="F35" i="8"/>
  <c r="E35" i="8"/>
  <c r="D35" i="8"/>
  <c r="F34" i="8"/>
  <c r="E34" i="8"/>
  <c r="D34" i="8"/>
  <c r="F33" i="8"/>
  <c r="E33" i="8"/>
  <c r="D33" i="8"/>
  <c r="F32" i="8"/>
  <c r="E32" i="8"/>
  <c r="D32" i="8"/>
  <c r="F31" i="8"/>
  <c r="E31" i="8"/>
  <c r="D31" i="8"/>
  <c r="F30" i="8"/>
  <c r="E30" i="8"/>
  <c r="D30" i="8"/>
  <c r="F29" i="8"/>
  <c r="E29" i="8"/>
  <c r="D29" i="8"/>
  <c r="F28" i="8"/>
  <c r="E28" i="8"/>
  <c r="D28" i="8"/>
  <c r="F27" i="8"/>
  <c r="E27" i="8"/>
  <c r="D27" i="8"/>
  <c r="F26" i="8"/>
  <c r="E26" i="8"/>
  <c r="D26" i="8"/>
  <c r="F25" i="8"/>
  <c r="E25" i="8"/>
  <c r="D25" i="8"/>
  <c r="F24" i="8"/>
  <c r="E24" i="8"/>
  <c r="D24" i="8"/>
  <c r="F23" i="8"/>
  <c r="E23" i="8"/>
  <c r="D23" i="8"/>
  <c r="F22" i="8"/>
  <c r="E22" i="8"/>
  <c r="D22" i="8"/>
  <c r="F21" i="8"/>
  <c r="E21" i="8"/>
  <c r="D21" i="8"/>
  <c r="F20" i="8"/>
  <c r="E20" i="8"/>
  <c r="D20" i="8"/>
  <c r="F19" i="8"/>
  <c r="E19" i="8"/>
  <c r="D19" i="8"/>
  <c r="E18" i="8"/>
  <c r="D18" i="8"/>
  <c r="E17" i="8"/>
  <c r="D17" i="8"/>
  <c r="E16" i="8"/>
  <c r="D16" i="8"/>
  <c r="E15" i="8"/>
  <c r="D15" i="8"/>
  <c r="E14" i="8"/>
  <c r="D14" i="8"/>
  <c r="E13" i="8"/>
  <c r="D13" i="8"/>
  <c r="E12" i="8"/>
  <c r="D12" i="8"/>
  <c r="E11" i="8"/>
  <c r="D11" i="8"/>
  <c r="E10" i="8"/>
  <c r="D10" i="8"/>
  <c r="E9" i="8"/>
  <c r="C8" i="8"/>
  <c r="E8" i="8" s="1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7" i="7"/>
  <c r="A366" i="7"/>
  <c r="A365" i="7"/>
  <c r="A364" i="7"/>
  <c r="A363" i="7"/>
  <c r="A362" i="7"/>
  <c r="A361" i="7"/>
  <c r="A360" i="7"/>
  <c r="A359" i="7"/>
  <c r="A358" i="7"/>
  <c r="A357" i="7"/>
  <c r="A356" i="7"/>
  <c r="A355" i="7"/>
  <c r="A354" i="7"/>
  <c r="A353" i="7"/>
  <c r="A352" i="7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4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1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8" i="7"/>
  <c r="A287" i="7"/>
  <c r="A286" i="7"/>
  <c r="A285" i="7"/>
  <c r="A284" i="7"/>
  <c r="A283" i="7"/>
  <c r="A282" i="7"/>
  <c r="A281" i="7"/>
  <c r="A280" i="7"/>
  <c r="A279" i="7"/>
  <c r="A278" i="7"/>
  <c r="A277" i="7"/>
  <c r="A276" i="7"/>
  <c r="A275" i="7"/>
  <c r="A274" i="7"/>
  <c r="A273" i="7"/>
  <c r="A272" i="7"/>
  <c r="A271" i="7"/>
  <c r="A270" i="7"/>
  <c r="A269" i="7"/>
  <c r="A268" i="7"/>
  <c r="A267" i="7"/>
  <c r="A266" i="7"/>
  <c r="A265" i="7"/>
  <c r="A264" i="7"/>
  <c r="A263" i="7"/>
  <c r="A262" i="7"/>
  <c r="A261" i="7"/>
  <c r="A260" i="7"/>
  <c r="A259" i="7"/>
  <c r="A258" i="7"/>
  <c r="A257" i="7"/>
  <c r="A256" i="7"/>
  <c r="A255" i="7"/>
  <c r="A254" i="7"/>
  <c r="A253" i="7"/>
  <c r="A252" i="7"/>
  <c r="A251" i="7"/>
  <c r="A250" i="7"/>
  <c r="A249" i="7"/>
  <c r="A248" i="7"/>
  <c r="A247" i="7"/>
  <c r="A246" i="7"/>
  <c r="A245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C173" i="7"/>
  <c r="E173" i="7" s="1"/>
  <c r="F172" i="7"/>
  <c r="E172" i="7"/>
  <c r="D172" i="7"/>
  <c r="F171" i="7"/>
  <c r="E171" i="7"/>
  <c r="D171" i="7"/>
  <c r="F170" i="7"/>
  <c r="E170" i="7"/>
  <c r="D170" i="7"/>
  <c r="F169" i="7"/>
  <c r="E169" i="7"/>
  <c r="D169" i="7"/>
  <c r="F168" i="7"/>
  <c r="E168" i="7"/>
  <c r="D168" i="7"/>
  <c r="F167" i="7"/>
  <c r="E167" i="7"/>
  <c r="D167" i="7"/>
  <c r="F166" i="7"/>
  <c r="E166" i="7"/>
  <c r="D166" i="7"/>
  <c r="F165" i="7"/>
  <c r="E165" i="7"/>
  <c r="D165" i="7"/>
  <c r="F164" i="7"/>
  <c r="E164" i="7"/>
  <c r="D164" i="7"/>
  <c r="F163" i="7"/>
  <c r="E163" i="7"/>
  <c r="D163" i="7"/>
  <c r="F162" i="7"/>
  <c r="E162" i="7"/>
  <c r="D162" i="7"/>
  <c r="F161" i="7"/>
  <c r="E161" i="7"/>
  <c r="D161" i="7"/>
  <c r="F160" i="7"/>
  <c r="E160" i="7"/>
  <c r="D160" i="7"/>
  <c r="F159" i="7"/>
  <c r="E159" i="7"/>
  <c r="D159" i="7"/>
  <c r="F158" i="7"/>
  <c r="E158" i="7"/>
  <c r="D158" i="7"/>
  <c r="F157" i="7"/>
  <c r="E157" i="7"/>
  <c r="D157" i="7"/>
  <c r="F156" i="7"/>
  <c r="E156" i="7"/>
  <c r="D156" i="7"/>
  <c r="F155" i="7"/>
  <c r="E155" i="7"/>
  <c r="D155" i="7"/>
  <c r="F154" i="7"/>
  <c r="E154" i="7"/>
  <c r="D154" i="7"/>
  <c r="F153" i="7"/>
  <c r="E153" i="7"/>
  <c r="D153" i="7"/>
  <c r="F152" i="7"/>
  <c r="E152" i="7"/>
  <c r="D152" i="7"/>
  <c r="F151" i="7"/>
  <c r="E151" i="7"/>
  <c r="D151" i="7"/>
  <c r="F150" i="7"/>
  <c r="E150" i="7"/>
  <c r="D150" i="7"/>
  <c r="F149" i="7"/>
  <c r="E149" i="7"/>
  <c r="D149" i="7"/>
  <c r="F148" i="7"/>
  <c r="E148" i="7"/>
  <c r="D148" i="7"/>
  <c r="F147" i="7"/>
  <c r="E147" i="7"/>
  <c r="D147" i="7"/>
  <c r="F146" i="7"/>
  <c r="E146" i="7"/>
  <c r="D146" i="7"/>
  <c r="F145" i="7"/>
  <c r="E145" i="7"/>
  <c r="D145" i="7"/>
  <c r="F144" i="7"/>
  <c r="E144" i="7"/>
  <c r="D144" i="7"/>
  <c r="F143" i="7"/>
  <c r="E143" i="7"/>
  <c r="D143" i="7"/>
  <c r="F142" i="7"/>
  <c r="E142" i="7"/>
  <c r="D142" i="7"/>
  <c r="F141" i="7"/>
  <c r="E141" i="7"/>
  <c r="D141" i="7"/>
  <c r="F140" i="7"/>
  <c r="E140" i="7"/>
  <c r="D140" i="7"/>
  <c r="F139" i="7"/>
  <c r="E139" i="7"/>
  <c r="D139" i="7"/>
  <c r="F138" i="7"/>
  <c r="E138" i="7"/>
  <c r="D138" i="7"/>
  <c r="F137" i="7"/>
  <c r="E137" i="7"/>
  <c r="D137" i="7"/>
  <c r="F136" i="7"/>
  <c r="E136" i="7"/>
  <c r="D136" i="7"/>
  <c r="F135" i="7"/>
  <c r="E135" i="7"/>
  <c r="D135" i="7"/>
  <c r="F134" i="7"/>
  <c r="E134" i="7"/>
  <c r="D134" i="7"/>
  <c r="F133" i="7"/>
  <c r="E133" i="7"/>
  <c r="D133" i="7"/>
  <c r="F132" i="7"/>
  <c r="E132" i="7"/>
  <c r="D132" i="7"/>
  <c r="F130" i="7"/>
  <c r="E130" i="7"/>
  <c r="D130" i="7"/>
  <c r="F129" i="7"/>
  <c r="E129" i="7"/>
  <c r="D129" i="7"/>
  <c r="F128" i="7"/>
  <c r="E128" i="7"/>
  <c r="D128" i="7"/>
  <c r="F127" i="7"/>
  <c r="E127" i="7"/>
  <c r="D127" i="7"/>
  <c r="F126" i="7"/>
  <c r="E126" i="7"/>
  <c r="D126" i="7"/>
  <c r="F125" i="7"/>
  <c r="E125" i="7"/>
  <c r="D125" i="7"/>
  <c r="F124" i="7"/>
  <c r="E124" i="7"/>
  <c r="D124" i="7"/>
  <c r="F123" i="7"/>
  <c r="E123" i="7"/>
  <c r="D123" i="7"/>
  <c r="F122" i="7"/>
  <c r="E122" i="7"/>
  <c r="D122" i="7"/>
  <c r="F121" i="7"/>
  <c r="E121" i="7"/>
  <c r="D121" i="7"/>
  <c r="F120" i="7"/>
  <c r="E120" i="7"/>
  <c r="D120" i="7"/>
  <c r="F119" i="7"/>
  <c r="E119" i="7"/>
  <c r="D119" i="7"/>
  <c r="F117" i="7"/>
  <c r="E117" i="7"/>
  <c r="D117" i="7"/>
  <c r="F116" i="7"/>
  <c r="E116" i="7"/>
  <c r="D116" i="7"/>
  <c r="F115" i="7"/>
  <c r="E115" i="7"/>
  <c r="D115" i="7"/>
  <c r="F114" i="7"/>
  <c r="E114" i="7"/>
  <c r="D114" i="7"/>
  <c r="F113" i="7"/>
  <c r="E113" i="7"/>
  <c r="D113" i="7"/>
  <c r="F112" i="7"/>
  <c r="E112" i="7"/>
  <c r="D112" i="7"/>
  <c r="F111" i="7"/>
  <c r="E111" i="7"/>
  <c r="D111" i="7"/>
  <c r="F110" i="7"/>
  <c r="E110" i="7"/>
  <c r="D110" i="7"/>
  <c r="F109" i="7"/>
  <c r="E109" i="7"/>
  <c r="D109" i="7"/>
  <c r="F108" i="7"/>
  <c r="E108" i="7"/>
  <c r="D108" i="7"/>
  <c r="F107" i="7"/>
  <c r="E107" i="7"/>
  <c r="D107" i="7"/>
  <c r="F106" i="7"/>
  <c r="E106" i="7"/>
  <c r="D106" i="7"/>
  <c r="F104" i="7"/>
  <c r="E104" i="7"/>
  <c r="D104" i="7"/>
  <c r="F103" i="7"/>
  <c r="E103" i="7"/>
  <c r="D103" i="7"/>
  <c r="F102" i="7"/>
  <c r="E102" i="7"/>
  <c r="D102" i="7"/>
  <c r="F101" i="7"/>
  <c r="E101" i="7"/>
  <c r="D101" i="7"/>
  <c r="F100" i="7"/>
  <c r="E100" i="7"/>
  <c r="D100" i="7"/>
  <c r="F99" i="7"/>
  <c r="E99" i="7"/>
  <c r="D99" i="7"/>
  <c r="F98" i="7"/>
  <c r="E98" i="7"/>
  <c r="D98" i="7"/>
  <c r="F97" i="7"/>
  <c r="E97" i="7"/>
  <c r="D97" i="7"/>
  <c r="F96" i="7"/>
  <c r="E96" i="7"/>
  <c r="D96" i="7"/>
  <c r="F95" i="7"/>
  <c r="E95" i="7"/>
  <c r="D95" i="7"/>
  <c r="F94" i="7"/>
  <c r="E94" i="7"/>
  <c r="D94" i="7"/>
  <c r="F93" i="7"/>
  <c r="E93" i="7"/>
  <c r="D93" i="7"/>
  <c r="F91" i="7"/>
  <c r="E91" i="7"/>
  <c r="D91" i="7"/>
  <c r="F90" i="7"/>
  <c r="E90" i="7"/>
  <c r="D90" i="7"/>
  <c r="F89" i="7"/>
  <c r="E89" i="7"/>
  <c r="D89" i="7"/>
  <c r="F88" i="7"/>
  <c r="E88" i="7"/>
  <c r="D88" i="7"/>
  <c r="F87" i="7"/>
  <c r="E87" i="7"/>
  <c r="D87" i="7"/>
  <c r="F86" i="7"/>
  <c r="E86" i="7"/>
  <c r="D86" i="7"/>
  <c r="F85" i="7"/>
  <c r="E85" i="7"/>
  <c r="D85" i="7"/>
  <c r="F84" i="7"/>
  <c r="E84" i="7"/>
  <c r="D84" i="7"/>
  <c r="F83" i="7"/>
  <c r="E83" i="7"/>
  <c r="D83" i="7"/>
  <c r="F82" i="7"/>
  <c r="E82" i="7"/>
  <c r="D82" i="7"/>
  <c r="F81" i="7"/>
  <c r="E81" i="7"/>
  <c r="D81" i="7"/>
  <c r="F80" i="7"/>
  <c r="E80" i="7"/>
  <c r="D80" i="7"/>
  <c r="F78" i="7"/>
  <c r="E78" i="7"/>
  <c r="D78" i="7"/>
  <c r="F77" i="7"/>
  <c r="E77" i="7"/>
  <c r="D77" i="7"/>
  <c r="F76" i="7"/>
  <c r="E76" i="7"/>
  <c r="D76" i="7"/>
  <c r="F75" i="7"/>
  <c r="E75" i="7"/>
  <c r="D75" i="7"/>
  <c r="F74" i="7"/>
  <c r="E74" i="7"/>
  <c r="D74" i="7"/>
  <c r="F73" i="7"/>
  <c r="E73" i="7"/>
  <c r="D73" i="7"/>
  <c r="F72" i="7"/>
  <c r="E72" i="7"/>
  <c r="D72" i="7"/>
  <c r="F71" i="7"/>
  <c r="E71" i="7"/>
  <c r="D71" i="7"/>
  <c r="F70" i="7"/>
  <c r="E70" i="7"/>
  <c r="D70" i="7"/>
  <c r="F69" i="7"/>
  <c r="E69" i="7"/>
  <c r="D69" i="7"/>
  <c r="F68" i="7"/>
  <c r="E68" i="7"/>
  <c r="D68" i="7"/>
  <c r="F67" i="7"/>
  <c r="E67" i="7"/>
  <c r="D67" i="7"/>
  <c r="F65" i="7"/>
  <c r="E65" i="7"/>
  <c r="D65" i="7"/>
  <c r="F64" i="7"/>
  <c r="E64" i="7"/>
  <c r="D64" i="7"/>
  <c r="F63" i="7"/>
  <c r="E63" i="7"/>
  <c r="D63" i="7"/>
  <c r="F62" i="7"/>
  <c r="E62" i="7"/>
  <c r="D62" i="7"/>
  <c r="F61" i="7"/>
  <c r="E61" i="7"/>
  <c r="D61" i="7"/>
  <c r="F60" i="7"/>
  <c r="E60" i="7"/>
  <c r="D60" i="7"/>
  <c r="F59" i="7"/>
  <c r="E59" i="7"/>
  <c r="D59" i="7"/>
  <c r="F58" i="7"/>
  <c r="E58" i="7"/>
  <c r="D58" i="7"/>
  <c r="F57" i="7"/>
  <c r="E57" i="7"/>
  <c r="D57" i="7"/>
  <c r="F56" i="7"/>
  <c r="E56" i="7"/>
  <c r="D56" i="7"/>
  <c r="F55" i="7"/>
  <c r="E55" i="7"/>
  <c r="D55" i="7"/>
  <c r="F54" i="7"/>
  <c r="E54" i="7"/>
  <c r="D54" i="7"/>
  <c r="F52" i="7"/>
  <c r="E52" i="7"/>
  <c r="D52" i="7"/>
  <c r="F51" i="7"/>
  <c r="E51" i="7"/>
  <c r="D51" i="7"/>
  <c r="F50" i="7"/>
  <c r="E50" i="7"/>
  <c r="D50" i="7"/>
  <c r="F49" i="7"/>
  <c r="E49" i="7"/>
  <c r="D49" i="7"/>
  <c r="F48" i="7"/>
  <c r="E48" i="7"/>
  <c r="D48" i="7"/>
  <c r="F47" i="7"/>
  <c r="E47" i="7"/>
  <c r="D47" i="7"/>
  <c r="F46" i="7"/>
  <c r="E46" i="7"/>
  <c r="D46" i="7"/>
  <c r="F45" i="7"/>
  <c r="E45" i="7"/>
  <c r="D45" i="7"/>
  <c r="F44" i="7"/>
  <c r="E44" i="7"/>
  <c r="D44" i="7"/>
  <c r="F43" i="7"/>
  <c r="E43" i="7"/>
  <c r="D43" i="7"/>
  <c r="F42" i="7"/>
  <c r="E42" i="7"/>
  <c r="D42" i="7"/>
  <c r="F41" i="7"/>
  <c r="E41" i="7"/>
  <c r="D41" i="7"/>
  <c r="F39" i="7"/>
  <c r="E39" i="7"/>
  <c r="D39" i="7"/>
  <c r="F38" i="7"/>
  <c r="E38" i="7"/>
  <c r="D38" i="7"/>
  <c r="F37" i="7"/>
  <c r="E37" i="7"/>
  <c r="D37" i="7"/>
  <c r="F36" i="7"/>
  <c r="E36" i="7"/>
  <c r="D36" i="7"/>
  <c r="F35" i="7"/>
  <c r="E35" i="7"/>
  <c r="D35" i="7"/>
  <c r="F34" i="7"/>
  <c r="E34" i="7"/>
  <c r="D34" i="7"/>
  <c r="F33" i="7"/>
  <c r="E33" i="7"/>
  <c r="D33" i="7"/>
  <c r="F32" i="7"/>
  <c r="E32" i="7"/>
  <c r="D32" i="7"/>
  <c r="F31" i="7"/>
  <c r="E31" i="7"/>
  <c r="D31" i="7"/>
  <c r="F30" i="7"/>
  <c r="E30" i="7"/>
  <c r="D30" i="7"/>
  <c r="F29" i="7"/>
  <c r="E29" i="7"/>
  <c r="D29" i="7"/>
  <c r="F28" i="7"/>
  <c r="E28" i="7"/>
  <c r="D28" i="7"/>
  <c r="F26" i="7"/>
  <c r="E26" i="7"/>
  <c r="D26" i="7"/>
  <c r="F25" i="7"/>
  <c r="E25" i="7"/>
  <c r="D25" i="7"/>
  <c r="F24" i="7"/>
  <c r="E24" i="7"/>
  <c r="D24" i="7"/>
  <c r="F23" i="7"/>
  <c r="E23" i="7"/>
  <c r="D23" i="7"/>
  <c r="F22" i="7"/>
  <c r="E22" i="7"/>
  <c r="D22" i="7"/>
  <c r="F21" i="7"/>
  <c r="E21" i="7"/>
  <c r="D21" i="7"/>
  <c r="F20" i="7"/>
  <c r="E20" i="7"/>
  <c r="D20" i="7"/>
  <c r="E19" i="7"/>
  <c r="D19" i="7"/>
  <c r="E18" i="7"/>
  <c r="D18" i="7"/>
  <c r="E17" i="7"/>
  <c r="D17" i="7"/>
  <c r="E16" i="7"/>
  <c r="D16" i="7"/>
  <c r="E15" i="7"/>
  <c r="D15" i="7"/>
  <c r="D13" i="7"/>
  <c r="D12" i="7"/>
  <c r="D11" i="7"/>
  <c r="D10" i="7"/>
  <c r="D9" i="7"/>
  <c r="D8" i="7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A224" i="6"/>
  <c r="C76" i="6"/>
  <c r="C77" i="6" s="1"/>
  <c r="F77" i="6" s="1"/>
  <c r="F75" i="6"/>
  <c r="E75" i="6"/>
  <c r="F74" i="6"/>
  <c r="E74" i="6"/>
  <c r="F73" i="6"/>
  <c r="E73" i="6"/>
  <c r="F72" i="6"/>
  <c r="E72" i="6"/>
  <c r="F71" i="6"/>
  <c r="E71" i="6"/>
  <c r="F70" i="6"/>
  <c r="E70" i="6"/>
  <c r="F69" i="6"/>
  <c r="E69" i="6"/>
  <c r="F68" i="6"/>
  <c r="E68" i="6"/>
  <c r="F67" i="6"/>
  <c r="E67" i="6"/>
  <c r="F66" i="6"/>
  <c r="E66" i="6"/>
  <c r="F65" i="6"/>
  <c r="E65" i="6"/>
  <c r="F64" i="6"/>
  <c r="E64" i="6"/>
  <c r="E63" i="6"/>
  <c r="E62" i="6"/>
  <c r="E61" i="6"/>
  <c r="E60" i="6"/>
  <c r="E59" i="6"/>
  <c r="E58" i="6"/>
  <c r="E57" i="6"/>
  <c r="E56" i="6"/>
  <c r="F55" i="6"/>
  <c r="E54" i="6"/>
  <c r="E53" i="6"/>
  <c r="E52" i="6"/>
  <c r="C51" i="6"/>
  <c r="E51" i="6" s="1"/>
  <c r="F43" i="6"/>
  <c r="C36" i="6"/>
  <c r="C37" i="6" s="1"/>
  <c r="F35" i="6"/>
  <c r="E35" i="6"/>
  <c r="F34" i="6"/>
  <c r="E34" i="6"/>
  <c r="F33" i="6"/>
  <c r="E33" i="6"/>
  <c r="F32" i="6"/>
  <c r="E32" i="6"/>
  <c r="F31" i="6"/>
  <c r="F30" i="6"/>
  <c r="E30" i="6"/>
  <c r="F29" i="6"/>
  <c r="E29" i="6"/>
  <c r="F28" i="6"/>
  <c r="E28" i="6"/>
  <c r="F27" i="6"/>
  <c r="E27" i="6"/>
  <c r="F26" i="6"/>
  <c r="E26" i="6"/>
  <c r="F25" i="6"/>
  <c r="E25" i="6"/>
  <c r="C24" i="6"/>
  <c r="F23" i="6"/>
  <c r="E23" i="6"/>
  <c r="F22" i="6"/>
  <c r="E22" i="6"/>
  <c r="E21" i="6"/>
  <c r="E20" i="6"/>
  <c r="C9" i="6"/>
  <c r="C8" i="6" s="1"/>
  <c r="A379" i="5"/>
  <c r="A378" i="5"/>
  <c r="A377" i="5"/>
  <c r="A376" i="5"/>
  <c r="A375" i="5"/>
  <c r="A374" i="5"/>
  <c r="A373" i="5"/>
  <c r="A372" i="5"/>
  <c r="A371" i="5"/>
  <c r="A370" i="5"/>
  <c r="A369" i="5"/>
  <c r="A368" i="5"/>
  <c r="A367" i="5"/>
  <c r="A366" i="5"/>
  <c r="A365" i="5"/>
  <c r="A364" i="5"/>
  <c r="A363" i="5"/>
  <c r="A362" i="5"/>
  <c r="A361" i="5"/>
  <c r="A360" i="5"/>
  <c r="A359" i="5"/>
  <c r="A358" i="5"/>
  <c r="A357" i="5"/>
  <c r="A356" i="5"/>
  <c r="A355" i="5"/>
  <c r="A354" i="5"/>
  <c r="A353" i="5"/>
  <c r="A352" i="5"/>
  <c r="A351" i="5"/>
  <c r="A350" i="5"/>
  <c r="A349" i="5"/>
  <c r="A348" i="5"/>
  <c r="A347" i="5"/>
  <c r="A346" i="5"/>
  <c r="A345" i="5"/>
  <c r="A344" i="5"/>
  <c r="A343" i="5"/>
  <c r="A342" i="5"/>
  <c r="A341" i="5"/>
  <c r="A340" i="5"/>
  <c r="A339" i="5"/>
  <c r="A338" i="5"/>
  <c r="A337" i="5"/>
  <c r="A336" i="5"/>
  <c r="A335" i="5"/>
  <c r="A334" i="5"/>
  <c r="A333" i="5"/>
  <c r="A332" i="5"/>
  <c r="A331" i="5"/>
  <c r="A330" i="5"/>
  <c r="A329" i="5"/>
  <c r="A328" i="5"/>
  <c r="A327" i="5"/>
  <c r="A326" i="5"/>
  <c r="A325" i="5"/>
  <c r="A324" i="5"/>
  <c r="A323" i="5"/>
  <c r="A322" i="5"/>
  <c r="A321" i="5"/>
  <c r="A320" i="5"/>
  <c r="A319" i="5"/>
  <c r="A318" i="5"/>
  <c r="A317" i="5"/>
  <c r="A316" i="5"/>
  <c r="A315" i="5"/>
  <c r="A314" i="5"/>
  <c r="A313" i="5"/>
  <c r="A312" i="5"/>
  <c r="A311" i="5"/>
  <c r="A310" i="5"/>
  <c r="A309" i="5"/>
  <c r="A308" i="5"/>
  <c r="A307" i="5"/>
  <c r="A306" i="5"/>
  <c r="A305" i="5"/>
  <c r="A304" i="5"/>
  <c r="A303" i="5"/>
  <c r="A302" i="5"/>
  <c r="A301" i="5"/>
  <c r="A300" i="5"/>
  <c r="A299" i="5"/>
  <c r="A298" i="5"/>
  <c r="A297" i="5"/>
  <c r="A296" i="5"/>
  <c r="A295" i="5"/>
  <c r="A294" i="5"/>
  <c r="A293" i="5"/>
  <c r="A292" i="5"/>
  <c r="A291" i="5"/>
  <c r="A290" i="5"/>
  <c r="A289" i="5"/>
  <c r="A288" i="5"/>
  <c r="A287" i="5"/>
  <c r="A286" i="5"/>
  <c r="A285" i="5"/>
  <c r="A284" i="5"/>
  <c r="A283" i="5"/>
  <c r="A282" i="5"/>
  <c r="A281" i="5"/>
  <c r="A280" i="5"/>
  <c r="A279" i="5"/>
  <c r="A278" i="5"/>
  <c r="A277" i="5"/>
  <c r="A276" i="5"/>
  <c r="A275" i="5"/>
  <c r="A274" i="5"/>
  <c r="A273" i="5"/>
  <c r="A272" i="5"/>
  <c r="A271" i="5"/>
  <c r="A270" i="5"/>
  <c r="A269" i="5"/>
  <c r="A268" i="5"/>
  <c r="A267" i="5"/>
  <c r="A266" i="5"/>
  <c r="A265" i="5"/>
  <c r="A264" i="5"/>
  <c r="A263" i="5"/>
  <c r="A262" i="5"/>
  <c r="A261" i="5"/>
  <c r="A260" i="5"/>
  <c r="A259" i="5"/>
  <c r="A258" i="5"/>
  <c r="A257" i="5"/>
  <c r="A256" i="5"/>
  <c r="A255" i="5"/>
  <c r="A254" i="5"/>
  <c r="A253" i="5"/>
  <c r="A252" i="5"/>
  <c r="A251" i="5"/>
  <c r="A250" i="5"/>
  <c r="A249" i="5"/>
  <c r="A248" i="5"/>
  <c r="A247" i="5"/>
  <c r="A246" i="5"/>
  <c r="A245" i="5"/>
  <c r="A244" i="5"/>
  <c r="A243" i="5"/>
  <c r="A242" i="5"/>
  <c r="A241" i="5"/>
  <c r="A240" i="5"/>
  <c r="A239" i="5"/>
  <c r="A238" i="5"/>
  <c r="A237" i="5"/>
  <c r="A236" i="5"/>
  <c r="A235" i="5"/>
  <c r="A234" i="5"/>
  <c r="A233" i="5"/>
  <c r="A232" i="5"/>
  <c r="A231" i="5"/>
  <c r="A230" i="5"/>
  <c r="A229" i="5"/>
  <c r="A228" i="5"/>
  <c r="A227" i="5"/>
  <c r="A226" i="5"/>
  <c r="A225" i="5"/>
  <c r="A224" i="5"/>
  <c r="C8" i="5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C8" i="4"/>
  <c r="C9" i="4" s="1"/>
  <c r="C10" i="4" s="1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C8" i="3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C8" i="2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C73" i="1"/>
  <c r="F73" i="1" s="1"/>
  <c r="F71" i="1"/>
  <c r="E71" i="1"/>
  <c r="D71" i="1"/>
  <c r="F70" i="1"/>
  <c r="E70" i="1"/>
  <c r="D70" i="1"/>
  <c r="F69" i="1"/>
  <c r="E69" i="1"/>
  <c r="D69" i="1"/>
  <c r="F68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8" i="1"/>
  <c r="D58" i="1"/>
  <c r="E57" i="1"/>
  <c r="D57" i="1"/>
  <c r="E56" i="1"/>
  <c r="D56" i="1"/>
  <c r="E55" i="1"/>
  <c r="F54" i="1"/>
  <c r="E54" i="1"/>
  <c r="D54" i="1"/>
  <c r="F53" i="1"/>
  <c r="E53" i="1"/>
  <c r="D53" i="1"/>
  <c r="F52" i="1"/>
  <c r="E52" i="1"/>
  <c r="D52" i="1"/>
  <c r="F51" i="1"/>
  <c r="E51" i="1"/>
  <c r="D51" i="1"/>
  <c r="F50" i="1"/>
  <c r="E50" i="1"/>
  <c r="D50" i="1"/>
  <c r="F49" i="1"/>
  <c r="E49" i="1"/>
  <c r="D49" i="1"/>
  <c r="F48" i="1"/>
  <c r="E48" i="1"/>
  <c r="D48" i="1"/>
  <c r="F47" i="1"/>
  <c r="E47" i="1"/>
  <c r="D47" i="1"/>
  <c r="F45" i="1"/>
  <c r="F44" i="1"/>
  <c r="E44" i="1"/>
  <c r="D44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D39" i="1"/>
  <c r="F38" i="1"/>
  <c r="E38" i="1"/>
  <c r="D38" i="1"/>
  <c r="F37" i="1"/>
  <c r="E37" i="1"/>
  <c r="D37" i="1"/>
  <c r="F36" i="1"/>
  <c r="E36" i="1"/>
  <c r="D36" i="1"/>
  <c r="F35" i="1"/>
  <c r="E35" i="1"/>
  <c r="D35" i="1"/>
  <c r="F34" i="1"/>
  <c r="E34" i="1"/>
  <c r="D34" i="1"/>
  <c r="F32" i="1"/>
  <c r="E32" i="1"/>
  <c r="D32" i="1"/>
  <c r="F31" i="1"/>
  <c r="E31" i="1"/>
  <c r="D31" i="1"/>
  <c r="F30" i="1"/>
  <c r="E30" i="1"/>
  <c r="D30" i="1"/>
  <c r="F29" i="1"/>
  <c r="E29" i="1"/>
  <c r="D29" i="1"/>
  <c r="F28" i="1"/>
  <c r="E28" i="1"/>
  <c r="D28" i="1"/>
  <c r="F27" i="1"/>
  <c r="E27" i="1"/>
  <c r="D27" i="1"/>
  <c r="F26" i="1"/>
  <c r="E26" i="1"/>
  <c r="D26" i="1"/>
  <c r="F25" i="1"/>
  <c r="E25" i="1"/>
  <c r="D25" i="1"/>
  <c r="F24" i="1"/>
  <c r="E24" i="1"/>
  <c r="D24" i="1"/>
  <c r="F23" i="1"/>
  <c r="E23" i="1"/>
  <c r="D23" i="1"/>
  <c r="F22" i="1"/>
  <c r="E22" i="1"/>
  <c r="D22" i="1"/>
  <c r="E21" i="1"/>
  <c r="D21" i="1"/>
  <c r="D19" i="1"/>
  <c r="D18" i="1"/>
  <c r="D17" i="1"/>
  <c r="D16" i="1"/>
  <c r="D15" i="1"/>
  <c r="D14" i="1"/>
  <c r="D13" i="1"/>
  <c r="D12" i="1"/>
  <c r="D11" i="1"/>
  <c r="D10" i="1"/>
  <c r="I361" i="18" l="1"/>
  <c r="I360" i="18"/>
  <c r="I359" i="18"/>
  <c r="F359" i="18"/>
  <c r="E359" i="18"/>
  <c r="E358" i="18"/>
  <c r="I358" i="18"/>
  <c r="F358" i="18"/>
  <c r="I357" i="18"/>
  <c r="F357" i="18"/>
  <c r="E357" i="18"/>
  <c r="E356" i="18"/>
  <c r="I356" i="18"/>
  <c r="F356" i="18"/>
  <c r="I355" i="18"/>
  <c r="F355" i="18"/>
  <c r="E355" i="18"/>
  <c r="E354" i="18"/>
  <c r="I354" i="18"/>
  <c r="F354" i="18"/>
  <c r="E36" i="6"/>
  <c r="E76" i="6"/>
  <c r="F76" i="6"/>
  <c r="E353" i="18"/>
  <c r="I353" i="18"/>
  <c r="F353" i="18"/>
  <c r="E352" i="18"/>
  <c r="I352" i="18"/>
  <c r="F352" i="18"/>
  <c r="E351" i="18"/>
  <c r="H336" i="18"/>
  <c r="F351" i="18"/>
  <c r="I351" i="18"/>
  <c r="C9" i="2"/>
  <c r="E350" i="18"/>
  <c r="I350" i="18"/>
  <c r="F350" i="18"/>
  <c r="C9" i="13"/>
  <c r="C10" i="13" s="1"/>
  <c r="C11" i="13" s="1"/>
  <c r="C12" i="13" s="1"/>
  <c r="C13" i="13" s="1"/>
  <c r="C14" i="13" s="1"/>
  <c r="C15" i="13" s="1"/>
  <c r="C16" i="13" s="1"/>
  <c r="C17" i="13" s="1"/>
  <c r="C18" i="13" s="1"/>
  <c r="C19" i="13" s="1"/>
  <c r="H297" i="18"/>
  <c r="F76" i="9"/>
  <c r="F329" i="18"/>
  <c r="H300" i="18"/>
  <c r="H304" i="18"/>
  <c r="H308" i="18"/>
  <c r="D312" i="18"/>
  <c r="H316" i="18"/>
  <c r="H320" i="18"/>
  <c r="H324" i="18"/>
  <c r="H328" i="18"/>
  <c r="E349" i="18"/>
  <c r="H309" i="18"/>
  <c r="I229" i="18"/>
  <c r="I233" i="18"/>
  <c r="I237" i="18"/>
  <c r="I241" i="18"/>
  <c r="I245" i="18"/>
  <c r="D249" i="18"/>
  <c r="F289" i="18"/>
  <c r="F297" i="18"/>
  <c r="F222" i="18"/>
  <c r="I226" i="18"/>
  <c r="I230" i="18"/>
  <c r="I234" i="18"/>
  <c r="I238" i="18"/>
  <c r="I242" i="18"/>
  <c r="H266" i="18"/>
  <c r="H274" i="18"/>
  <c r="H282" i="18"/>
  <c r="H286" i="18"/>
  <c r="H290" i="18"/>
  <c r="H298" i="18"/>
  <c r="F314" i="18"/>
  <c r="H314" i="18"/>
  <c r="H318" i="18"/>
  <c r="H322" i="18"/>
  <c r="H326" i="18"/>
  <c r="H330" i="18"/>
  <c r="F349" i="18"/>
  <c r="D349" i="18"/>
  <c r="I227" i="18"/>
  <c r="I231" i="18"/>
  <c r="I235" i="18"/>
  <c r="I239" i="18"/>
  <c r="I243" i="18"/>
  <c r="H334" i="18"/>
  <c r="H311" i="18"/>
  <c r="F327" i="18"/>
  <c r="F325" i="18"/>
  <c r="I349" i="18"/>
  <c r="E224" i="18"/>
  <c r="I228" i="18"/>
  <c r="I236" i="18"/>
  <c r="I240" i="18"/>
  <c r="I244" i="18"/>
  <c r="D273" i="18"/>
  <c r="D289" i="18"/>
  <c r="H292" i="18"/>
  <c r="D297" i="18"/>
  <c r="F331" i="18"/>
  <c r="F335" i="18"/>
  <c r="D241" i="18"/>
  <c r="D248" i="18"/>
  <c r="B23" i="12"/>
  <c r="B24" i="12" s="1"/>
  <c r="D257" i="18"/>
  <c r="E228" i="18"/>
  <c r="F343" i="18"/>
  <c r="E76" i="9"/>
  <c r="E43" i="8"/>
  <c r="F55" i="8"/>
  <c r="C77" i="8"/>
  <c r="E77" i="8" s="1"/>
  <c r="E8" i="2"/>
  <c r="E73" i="1"/>
  <c r="C74" i="1"/>
  <c r="C75" i="1" s="1"/>
  <c r="F75" i="1" s="1"/>
  <c r="D222" i="18"/>
  <c r="D236" i="18"/>
  <c r="F333" i="18"/>
  <c r="E236" i="18"/>
  <c r="D223" i="18"/>
  <c r="E256" i="18"/>
  <c r="D256" i="18"/>
  <c r="D276" i="18"/>
  <c r="E227" i="18"/>
  <c r="D244" i="18"/>
  <c r="D300" i="18"/>
  <c r="F342" i="18"/>
  <c r="F268" i="18"/>
  <c r="E235" i="18"/>
  <c r="E248" i="18"/>
  <c r="H264" i="18"/>
  <c r="F264" i="18"/>
  <c r="H310" i="18"/>
  <c r="D310" i="18"/>
  <c r="E251" i="18"/>
  <c r="D264" i="18"/>
  <c r="E260" i="18"/>
  <c r="D260" i="18"/>
  <c r="E240" i="18"/>
  <c r="E252" i="18"/>
  <c r="F276" i="18"/>
  <c r="E243" i="18"/>
  <c r="D252" i="18"/>
  <c r="I232" i="18"/>
  <c r="D233" i="18"/>
  <c r="E232" i="18"/>
  <c r="D232" i="18"/>
  <c r="E259" i="18"/>
  <c r="H301" i="18"/>
  <c r="D301" i="18"/>
  <c r="I250" i="18"/>
  <c r="D284" i="18"/>
  <c r="D296" i="18"/>
  <c r="F323" i="18"/>
  <c r="F9" i="19"/>
  <c r="D240" i="18"/>
  <c r="F281" i="18"/>
  <c r="D281" i="18"/>
  <c r="D305" i="18"/>
  <c r="D268" i="18"/>
  <c r="F301" i="18"/>
  <c r="F337" i="18"/>
  <c r="F344" i="18"/>
  <c r="D228" i="18"/>
  <c r="D304" i="18"/>
  <c r="F341" i="18"/>
  <c r="H332" i="18"/>
  <c r="I261" i="18"/>
  <c r="F300" i="18"/>
  <c r="D229" i="18"/>
  <c r="D253" i="18"/>
  <c r="F272" i="18"/>
  <c r="F280" i="18"/>
  <c r="F288" i="18"/>
  <c r="F305" i="18"/>
  <c r="E223" i="18"/>
  <c r="E229" i="18"/>
  <c r="D234" i="18"/>
  <c r="E237" i="18"/>
  <c r="D242" i="18"/>
  <c r="E245" i="18"/>
  <c r="I247" i="18"/>
  <c r="D250" i="18"/>
  <c r="E253" i="18"/>
  <c r="I255" i="18"/>
  <c r="D258" i="18"/>
  <c r="E261" i="18"/>
  <c r="I263" i="18"/>
  <c r="H269" i="18"/>
  <c r="H272" i="18"/>
  <c r="H277" i="18"/>
  <c r="H280" i="18"/>
  <c r="H285" i="18"/>
  <c r="H288" i="18"/>
  <c r="D293" i="18"/>
  <c r="F308" i="18"/>
  <c r="D313" i="18"/>
  <c r="F223" i="18"/>
  <c r="E226" i="18"/>
  <c r="D231" i="18"/>
  <c r="E234" i="18"/>
  <c r="D239" i="18"/>
  <c r="E242" i="18"/>
  <c r="D247" i="18"/>
  <c r="E250" i="18"/>
  <c r="I252" i="18"/>
  <c r="D255" i="18"/>
  <c r="E258" i="18"/>
  <c r="I260" i="18"/>
  <c r="D263" i="18"/>
  <c r="D292" i="18"/>
  <c r="F296" i="18"/>
  <c r="H305" i="18"/>
  <c r="F313" i="18"/>
  <c r="F10" i="19"/>
  <c r="E231" i="18"/>
  <c r="E239" i="18"/>
  <c r="E247" i="18"/>
  <c r="I249" i="18"/>
  <c r="E255" i="18"/>
  <c r="I257" i="18"/>
  <c r="E263" i="18"/>
  <c r="F277" i="18"/>
  <c r="D269" i="18"/>
  <c r="F285" i="18"/>
  <c r="D277" i="18"/>
  <c r="F293" i="18"/>
  <c r="D285" i="18"/>
  <c r="H293" i="18"/>
  <c r="H296" i="18"/>
  <c r="E244" i="18"/>
  <c r="I246" i="18"/>
  <c r="I254" i="18"/>
  <c r="I262" i="18"/>
  <c r="F284" i="18"/>
  <c r="F304" i="18"/>
  <c r="I253" i="18"/>
  <c r="D237" i="18"/>
  <c r="D245" i="18"/>
  <c r="I258" i="18"/>
  <c r="D261" i="18"/>
  <c r="E222" i="18"/>
  <c r="D230" i="18"/>
  <c r="E233" i="18"/>
  <c r="D238" i="18"/>
  <c r="E241" i="18"/>
  <c r="D246" i="18"/>
  <c r="E249" i="18"/>
  <c r="I251" i="18"/>
  <c r="D254" i="18"/>
  <c r="E257" i="18"/>
  <c r="I259" i="18"/>
  <c r="D262" i="18"/>
  <c r="H265" i="18"/>
  <c r="H268" i="18"/>
  <c r="D272" i="18"/>
  <c r="H273" i="18"/>
  <c r="H276" i="18"/>
  <c r="D280" i="18"/>
  <c r="H281" i="18"/>
  <c r="H284" i="18"/>
  <c r="D288" i="18"/>
  <c r="F292" i="18"/>
  <c r="F317" i="18"/>
  <c r="D227" i="18"/>
  <c r="E230" i="18"/>
  <c r="D235" i="18"/>
  <c r="E238" i="18"/>
  <c r="D243" i="18"/>
  <c r="E246" i="18"/>
  <c r="I248" i="18"/>
  <c r="D251" i="18"/>
  <c r="E254" i="18"/>
  <c r="I256" i="18"/>
  <c r="D259" i="18"/>
  <c r="E262" i="18"/>
  <c r="D265" i="18"/>
  <c r="H289" i="18"/>
  <c r="F307" i="18"/>
  <c r="D311" i="18"/>
  <c r="F12" i="19"/>
  <c r="F11" i="19"/>
  <c r="E225" i="18"/>
  <c r="I270" i="18"/>
  <c r="E270" i="18"/>
  <c r="I278" i="18"/>
  <c r="E278" i="18"/>
  <c r="F283" i="18"/>
  <c r="I306" i="18"/>
  <c r="E306" i="18"/>
  <c r="F224" i="18"/>
  <c r="I308" i="18"/>
  <c r="E308" i="18"/>
  <c r="I316" i="18"/>
  <c r="E316" i="18"/>
  <c r="D316" i="18"/>
  <c r="I318" i="18"/>
  <c r="E318" i="18"/>
  <c r="D318" i="18"/>
  <c r="I320" i="18"/>
  <c r="E320" i="18"/>
  <c r="D320" i="18"/>
  <c r="I322" i="18"/>
  <c r="E322" i="18"/>
  <c r="D322" i="18"/>
  <c r="I324" i="18"/>
  <c r="E324" i="18"/>
  <c r="D324" i="18"/>
  <c r="I326" i="18"/>
  <c r="E326" i="18"/>
  <c r="D326" i="18"/>
  <c r="I328" i="18"/>
  <c r="E328" i="18"/>
  <c r="D328" i="18"/>
  <c r="I330" i="18"/>
  <c r="E330" i="18"/>
  <c r="D330" i="18"/>
  <c r="I332" i="18"/>
  <c r="E332" i="18"/>
  <c r="D332" i="18"/>
  <c r="I334" i="18"/>
  <c r="E334" i="18"/>
  <c r="D334" i="18"/>
  <c r="I336" i="18"/>
  <c r="E336" i="18"/>
  <c r="D336" i="18"/>
  <c r="I338" i="18"/>
  <c r="H338" i="18"/>
  <c r="E338" i="18"/>
  <c r="D338" i="18"/>
  <c r="I346" i="18"/>
  <c r="H346" i="18"/>
  <c r="E346" i="18"/>
  <c r="D346" i="18"/>
  <c r="F267" i="18"/>
  <c r="F279" i="18"/>
  <c r="F287" i="18"/>
  <c r="I294" i="18"/>
  <c r="E294" i="18"/>
  <c r="I302" i="18"/>
  <c r="E302" i="18"/>
  <c r="I309" i="18"/>
  <c r="E309" i="18"/>
  <c r="F319" i="18"/>
  <c r="F321" i="18"/>
  <c r="I264" i="18"/>
  <c r="E264" i="18"/>
  <c r="F265" i="18"/>
  <c r="I268" i="18"/>
  <c r="E268" i="18"/>
  <c r="F269" i="18"/>
  <c r="H270" i="18"/>
  <c r="I272" i="18"/>
  <c r="E272" i="18"/>
  <c r="F273" i="18"/>
  <c r="I276" i="18"/>
  <c r="E276" i="18"/>
  <c r="H278" i="18"/>
  <c r="I280" i="18"/>
  <c r="E280" i="18"/>
  <c r="I284" i="18"/>
  <c r="E284" i="18"/>
  <c r="I288" i="18"/>
  <c r="E288" i="18"/>
  <c r="I292" i="18"/>
  <c r="E292" i="18"/>
  <c r="H294" i="18"/>
  <c r="I296" i="18"/>
  <c r="E296" i="18"/>
  <c r="I300" i="18"/>
  <c r="E300" i="18"/>
  <c r="H302" i="18"/>
  <c r="I304" i="18"/>
  <c r="E304" i="18"/>
  <c r="H306" i="18"/>
  <c r="D308" i="18"/>
  <c r="F311" i="18"/>
  <c r="I313" i="18"/>
  <c r="E313" i="18"/>
  <c r="F316" i="18"/>
  <c r="F318" i="18"/>
  <c r="F320" i="18"/>
  <c r="F322" i="18"/>
  <c r="F324" i="18"/>
  <c r="F326" i="18"/>
  <c r="F328" i="18"/>
  <c r="F330" i="18"/>
  <c r="F332" i="18"/>
  <c r="F334" i="18"/>
  <c r="F336" i="18"/>
  <c r="F338" i="18"/>
  <c r="I341" i="18"/>
  <c r="H341" i="18"/>
  <c r="E341" i="18"/>
  <c r="D341" i="18"/>
  <c r="F346" i="18"/>
  <c r="F271" i="18"/>
  <c r="F275" i="18"/>
  <c r="I286" i="18"/>
  <c r="E286" i="18"/>
  <c r="F291" i="18"/>
  <c r="I298" i="18"/>
  <c r="E298" i="18"/>
  <c r="F303" i="18"/>
  <c r="D226" i="18"/>
  <c r="I310" i="18"/>
  <c r="E310" i="18"/>
  <c r="I344" i="18"/>
  <c r="H344" i="18"/>
  <c r="E344" i="18"/>
  <c r="D344" i="18"/>
  <c r="I347" i="18"/>
  <c r="H347" i="18"/>
  <c r="E347" i="18"/>
  <c r="D347" i="18"/>
  <c r="I267" i="18"/>
  <c r="E267" i="18"/>
  <c r="I271" i="18"/>
  <c r="E271" i="18"/>
  <c r="I275" i="18"/>
  <c r="E275" i="18"/>
  <c r="I279" i="18"/>
  <c r="E279" i="18"/>
  <c r="I283" i="18"/>
  <c r="E283" i="18"/>
  <c r="I287" i="18"/>
  <c r="E287" i="18"/>
  <c r="I291" i="18"/>
  <c r="E291" i="18"/>
  <c r="I295" i="18"/>
  <c r="E295" i="18"/>
  <c r="I299" i="18"/>
  <c r="E299" i="18"/>
  <c r="I303" i="18"/>
  <c r="E303" i="18"/>
  <c r="I307" i="18"/>
  <c r="E307" i="18"/>
  <c r="I315" i="18"/>
  <c r="E315" i="18"/>
  <c r="I339" i="18"/>
  <c r="H339" i="18"/>
  <c r="E339" i="18"/>
  <c r="D339" i="18"/>
  <c r="D225" i="18"/>
  <c r="F226" i="18"/>
  <c r="F227" i="18"/>
  <c r="F228" i="18"/>
  <c r="F229" i="18"/>
  <c r="F230" i="18"/>
  <c r="F231" i="18"/>
  <c r="F232" i="18"/>
  <c r="F233" i="18"/>
  <c r="F234" i="18"/>
  <c r="F235" i="18"/>
  <c r="F236" i="18"/>
  <c r="F237" i="18"/>
  <c r="F238" i="18"/>
  <c r="F239" i="18"/>
  <c r="F240" i="18"/>
  <c r="F241" i="18"/>
  <c r="F242" i="18"/>
  <c r="F243" i="18"/>
  <c r="F244" i="18"/>
  <c r="F245" i="18"/>
  <c r="F246" i="18"/>
  <c r="F247" i="18"/>
  <c r="F248" i="18"/>
  <c r="F249" i="18"/>
  <c r="F250" i="18"/>
  <c r="F251" i="18"/>
  <c r="F252" i="18"/>
  <c r="F253" i="18"/>
  <c r="F254" i="18"/>
  <c r="F255" i="18"/>
  <c r="F256" i="18"/>
  <c r="F257" i="18"/>
  <c r="F258" i="18"/>
  <c r="F259" i="18"/>
  <c r="F260" i="18"/>
  <c r="F261" i="18"/>
  <c r="F262" i="18"/>
  <c r="F263" i="18"/>
  <c r="D267" i="18"/>
  <c r="D271" i="18"/>
  <c r="D275" i="18"/>
  <c r="D279" i="18"/>
  <c r="D283" i="18"/>
  <c r="D287" i="18"/>
  <c r="D291" i="18"/>
  <c r="D295" i="18"/>
  <c r="D299" i="18"/>
  <c r="D303" i="18"/>
  <c r="D307" i="18"/>
  <c r="F310" i="18"/>
  <c r="I312" i="18"/>
  <c r="E312" i="18"/>
  <c r="H313" i="18"/>
  <c r="D315" i="18"/>
  <c r="I317" i="18"/>
  <c r="E317" i="18"/>
  <c r="D317" i="18"/>
  <c r="I319" i="18"/>
  <c r="E319" i="18"/>
  <c r="D319" i="18"/>
  <c r="I321" i="18"/>
  <c r="E321" i="18"/>
  <c r="D321" i="18"/>
  <c r="I323" i="18"/>
  <c r="E323" i="18"/>
  <c r="D323" i="18"/>
  <c r="I325" i="18"/>
  <c r="E325" i="18"/>
  <c r="D325" i="18"/>
  <c r="I327" i="18"/>
  <c r="E327" i="18"/>
  <c r="D327" i="18"/>
  <c r="I329" i="18"/>
  <c r="E329" i="18"/>
  <c r="D329" i="18"/>
  <c r="I331" i="18"/>
  <c r="E331" i="18"/>
  <c r="D331" i="18"/>
  <c r="I333" i="18"/>
  <c r="E333" i="18"/>
  <c r="D333" i="18"/>
  <c r="I335" i="18"/>
  <c r="E335" i="18"/>
  <c r="D335" i="18"/>
  <c r="I337" i="18"/>
  <c r="E337" i="18"/>
  <c r="D337" i="18"/>
  <c r="F339" i="18"/>
  <c r="I342" i="18"/>
  <c r="H342" i="18"/>
  <c r="E342" i="18"/>
  <c r="D342" i="18"/>
  <c r="F347" i="18"/>
  <c r="I345" i="18"/>
  <c r="H345" i="18"/>
  <c r="E345" i="18"/>
  <c r="D345" i="18"/>
  <c r="I266" i="18"/>
  <c r="E266" i="18"/>
  <c r="I274" i="18"/>
  <c r="E274" i="18"/>
  <c r="I282" i="18"/>
  <c r="E282" i="18"/>
  <c r="I290" i="18"/>
  <c r="E290" i="18"/>
  <c r="F295" i="18"/>
  <c r="F299" i="18"/>
  <c r="F315" i="18"/>
  <c r="D224" i="18"/>
  <c r="F225" i="18"/>
  <c r="H226" i="18"/>
  <c r="H227" i="18"/>
  <c r="H228" i="18"/>
  <c r="H229" i="18"/>
  <c r="H230" i="18"/>
  <c r="H231" i="18"/>
  <c r="H232" i="18"/>
  <c r="H233" i="18"/>
  <c r="H234" i="18"/>
  <c r="H235" i="18"/>
  <c r="H236" i="18"/>
  <c r="H237" i="18"/>
  <c r="H238" i="18"/>
  <c r="H239" i="18"/>
  <c r="H240" i="18"/>
  <c r="H241" i="18"/>
  <c r="H242" i="18"/>
  <c r="H243" i="18"/>
  <c r="H244" i="18"/>
  <c r="H245" i="18"/>
  <c r="H246" i="18"/>
  <c r="H247" i="18"/>
  <c r="H248" i="18"/>
  <c r="H249" i="18"/>
  <c r="H250" i="18"/>
  <c r="H251" i="18"/>
  <c r="H252" i="18"/>
  <c r="H253" i="18"/>
  <c r="H254" i="18"/>
  <c r="H255" i="18"/>
  <c r="H256" i="18"/>
  <c r="H257" i="18"/>
  <c r="H258" i="18"/>
  <c r="H259" i="18"/>
  <c r="H260" i="18"/>
  <c r="H261" i="18"/>
  <c r="H262" i="18"/>
  <c r="H263" i="18"/>
  <c r="D266" i="18"/>
  <c r="D270" i="18"/>
  <c r="D274" i="18"/>
  <c r="D278" i="18"/>
  <c r="D282" i="18"/>
  <c r="D286" i="18"/>
  <c r="D290" i="18"/>
  <c r="D294" i="18"/>
  <c r="D298" i="18"/>
  <c r="D302" i="18"/>
  <c r="D306" i="18"/>
  <c r="H307" i="18"/>
  <c r="D309" i="18"/>
  <c r="F312" i="18"/>
  <c r="I314" i="18"/>
  <c r="E314" i="18"/>
  <c r="H315" i="18"/>
  <c r="H317" i="18"/>
  <c r="H319" i="18"/>
  <c r="H321" i="18"/>
  <c r="H323" i="18"/>
  <c r="H325" i="18"/>
  <c r="H327" i="18"/>
  <c r="H329" i="18"/>
  <c r="H331" i="18"/>
  <c r="H333" i="18"/>
  <c r="H335" i="18"/>
  <c r="H337" i="18"/>
  <c r="I340" i="18"/>
  <c r="H340" i="18"/>
  <c r="E340" i="18"/>
  <c r="D340" i="18"/>
  <c r="F345" i="18"/>
  <c r="I348" i="18"/>
  <c r="H348" i="18"/>
  <c r="E348" i="18"/>
  <c r="D348" i="18"/>
  <c r="I265" i="18"/>
  <c r="E265" i="18"/>
  <c r="F266" i="18"/>
  <c r="H267" i="18"/>
  <c r="I269" i="18"/>
  <c r="E269" i="18"/>
  <c r="F270" i="18"/>
  <c r="H271" i="18"/>
  <c r="I273" i="18"/>
  <c r="E273" i="18"/>
  <c r="F274" i="18"/>
  <c r="H275" i="18"/>
  <c r="I277" i="18"/>
  <c r="E277" i="18"/>
  <c r="F278" i="18"/>
  <c r="H279" i="18"/>
  <c r="I281" i="18"/>
  <c r="E281" i="18"/>
  <c r="F282" i="18"/>
  <c r="H283" i="18"/>
  <c r="I285" i="18"/>
  <c r="E285" i="18"/>
  <c r="F286" i="18"/>
  <c r="H287" i="18"/>
  <c r="I289" i="18"/>
  <c r="E289" i="18"/>
  <c r="F290" i="18"/>
  <c r="H291" i="18"/>
  <c r="I293" i="18"/>
  <c r="E293" i="18"/>
  <c r="F294" i="18"/>
  <c r="H295" i="18"/>
  <c r="I297" i="18"/>
  <c r="E297" i="18"/>
  <c r="F298" i="18"/>
  <c r="H299" i="18"/>
  <c r="I301" i="18"/>
  <c r="E301" i="18"/>
  <c r="F302" i="18"/>
  <c r="H303" i="18"/>
  <c r="I305" i="18"/>
  <c r="E305" i="18"/>
  <c r="F306" i="18"/>
  <c r="F309" i="18"/>
  <c r="I311" i="18"/>
  <c r="E311" i="18"/>
  <c r="H312" i="18"/>
  <c r="D314" i="18"/>
  <c r="F340" i="18"/>
  <c r="I343" i="18"/>
  <c r="H343" i="18"/>
  <c r="E343" i="18"/>
  <c r="D343" i="18"/>
  <c r="F348" i="18"/>
  <c r="C11" i="10"/>
  <c r="E10" i="10"/>
  <c r="F49" i="9"/>
  <c r="C38" i="9"/>
  <c r="F37" i="9"/>
  <c r="F77" i="9"/>
  <c r="E77" i="9"/>
  <c r="C78" i="9"/>
  <c r="E37" i="9"/>
  <c r="C45" i="9"/>
  <c r="F44" i="9"/>
  <c r="E44" i="9"/>
  <c r="F48" i="9"/>
  <c r="E36" i="9"/>
  <c r="F36" i="9"/>
  <c r="F44" i="8"/>
  <c r="F56" i="8"/>
  <c r="E44" i="8"/>
  <c r="C45" i="8"/>
  <c r="F43" i="8"/>
  <c r="E76" i="8"/>
  <c r="C174" i="7"/>
  <c r="F173" i="7"/>
  <c r="F36" i="6"/>
  <c r="F24" i="6"/>
  <c r="E24" i="6"/>
  <c r="C38" i="6"/>
  <c r="F37" i="6"/>
  <c r="E37" i="6"/>
  <c r="C78" i="6"/>
  <c r="C50" i="6"/>
  <c r="F63" i="6"/>
  <c r="E77" i="6"/>
  <c r="C21" i="5"/>
  <c r="F20" i="5"/>
  <c r="E20" i="5"/>
  <c r="E10" i="4"/>
  <c r="C11" i="4"/>
  <c r="F19" i="3"/>
  <c r="C20" i="3"/>
  <c r="E19" i="13" l="1"/>
  <c r="C20" i="13"/>
  <c r="F19" i="13"/>
  <c r="C10" i="2"/>
  <c r="E9" i="2"/>
  <c r="F74" i="1"/>
  <c r="E74" i="1"/>
  <c r="C76" i="1"/>
  <c r="C77" i="1" s="1"/>
  <c r="F77" i="8"/>
  <c r="C78" i="8"/>
  <c r="E78" i="8" s="1"/>
  <c r="D23" i="12"/>
  <c r="E75" i="1"/>
  <c r="F13" i="19"/>
  <c r="F14" i="19"/>
  <c r="F15" i="19"/>
  <c r="B25" i="12"/>
  <c r="D24" i="12"/>
  <c r="C12" i="10"/>
  <c r="E11" i="10"/>
  <c r="E45" i="9"/>
  <c r="C46" i="9"/>
  <c r="F45" i="9"/>
  <c r="C79" i="9"/>
  <c r="F78" i="9"/>
  <c r="E78" i="9"/>
  <c r="C39" i="9"/>
  <c r="F38" i="9"/>
  <c r="E38" i="9"/>
  <c r="F50" i="9"/>
  <c r="E45" i="8"/>
  <c r="C46" i="8"/>
  <c r="F57" i="8"/>
  <c r="F45" i="8"/>
  <c r="E174" i="7"/>
  <c r="C175" i="7"/>
  <c r="F174" i="7"/>
  <c r="F38" i="6"/>
  <c r="E38" i="6"/>
  <c r="C39" i="6"/>
  <c r="C79" i="6"/>
  <c r="F78" i="6"/>
  <c r="E78" i="6"/>
  <c r="C49" i="6"/>
  <c r="F50" i="6"/>
  <c r="E50" i="6"/>
  <c r="F62" i="6"/>
  <c r="C22" i="5"/>
  <c r="F21" i="5"/>
  <c r="E21" i="5"/>
  <c r="C12" i="4"/>
  <c r="E11" i="4"/>
  <c r="C21" i="3"/>
  <c r="F20" i="3"/>
  <c r="E20" i="3"/>
  <c r="F20" i="13" l="1"/>
  <c r="C21" i="13"/>
  <c r="F21" i="13" s="1"/>
  <c r="E20" i="13"/>
  <c r="F78" i="8"/>
  <c r="E76" i="1"/>
  <c r="F76" i="1"/>
  <c r="C11" i="2"/>
  <c r="E10" i="2"/>
  <c r="C79" i="8"/>
  <c r="F79" i="8" s="1"/>
  <c r="F16" i="19"/>
  <c r="E21" i="13"/>
  <c r="C22" i="13"/>
  <c r="B26" i="12"/>
  <c r="D25" i="12"/>
  <c r="E12" i="10"/>
  <c r="C13" i="10"/>
  <c r="F51" i="9"/>
  <c r="C40" i="9"/>
  <c r="F39" i="9"/>
  <c r="E39" i="9"/>
  <c r="F79" i="9"/>
  <c r="E79" i="9"/>
  <c r="C80" i="9"/>
  <c r="F46" i="9"/>
  <c r="E46" i="9"/>
  <c r="F46" i="8"/>
  <c r="F58" i="8"/>
  <c r="E46" i="8"/>
  <c r="C47" i="8"/>
  <c r="C176" i="7"/>
  <c r="F175" i="7"/>
  <c r="E175" i="7"/>
  <c r="E49" i="6"/>
  <c r="F61" i="6"/>
  <c r="C48" i="6"/>
  <c r="F49" i="6"/>
  <c r="F79" i="6"/>
  <c r="E79" i="6"/>
  <c r="C80" i="6"/>
  <c r="C40" i="6"/>
  <c r="F39" i="6"/>
  <c r="E39" i="6"/>
  <c r="F51" i="6"/>
  <c r="E22" i="5"/>
  <c r="C23" i="5"/>
  <c r="F22" i="5"/>
  <c r="C13" i="4"/>
  <c r="E12" i="4"/>
  <c r="F21" i="3"/>
  <c r="E21" i="3"/>
  <c r="C22" i="3"/>
  <c r="C78" i="1"/>
  <c r="F77" i="1"/>
  <c r="E77" i="1"/>
  <c r="C12" i="2" l="1"/>
  <c r="E11" i="2"/>
  <c r="E79" i="8"/>
  <c r="C80" i="8"/>
  <c r="F80" i="8" s="1"/>
  <c r="F17" i="19"/>
  <c r="C23" i="13"/>
  <c r="F22" i="13"/>
  <c r="E22" i="13"/>
  <c r="D26" i="12"/>
  <c r="B27" i="12"/>
  <c r="C14" i="10"/>
  <c r="E13" i="10"/>
  <c r="C81" i="9"/>
  <c r="F80" i="9"/>
  <c r="E80" i="9"/>
  <c r="C41" i="9"/>
  <c r="F40" i="9"/>
  <c r="E40" i="9"/>
  <c r="F52" i="9"/>
  <c r="F59" i="8"/>
  <c r="C48" i="8"/>
  <c r="F47" i="8"/>
  <c r="E47" i="8"/>
  <c r="C177" i="7"/>
  <c r="F176" i="7"/>
  <c r="E176" i="7"/>
  <c r="F40" i="6"/>
  <c r="E40" i="6"/>
  <c r="F52" i="6"/>
  <c r="C41" i="6"/>
  <c r="C81" i="6"/>
  <c r="F80" i="6"/>
  <c r="E80" i="6"/>
  <c r="C47" i="6"/>
  <c r="F48" i="6"/>
  <c r="E48" i="6"/>
  <c r="F60" i="6"/>
  <c r="C24" i="5"/>
  <c r="F23" i="5"/>
  <c r="E23" i="5"/>
  <c r="C14" i="4"/>
  <c r="E13" i="4"/>
  <c r="C23" i="3"/>
  <c r="F22" i="3"/>
  <c r="E22" i="3"/>
  <c r="C79" i="1"/>
  <c r="F78" i="1"/>
  <c r="E78" i="1"/>
  <c r="C13" i="2" l="1"/>
  <c r="E13" i="2" s="1"/>
  <c r="E80" i="8"/>
  <c r="C81" i="8"/>
  <c r="F81" i="8" s="1"/>
  <c r="E12" i="2"/>
  <c r="F18" i="19"/>
  <c r="C24" i="13"/>
  <c r="F23" i="13"/>
  <c r="E23" i="13"/>
  <c r="B28" i="12"/>
  <c r="D27" i="12"/>
  <c r="C15" i="10"/>
  <c r="E14" i="10"/>
  <c r="C42" i="9"/>
  <c r="F41" i="9"/>
  <c r="E41" i="9"/>
  <c r="F81" i="9"/>
  <c r="E81" i="9"/>
  <c r="C82" i="9"/>
  <c r="F48" i="8"/>
  <c r="F60" i="8"/>
  <c r="E48" i="8"/>
  <c r="C49" i="8"/>
  <c r="E81" i="8"/>
  <c r="C178" i="7"/>
  <c r="F177" i="7"/>
  <c r="E177" i="7"/>
  <c r="F81" i="6"/>
  <c r="E81" i="6"/>
  <c r="C82" i="6"/>
  <c r="F59" i="6"/>
  <c r="E47" i="6"/>
  <c r="C46" i="6"/>
  <c r="F47" i="6"/>
  <c r="F53" i="6"/>
  <c r="C42" i="6"/>
  <c r="F41" i="6"/>
  <c r="E41" i="6"/>
  <c r="F24" i="5"/>
  <c r="E24" i="5"/>
  <c r="C25" i="5"/>
  <c r="C15" i="4"/>
  <c r="E14" i="4"/>
  <c r="F23" i="3"/>
  <c r="E23" i="3"/>
  <c r="C24" i="3"/>
  <c r="C80" i="1"/>
  <c r="F79" i="1"/>
  <c r="E79" i="1"/>
  <c r="C82" i="8" l="1"/>
  <c r="E82" i="8" s="1"/>
  <c r="C14" i="2"/>
  <c r="F19" i="19"/>
  <c r="F24" i="13"/>
  <c r="E24" i="13"/>
  <c r="C25" i="13"/>
  <c r="B29" i="12"/>
  <c r="D28" i="12"/>
  <c r="E15" i="10"/>
  <c r="C16" i="10"/>
  <c r="C83" i="9"/>
  <c r="F82" i="9"/>
  <c r="E82" i="9"/>
  <c r="F42" i="9"/>
  <c r="E42" i="9"/>
  <c r="C50" i="8"/>
  <c r="E49" i="8"/>
  <c r="F49" i="8"/>
  <c r="F61" i="8"/>
  <c r="F178" i="7"/>
  <c r="E178" i="7"/>
  <c r="C179" i="7"/>
  <c r="C45" i="6"/>
  <c r="F58" i="6"/>
  <c r="F46" i="6"/>
  <c r="E46" i="6"/>
  <c r="C83" i="6"/>
  <c r="F82" i="6"/>
  <c r="E82" i="6"/>
  <c r="F42" i="6"/>
  <c r="E42" i="6"/>
  <c r="F54" i="6"/>
  <c r="C26" i="5"/>
  <c r="E25" i="5"/>
  <c r="F25" i="5"/>
  <c r="E15" i="4"/>
  <c r="C16" i="4"/>
  <c r="C25" i="3"/>
  <c r="F24" i="3"/>
  <c r="E24" i="3"/>
  <c r="C81" i="1"/>
  <c r="F80" i="1"/>
  <c r="E80" i="1"/>
  <c r="C83" i="8" l="1"/>
  <c r="E83" i="8" s="1"/>
  <c r="F82" i="8"/>
  <c r="C15" i="2"/>
  <c r="E14" i="2"/>
  <c r="F20" i="19"/>
  <c r="C26" i="13"/>
  <c r="F25" i="13"/>
  <c r="E25" i="13"/>
  <c r="B30" i="12"/>
  <c r="D29" i="12"/>
  <c r="C17" i="10"/>
  <c r="E16" i="10"/>
  <c r="F83" i="9"/>
  <c r="E83" i="9"/>
  <c r="C84" i="9"/>
  <c r="F50" i="8"/>
  <c r="F62" i="8"/>
  <c r="E50" i="8"/>
  <c r="C51" i="8"/>
  <c r="C180" i="7"/>
  <c r="F179" i="7"/>
  <c r="E179" i="7"/>
  <c r="F83" i="6"/>
  <c r="E83" i="6"/>
  <c r="C84" i="6"/>
  <c r="E45" i="6"/>
  <c r="C44" i="6"/>
  <c r="F57" i="6"/>
  <c r="F45" i="6"/>
  <c r="F26" i="5"/>
  <c r="E26" i="5"/>
  <c r="C27" i="5"/>
  <c r="C17" i="4"/>
  <c r="E16" i="4"/>
  <c r="F25" i="3"/>
  <c r="E25" i="3"/>
  <c r="C26" i="3"/>
  <c r="C82" i="1"/>
  <c r="F81" i="1"/>
  <c r="E81" i="1"/>
  <c r="C84" i="8" l="1"/>
  <c r="E84" i="8" s="1"/>
  <c r="F83" i="8"/>
  <c r="C16" i="2"/>
  <c r="E15" i="2"/>
  <c r="F21" i="19"/>
  <c r="E26" i="13"/>
  <c r="C27" i="13"/>
  <c r="F26" i="13"/>
  <c r="D30" i="12"/>
  <c r="B31" i="12"/>
  <c r="C18" i="10"/>
  <c r="E17" i="10"/>
  <c r="C85" i="9"/>
  <c r="F84" i="9"/>
  <c r="E84" i="9"/>
  <c r="F63" i="8"/>
  <c r="C52" i="8"/>
  <c r="F51" i="8"/>
  <c r="E51" i="8"/>
  <c r="C181" i="7"/>
  <c r="F180" i="7"/>
  <c r="E180" i="7"/>
  <c r="F56" i="6"/>
  <c r="F44" i="6"/>
  <c r="E44" i="6"/>
  <c r="C85" i="6"/>
  <c r="F84" i="6"/>
  <c r="E84" i="6"/>
  <c r="F27" i="5"/>
  <c r="C28" i="5"/>
  <c r="E27" i="5"/>
  <c r="C18" i="4"/>
  <c r="E17" i="4"/>
  <c r="C27" i="3"/>
  <c r="E26" i="3"/>
  <c r="F26" i="3"/>
  <c r="C83" i="1"/>
  <c r="F82" i="1"/>
  <c r="E82" i="1"/>
  <c r="C85" i="8" l="1"/>
  <c r="C86" i="8" s="1"/>
  <c r="F84" i="8"/>
  <c r="E16" i="2"/>
  <c r="C17" i="2"/>
  <c r="F22" i="19"/>
  <c r="C28" i="13"/>
  <c r="F27" i="13"/>
  <c r="E27" i="13"/>
  <c r="B32" i="12"/>
  <c r="D31" i="12"/>
  <c r="E18" i="10"/>
  <c r="C19" i="10"/>
  <c r="F85" i="9"/>
  <c r="E85" i="9"/>
  <c r="C86" i="9"/>
  <c r="F52" i="8"/>
  <c r="F64" i="8"/>
  <c r="E52" i="8"/>
  <c r="C182" i="7"/>
  <c r="F181" i="7"/>
  <c r="E181" i="7"/>
  <c r="F85" i="6"/>
  <c r="E85" i="6"/>
  <c r="C86" i="6"/>
  <c r="C29" i="5"/>
  <c r="F28" i="5"/>
  <c r="E28" i="5"/>
  <c r="E18" i="4"/>
  <c r="C19" i="4"/>
  <c r="C28" i="3"/>
  <c r="F27" i="3"/>
  <c r="E27" i="3"/>
  <c r="C84" i="1"/>
  <c r="F83" i="1"/>
  <c r="E83" i="1"/>
  <c r="E85" i="8" l="1"/>
  <c r="F85" i="8"/>
  <c r="E17" i="2"/>
  <c r="C18" i="2"/>
  <c r="F23" i="19"/>
  <c r="C29" i="13"/>
  <c r="F28" i="13"/>
  <c r="E28" i="13"/>
  <c r="B33" i="12"/>
  <c r="D32" i="12"/>
  <c r="C20" i="10"/>
  <c r="F19" i="10"/>
  <c r="E19" i="10"/>
  <c r="C87" i="9"/>
  <c r="F86" i="9"/>
  <c r="E86" i="9"/>
  <c r="C87" i="8"/>
  <c r="F86" i="8"/>
  <c r="E86" i="8"/>
  <c r="E182" i="7"/>
  <c r="C183" i="7"/>
  <c r="F182" i="7"/>
  <c r="C87" i="6"/>
  <c r="F86" i="6"/>
  <c r="E86" i="6"/>
  <c r="C30" i="5"/>
  <c r="F29" i="5"/>
  <c r="E29" i="5"/>
  <c r="F19" i="4"/>
  <c r="C20" i="4"/>
  <c r="E19" i="4"/>
  <c r="F28" i="3"/>
  <c r="E28" i="3"/>
  <c r="C29" i="3"/>
  <c r="C86" i="1"/>
  <c r="F84" i="1"/>
  <c r="E84" i="1"/>
  <c r="E18" i="2" l="1"/>
  <c r="C19" i="2"/>
  <c r="F24" i="19"/>
  <c r="F29" i="13"/>
  <c r="E29" i="13"/>
  <c r="C30" i="13"/>
  <c r="B34" i="12"/>
  <c r="E33" i="12"/>
  <c r="D33" i="12"/>
  <c r="C21" i="10"/>
  <c r="F20" i="10"/>
  <c r="E20" i="10"/>
  <c r="F87" i="9"/>
  <c r="E87" i="9"/>
  <c r="C88" i="9"/>
  <c r="E87" i="8"/>
  <c r="C88" i="8"/>
  <c r="F87" i="8"/>
  <c r="C184" i="7"/>
  <c r="F183" i="7"/>
  <c r="E183" i="7"/>
  <c r="F87" i="6"/>
  <c r="E87" i="6"/>
  <c r="C88" i="6"/>
  <c r="C31" i="5"/>
  <c r="F30" i="5"/>
  <c r="E30" i="5"/>
  <c r="F20" i="4"/>
  <c r="C21" i="4"/>
  <c r="E20" i="4"/>
  <c r="C30" i="3"/>
  <c r="F29" i="3"/>
  <c r="E29" i="3"/>
  <c r="C87" i="1"/>
  <c r="F86" i="1"/>
  <c r="E86" i="1"/>
  <c r="C20" i="2" l="1"/>
  <c r="F19" i="2"/>
  <c r="E19" i="2"/>
  <c r="F25" i="19"/>
  <c r="C31" i="13"/>
  <c r="F30" i="13"/>
  <c r="E30" i="13"/>
  <c r="B35" i="12"/>
  <c r="E34" i="12"/>
  <c r="D34" i="12"/>
  <c r="C22" i="10"/>
  <c r="F21" i="10"/>
  <c r="E21" i="10"/>
  <c r="C89" i="9"/>
  <c r="F88" i="9"/>
  <c r="E88" i="9"/>
  <c r="E88" i="8"/>
  <c r="C89" i="8"/>
  <c r="F88" i="8"/>
  <c r="C185" i="7"/>
  <c r="F184" i="7"/>
  <c r="E184" i="7"/>
  <c r="C89" i="6"/>
  <c r="F88" i="6"/>
  <c r="E88" i="6"/>
  <c r="E31" i="5"/>
  <c r="C32" i="5"/>
  <c r="F31" i="5"/>
  <c r="F21" i="4"/>
  <c r="C22" i="4"/>
  <c r="E21" i="4"/>
  <c r="E30" i="3"/>
  <c r="C31" i="3"/>
  <c r="F30" i="3"/>
  <c r="C88" i="1"/>
  <c r="F87" i="1"/>
  <c r="E87" i="1"/>
  <c r="F20" i="2" l="1"/>
  <c r="C21" i="2"/>
  <c r="E20" i="2"/>
  <c r="F26" i="19"/>
  <c r="C32" i="13"/>
  <c r="E31" i="13"/>
  <c r="F31" i="13"/>
  <c r="B36" i="12"/>
  <c r="E35" i="12"/>
  <c r="D35" i="12"/>
  <c r="C23" i="10"/>
  <c r="F22" i="10"/>
  <c r="E22" i="10"/>
  <c r="F89" i="9"/>
  <c r="E89" i="9"/>
  <c r="C90" i="9"/>
  <c r="E89" i="8"/>
  <c r="C90" i="8"/>
  <c r="F89" i="8"/>
  <c r="C186" i="7"/>
  <c r="F185" i="7"/>
  <c r="E185" i="7"/>
  <c r="F89" i="6"/>
  <c r="E89" i="6"/>
  <c r="C90" i="6"/>
  <c r="E32" i="5"/>
  <c r="C33" i="5"/>
  <c r="F32" i="5"/>
  <c r="C23" i="4"/>
  <c r="F22" i="4"/>
  <c r="E22" i="4"/>
  <c r="C32" i="3"/>
  <c r="F31" i="3"/>
  <c r="E31" i="3"/>
  <c r="C89" i="1"/>
  <c r="F88" i="1"/>
  <c r="E88" i="1"/>
  <c r="C22" i="2" l="1"/>
  <c r="F21" i="2"/>
  <c r="E21" i="2"/>
  <c r="F27" i="19"/>
  <c r="F32" i="13"/>
  <c r="E32" i="13"/>
  <c r="C33" i="13"/>
  <c r="E36" i="12"/>
  <c r="D36" i="12"/>
  <c r="B37" i="12"/>
  <c r="C24" i="10"/>
  <c r="E23" i="10"/>
  <c r="F23" i="10"/>
  <c r="C91" i="9"/>
  <c r="F90" i="9"/>
  <c r="E90" i="9"/>
  <c r="F90" i="8"/>
  <c r="E90" i="8"/>
  <c r="C91" i="8"/>
  <c r="F186" i="7"/>
  <c r="E186" i="7"/>
  <c r="C187" i="7"/>
  <c r="C91" i="6"/>
  <c r="F90" i="6"/>
  <c r="E90" i="6"/>
  <c r="F33" i="5"/>
  <c r="E33" i="5"/>
  <c r="C34" i="5"/>
  <c r="F23" i="4"/>
  <c r="E23" i="4"/>
  <c r="C24" i="4"/>
  <c r="F32" i="3"/>
  <c r="C33" i="3"/>
  <c r="E32" i="3"/>
  <c r="C90" i="1"/>
  <c r="F89" i="1"/>
  <c r="E89" i="1"/>
  <c r="F22" i="2" l="1"/>
  <c r="E22" i="2"/>
  <c r="C23" i="2"/>
  <c r="F28" i="19"/>
  <c r="C34" i="13"/>
  <c r="F33" i="13"/>
  <c r="E33" i="13"/>
  <c r="B38" i="12"/>
  <c r="E37" i="12"/>
  <c r="D37" i="12"/>
  <c r="C25" i="10"/>
  <c r="E24" i="10"/>
  <c r="F24" i="10"/>
  <c r="F91" i="9"/>
  <c r="E91" i="9"/>
  <c r="C92" i="9"/>
  <c r="E91" i="8"/>
  <c r="F91" i="8"/>
  <c r="C92" i="8"/>
  <c r="C188" i="7"/>
  <c r="F187" i="7"/>
  <c r="E187" i="7"/>
  <c r="F91" i="6"/>
  <c r="E91" i="6"/>
  <c r="C92" i="6"/>
  <c r="C35" i="5"/>
  <c r="F34" i="5"/>
  <c r="E34" i="5"/>
  <c r="C25" i="4"/>
  <c r="F24" i="4"/>
  <c r="E24" i="4"/>
  <c r="C34" i="3"/>
  <c r="F33" i="3"/>
  <c r="E33" i="3"/>
  <c r="C91" i="1"/>
  <c r="F90" i="1"/>
  <c r="E90" i="1"/>
  <c r="F23" i="2" l="1"/>
  <c r="C24" i="2"/>
  <c r="E23" i="2"/>
  <c r="F29" i="19"/>
  <c r="E34" i="13"/>
  <c r="C35" i="13"/>
  <c r="F34" i="13"/>
  <c r="B39" i="12"/>
  <c r="E38" i="12"/>
  <c r="D38" i="12"/>
  <c r="C26" i="10"/>
  <c r="F25" i="10"/>
  <c r="E25" i="10"/>
  <c r="C93" i="9"/>
  <c r="F92" i="9"/>
  <c r="E92" i="9"/>
  <c r="F92" i="8"/>
  <c r="E92" i="8"/>
  <c r="C93" i="8"/>
  <c r="C189" i="7"/>
  <c r="F188" i="7"/>
  <c r="E188" i="7"/>
  <c r="C93" i="6"/>
  <c r="F92" i="6"/>
  <c r="E92" i="6"/>
  <c r="C36" i="5"/>
  <c r="F35" i="5"/>
  <c r="E35" i="5"/>
  <c r="F25" i="4"/>
  <c r="E25" i="4"/>
  <c r="C26" i="4"/>
  <c r="C35" i="3"/>
  <c r="F34" i="3"/>
  <c r="E34" i="3"/>
  <c r="C92" i="1"/>
  <c r="F91" i="1"/>
  <c r="E91" i="1"/>
  <c r="F24" i="2" l="1"/>
  <c r="E24" i="2"/>
  <c r="C25" i="2"/>
  <c r="F30" i="19"/>
  <c r="C36" i="13"/>
  <c r="F35" i="13"/>
  <c r="E35" i="13"/>
  <c r="D39" i="12"/>
  <c r="B40" i="12"/>
  <c r="E39" i="12"/>
  <c r="F26" i="10"/>
  <c r="C27" i="10"/>
  <c r="E26" i="10"/>
  <c r="F93" i="9"/>
  <c r="E93" i="9"/>
  <c r="C94" i="9"/>
  <c r="E93" i="8"/>
  <c r="C94" i="8"/>
  <c r="F93" i="8"/>
  <c r="C190" i="7"/>
  <c r="F189" i="7"/>
  <c r="E189" i="7"/>
  <c r="F93" i="6"/>
  <c r="E93" i="6"/>
  <c r="C94" i="6"/>
  <c r="C37" i="5"/>
  <c r="F36" i="5"/>
  <c r="E36" i="5"/>
  <c r="C27" i="4"/>
  <c r="F26" i="4"/>
  <c r="E26" i="4"/>
  <c r="C36" i="3"/>
  <c r="F35" i="3"/>
  <c r="E35" i="3"/>
  <c r="C93" i="1"/>
  <c r="F92" i="1"/>
  <c r="E92" i="1"/>
  <c r="F25" i="2" l="1"/>
  <c r="C26" i="2"/>
  <c r="E25" i="2"/>
  <c r="F31" i="19"/>
  <c r="C37" i="13"/>
  <c r="F36" i="13"/>
  <c r="E36" i="13"/>
  <c r="B41" i="12"/>
  <c r="E40" i="12"/>
  <c r="D40" i="12"/>
  <c r="C28" i="10"/>
  <c r="F27" i="10"/>
  <c r="E27" i="10"/>
  <c r="C95" i="9"/>
  <c r="F94" i="9"/>
  <c r="E94" i="9"/>
  <c r="C95" i="8"/>
  <c r="F94" i="8"/>
  <c r="E94" i="8"/>
  <c r="F190" i="7"/>
  <c r="E190" i="7"/>
  <c r="C191" i="7"/>
  <c r="C95" i="6"/>
  <c r="F94" i="6"/>
  <c r="E94" i="6"/>
  <c r="C38" i="5"/>
  <c r="F37" i="5"/>
  <c r="E37" i="5"/>
  <c r="F27" i="4"/>
  <c r="E27" i="4"/>
  <c r="C28" i="4"/>
  <c r="C37" i="3"/>
  <c r="F36" i="3"/>
  <c r="E36" i="3"/>
  <c r="C94" i="1"/>
  <c r="F93" i="1"/>
  <c r="E93" i="1"/>
  <c r="C27" i="2" l="1"/>
  <c r="F26" i="2"/>
  <c r="E26" i="2"/>
  <c r="F32" i="19"/>
  <c r="F37" i="13"/>
  <c r="E37" i="13"/>
  <c r="C38" i="13"/>
  <c r="B42" i="12"/>
  <c r="E41" i="12"/>
  <c r="D41" i="12"/>
  <c r="C29" i="10"/>
  <c r="F28" i="10"/>
  <c r="E28" i="10"/>
  <c r="F95" i="9"/>
  <c r="E95" i="9"/>
  <c r="C96" i="9"/>
  <c r="E95" i="8"/>
  <c r="C96" i="8"/>
  <c r="F95" i="8"/>
  <c r="C192" i="7"/>
  <c r="F191" i="7"/>
  <c r="E191" i="7"/>
  <c r="F95" i="6"/>
  <c r="E95" i="6"/>
  <c r="C96" i="6"/>
  <c r="C39" i="5"/>
  <c r="E38" i="5"/>
  <c r="F38" i="5"/>
  <c r="C29" i="4"/>
  <c r="F28" i="4"/>
  <c r="E28" i="4"/>
  <c r="E37" i="3"/>
  <c r="F37" i="3"/>
  <c r="C38" i="3"/>
  <c r="C95" i="1"/>
  <c r="F94" i="1"/>
  <c r="E94" i="1"/>
  <c r="C28" i="2" l="1"/>
  <c r="E27" i="2"/>
  <c r="F27" i="2"/>
  <c r="F33" i="19"/>
  <c r="C39" i="13"/>
  <c r="F38" i="13"/>
  <c r="E38" i="13"/>
  <c r="B43" i="12"/>
  <c r="E42" i="12"/>
  <c r="D42" i="12"/>
  <c r="C30" i="10"/>
  <c r="F29" i="10"/>
  <c r="E29" i="10"/>
  <c r="C97" i="9"/>
  <c r="F96" i="9"/>
  <c r="E96" i="9"/>
  <c r="C97" i="8"/>
  <c r="F96" i="8"/>
  <c r="E96" i="8"/>
  <c r="C193" i="7"/>
  <c r="F192" i="7"/>
  <c r="E192" i="7"/>
  <c r="C97" i="6"/>
  <c r="F96" i="6"/>
  <c r="E96" i="6"/>
  <c r="E39" i="5"/>
  <c r="C40" i="5"/>
  <c r="F39" i="5"/>
  <c r="F29" i="4"/>
  <c r="C30" i="4"/>
  <c r="E29" i="4"/>
  <c r="C39" i="3"/>
  <c r="F38" i="3"/>
  <c r="E38" i="3"/>
  <c r="C96" i="1"/>
  <c r="F95" i="1"/>
  <c r="E95" i="1"/>
  <c r="C29" i="2" l="1"/>
  <c r="E28" i="2"/>
  <c r="F28" i="2"/>
  <c r="F34" i="19"/>
  <c r="C40" i="13"/>
  <c r="F39" i="13"/>
  <c r="E39" i="13"/>
  <c r="B44" i="12"/>
  <c r="E43" i="12"/>
  <c r="D43" i="12"/>
  <c r="E30" i="10"/>
  <c r="C31" i="10"/>
  <c r="F30" i="10"/>
  <c r="F97" i="9"/>
  <c r="E97" i="9"/>
  <c r="C98" i="9"/>
  <c r="E97" i="8"/>
  <c r="F97" i="8"/>
  <c r="C98" i="8"/>
  <c r="C194" i="7"/>
  <c r="F193" i="7"/>
  <c r="E193" i="7"/>
  <c r="F97" i="6"/>
  <c r="E97" i="6"/>
  <c r="C98" i="6"/>
  <c r="C41" i="5"/>
  <c r="E40" i="5"/>
  <c r="F40" i="5"/>
  <c r="E30" i="4"/>
  <c r="C31" i="4"/>
  <c r="F30" i="4"/>
  <c r="F39" i="3"/>
  <c r="C40" i="3"/>
  <c r="E39" i="3"/>
  <c r="C97" i="1"/>
  <c r="F96" i="1"/>
  <c r="E96" i="1"/>
  <c r="C30" i="2" l="1"/>
  <c r="F29" i="2"/>
  <c r="E29" i="2"/>
  <c r="F35" i="19"/>
  <c r="F40" i="13"/>
  <c r="E40" i="13"/>
  <c r="C41" i="13"/>
  <c r="E44" i="12"/>
  <c r="D44" i="12"/>
  <c r="B45" i="12"/>
  <c r="C32" i="10"/>
  <c r="F31" i="10"/>
  <c r="E31" i="10"/>
  <c r="C99" i="9"/>
  <c r="F98" i="9"/>
  <c r="E98" i="9"/>
  <c r="C99" i="8"/>
  <c r="E98" i="8"/>
  <c r="F98" i="8"/>
  <c r="E194" i="7"/>
  <c r="C195" i="7"/>
  <c r="F194" i="7"/>
  <c r="C99" i="6"/>
  <c r="F98" i="6"/>
  <c r="E98" i="6"/>
  <c r="F41" i="5"/>
  <c r="E41" i="5"/>
  <c r="C42" i="5"/>
  <c r="F31" i="4"/>
  <c r="C32" i="4"/>
  <c r="E31" i="4"/>
  <c r="C41" i="3"/>
  <c r="F40" i="3"/>
  <c r="E40" i="3"/>
  <c r="C99" i="1"/>
  <c r="F97" i="1"/>
  <c r="E97" i="1"/>
  <c r="C31" i="2" l="1"/>
  <c r="E30" i="2"/>
  <c r="F30" i="2"/>
  <c r="F36" i="19"/>
  <c r="C42" i="13"/>
  <c r="F41" i="13"/>
  <c r="E41" i="13"/>
  <c r="B46" i="12"/>
  <c r="E45" i="12"/>
  <c r="D45" i="12"/>
  <c r="F32" i="10"/>
  <c r="E32" i="10"/>
  <c r="C33" i="10"/>
  <c r="F99" i="9"/>
  <c r="E99" i="9"/>
  <c r="C100" i="9"/>
  <c r="E99" i="8"/>
  <c r="F99" i="8"/>
  <c r="C100" i="8"/>
  <c r="C196" i="7"/>
  <c r="F195" i="7"/>
  <c r="E195" i="7"/>
  <c r="F99" i="6"/>
  <c r="E99" i="6"/>
  <c r="C100" i="6"/>
  <c r="C43" i="5"/>
  <c r="E42" i="5"/>
  <c r="F42" i="5"/>
  <c r="E32" i="4"/>
  <c r="F32" i="4"/>
  <c r="C33" i="4"/>
  <c r="C42" i="3"/>
  <c r="F41" i="3"/>
  <c r="E41" i="3"/>
  <c r="C100" i="1"/>
  <c r="F99" i="1"/>
  <c r="E99" i="1"/>
  <c r="C32" i="2" l="1"/>
  <c r="E31" i="2"/>
  <c r="F31" i="2"/>
  <c r="F37" i="19"/>
  <c r="E42" i="13"/>
  <c r="C43" i="13"/>
  <c r="F42" i="13"/>
  <c r="B47" i="12"/>
  <c r="E46" i="12"/>
  <c r="D46" i="12"/>
  <c r="C34" i="10"/>
  <c r="E33" i="10"/>
  <c r="F33" i="10"/>
  <c r="C101" i="9"/>
  <c r="F100" i="9"/>
  <c r="E100" i="9"/>
  <c r="F100" i="8"/>
  <c r="C101" i="8"/>
  <c r="E100" i="8"/>
  <c r="C197" i="7"/>
  <c r="F196" i="7"/>
  <c r="E196" i="7"/>
  <c r="C101" i="6"/>
  <c r="F100" i="6"/>
  <c r="E100" i="6"/>
  <c r="F43" i="5"/>
  <c r="C44" i="5"/>
  <c r="E43" i="5"/>
  <c r="F33" i="4"/>
  <c r="C34" i="4"/>
  <c r="E33" i="4"/>
  <c r="E42" i="3"/>
  <c r="C43" i="3"/>
  <c r="F42" i="3"/>
  <c r="C101" i="1"/>
  <c r="F100" i="1"/>
  <c r="E100" i="1"/>
  <c r="F32" i="2" l="1"/>
  <c r="E32" i="2"/>
  <c r="C33" i="2"/>
  <c r="F38" i="19"/>
  <c r="C44" i="13"/>
  <c r="F43" i="13"/>
  <c r="E43" i="13"/>
  <c r="D47" i="12"/>
  <c r="B48" i="12"/>
  <c r="E47" i="12"/>
  <c r="F34" i="10"/>
  <c r="E34" i="10"/>
  <c r="C35" i="10"/>
  <c r="F101" i="9"/>
  <c r="E101" i="9"/>
  <c r="C102" i="9"/>
  <c r="E101" i="8"/>
  <c r="C102" i="8"/>
  <c r="F101" i="8"/>
  <c r="C198" i="7"/>
  <c r="F197" i="7"/>
  <c r="E197" i="7"/>
  <c r="F101" i="6"/>
  <c r="E101" i="6"/>
  <c r="C102" i="6"/>
  <c r="C45" i="5"/>
  <c r="E44" i="5"/>
  <c r="F44" i="5"/>
  <c r="F34" i="4"/>
  <c r="E34" i="4"/>
  <c r="C35" i="4"/>
  <c r="C44" i="3"/>
  <c r="F43" i="3"/>
  <c r="E43" i="3"/>
  <c r="C102" i="1"/>
  <c r="F101" i="1"/>
  <c r="E101" i="1"/>
  <c r="C34" i="2" l="1"/>
  <c r="E33" i="2"/>
  <c r="F33" i="2"/>
  <c r="F39" i="19"/>
  <c r="C45" i="13"/>
  <c r="F44" i="13"/>
  <c r="E44" i="13"/>
  <c r="B49" i="12"/>
  <c r="E48" i="12"/>
  <c r="D48" i="12"/>
  <c r="C36" i="10"/>
  <c r="F35" i="10"/>
  <c r="E35" i="10"/>
  <c r="C103" i="9"/>
  <c r="F102" i="9"/>
  <c r="E102" i="9"/>
  <c r="C103" i="8"/>
  <c r="F102" i="8"/>
  <c r="E102" i="8"/>
  <c r="F198" i="7"/>
  <c r="E198" i="7"/>
  <c r="C199" i="7"/>
  <c r="C103" i="6"/>
  <c r="F102" i="6"/>
  <c r="E102" i="6"/>
  <c r="F45" i="5"/>
  <c r="E45" i="5"/>
  <c r="C46" i="5"/>
  <c r="F35" i="4"/>
  <c r="C36" i="4"/>
  <c r="E35" i="4"/>
  <c r="E44" i="3"/>
  <c r="C45" i="3"/>
  <c r="F44" i="3"/>
  <c r="C103" i="1"/>
  <c r="F102" i="1"/>
  <c r="E102" i="1"/>
  <c r="F34" i="2" l="1"/>
  <c r="E34" i="2"/>
  <c r="C35" i="2"/>
  <c r="F40" i="19"/>
  <c r="F45" i="13"/>
  <c r="E45" i="13"/>
  <c r="C46" i="13"/>
  <c r="B50" i="12"/>
  <c r="E49" i="12"/>
  <c r="D49" i="12"/>
  <c r="C37" i="10"/>
  <c r="F36" i="10"/>
  <c r="E36" i="10"/>
  <c r="F103" i="9"/>
  <c r="E103" i="9"/>
  <c r="C104" i="9"/>
  <c r="E103" i="8"/>
  <c r="C104" i="8"/>
  <c r="F103" i="8"/>
  <c r="C200" i="7"/>
  <c r="F199" i="7"/>
  <c r="E199" i="7"/>
  <c r="F103" i="6"/>
  <c r="E103" i="6"/>
  <c r="C104" i="6"/>
  <c r="C47" i="5"/>
  <c r="E46" i="5"/>
  <c r="F46" i="5"/>
  <c r="F36" i="4"/>
  <c r="E36" i="4"/>
  <c r="C37" i="4"/>
  <c r="C46" i="3"/>
  <c r="F45" i="3"/>
  <c r="E45" i="3"/>
  <c r="C104" i="1"/>
  <c r="F103" i="1"/>
  <c r="E103" i="1"/>
  <c r="C36" i="2" l="1"/>
  <c r="F35" i="2"/>
  <c r="E35" i="2"/>
  <c r="F41" i="19"/>
  <c r="C47" i="13"/>
  <c r="F46" i="13"/>
  <c r="E46" i="13"/>
  <c r="B51" i="12"/>
  <c r="E50" i="12"/>
  <c r="D50" i="12"/>
  <c r="C38" i="10"/>
  <c r="F37" i="10"/>
  <c r="E37" i="10"/>
  <c r="C105" i="9"/>
  <c r="F104" i="9"/>
  <c r="E104" i="9"/>
  <c r="E104" i="8"/>
  <c r="C105" i="8"/>
  <c r="F104" i="8"/>
  <c r="C201" i="7"/>
  <c r="F200" i="7"/>
  <c r="E200" i="7"/>
  <c r="C105" i="6"/>
  <c r="F104" i="6"/>
  <c r="E104" i="6"/>
  <c r="F47" i="5"/>
  <c r="C48" i="5"/>
  <c r="E47" i="5"/>
  <c r="F37" i="4"/>
  <c r="E37" i="4"/>
  <c r="C38" i="4"/>
  <c r="E46" i="3"/>
  <c r="C47" i="3"/>
  <c r="F46" i="3"/>
  <c r="C105" i="1"/>
  <c r="F104" i="1"/>
  <c r="E104" i="1"/>
  <c r="F36" i="2" l="1"/>
  <c r="C37" i="2"/>
  <c r="E36" i="2"/>
  <c r="F42" i="19"/>
  <c r="C48" i="13"/>
  <c r="E47" i="13"/>
  <c r="F47" i="13"/>
  <c r="B52" i="12"/>
  <c r="E51" i="12"/>
  <c r="D51" i="12"/>
  <c r="C39" i="10"/>
  <c r="F38" i="10"/>
  <c r="E38" i="10"/>
  <c r="F105" i="9"/>
  <c r="E105" i="9"/>
  <c r="C106" i="9"/>
  <c r="E105" i="8"/>
  <c r="C106" i="8"/>
  <c r="F105" i="8"/>
  <c r="C202" i="7"/>
  <c r="F201" i="7"/>
  <c r="E201" i="7"/>
  <c r="F105" i="6"/>
  <c r="E105" i="6"/>
  <c r="C106" i="6"/>
  <c r="C49" i="5"/>
  <c r="E48" i="5"/>
  <c r="F48" i="5"/>
  <c r="C39" i="4"/>
  <c r="F38" i="4"/>
  <c r="E38" i="4"/>
  <c r="C48" i="3"/>
  <c r="F47" i="3"/>
  <c r="E47" i="3"/>
  <c r="C106" i="1"/>
  <c r="F105" i="1"/>
  <c r="E105" i="1"/>
  <c r="C38" i="2" l="1"/>
  <c r="F37" i="2"/>
  <c r="E37" i="2"/>
  <c r="F43" i="19"/>
  <c r="F48" i="13"/>
  <c r="E48" i="13"/>
  <c r="C49" i="13"/>
  <c r="E52" i="12"/>
  <c r="D52" i="12"/>
  <c r="B53" i="12"/>
  <c r="C40" i="10"/>
  <c r="E39" i="10"/>
  <c r="F39" i="10"/>
  <c r="C107" i="9"/>
  <c r="F106" i="9"/>
  <c r="E106" i="9"/>
  <c r="F106" i="8"/>
  <c r="E106" i="8"/>
  <c r="C107" i="8"/>
  <c r="F202" i="7"/>
  <c r="E202" i="7"/>
  <c r="C203" i="7"/>
  <c r="C107" i="6"/>
  <c r="F106" i="6"/>
  <c r="E106" i="6"/>
  <c r="F49" i="5"/>
  <c r="E49" i="5"/>
  <c r="C50" i="5"/>
  <c r="F39" i="4"/>
  <c r="E39" i="4"/>
  <c r="C40" i="4"/>
  <c r="F48" i="3"/>
  <c r="E48" i="3"/>
  <c r="C49" i="3"/>
  <c r="C107" i="1"/>
  <c r="F106" i="1"/>
  <c r="E106" i="1"/>
  <c r="F38" i="2" l="1"/>
  <c r="E38" i="2"/>
  <c r="C39" i="2"/>
  <c r="F44" i="19"/>
  <c r="C50" i="13"/>
  <c r="F49" i="13"/>
  <c r="E49" i="13"/>
  <c r="B54" i="12"/>
  <c r="E53" i="12"/>
  <c r="D53" i="12"/>
  <c r="C41" i="10"/>
  <c r="E40" i="10"/>
  <c r="F40" i="10"/>
  <c r="F107" i="9"/>
  <c r="E107" i="9"/>
  <c r="C108" i="9"/>
  <c r="E107" i="8"/>
  <c r="F107" i="8"/>
  <c r="C108" i="8"/>
  <c r="C204" i="7"/>
  <c r="F203" i="7"/>
  <c r="E203" i="7"/>
  <c r="F107" i="6"/>
  <c r="E107" i="6"/>
  <c r="C108" i="6"/>
  <c r="C51" i="5"/>
  <c r="E50" i="5"/>
  <c r="F50" i="5"/>
  <c r="C41" i="4"/>
  <c r="F40" i="4"/>
  <c r="E40" i="4"/>
  <c r="E49" i="3"/>
  <c r="C50" i="3"/>
  <c r="F49" i="3"/>
  <c r="C108" i="1"/>
  <c r="F107" i="1"/>
  <c r="E107" i="1"/>
  <c r="E39" i="2" l="1"/>
  <c r="C40" i="2"/>
  <c r="F39" i="2"/>
  <c r="F45" i="19"/>
  <c r="E50" i="13"/>
  <c r="C51" i="13"/>
  <c r="F50" i="13"/>
  <c r="B55" i="12"/>
  <c r="E54" i="12"/>
  <c r="D54" i="12"/>
  <c r="C42" i="10"/>
  <c r="F41" i="10"/>
  <c r="E41" i="10"/>
  <c r="C109" i="9"/>
  <c r="F108" i="9"/>
  <c r="E108" i="9"/>
  <c r="F108" i="8"/>
  <c r="E108" i="8"/>
  <c r="C109" i="8"/>
  <c r="C205" i="7"/>
  <c r="F204" i="7"/>
  <c r="E204" i="7"/>
  <c r="C109" i="6"/>
  <c r="F108" i="6"/>
  <c r="E108" i="6"/>
  <c r="F51" i="5"/>
  <c r="C52" i="5"/>
  <c r="E51" i="5"/>
  <c r="F41" i="4"/>
  <c r="E41" i="4"/>
  <c r="C42" i="4"/>
  <c r="C51" i="3"/>
  <c r="F50" i="3"/>
  <c r="E50" i="3"/>
  <c r="C109" i="1"/>
  <c r="F108" i="1"/>
  <c r="E108" i="1"/>
  <c r="F40" i="2" l="1"/>
  <c r="C41" i="2"/>
  <c r="E40" i="2"/>
  <c r="F46" i="19"/>
  <c r="C52" i="13"/>
  <c r="F51" i="13"/>
  <c r="E51" i="13"/>
  <c r="D55" i="12"/>
  <c r="B56" i="12"/>
  <c r="E55" i="12"/>
  <c r="F42" i="10"/>
  <c r="C43" i="10"/>
  <c r="E42" i="10"/>
  <c r="F109" i="9"/>
  <c r="E109" i="9"/>
  <c r="C110" i="9"/>
  <c r="E109" i="8"/>
  <c r="C110" i="8"/>
  <c r="F109" i="8"/>
  <c r="C206" i="7"/>
  <c r="F205" i="7"/>
  <c r="E205" i="7"/>
  <c r="F109" i="6"/>
  <c r="E109" i="6"/>
  <c r="C110" i="6"/>
  <c r="C53" i="5"/>
  <c r="E52" i="5"/>
  <c r="F52" i="5"/>
  <c r="E42" i="4"/>
  <c r="C43" i="4"/>
  <c r="F42" i="4"/>
  <c r="E51" i="3"/>
  <c r="F51" i="3"/>
  <c r="C52" i="3"/>
  <c r="C110" i="1"/>
  <c r="F109" i="1"/>
  <c r="E109" i="1"/>
  <c r="E41" i="2" l="1"/>
  <c r="F41" i="2"/>
  <c r="C42" i="2"/>
  <c r="F47" i="19"/>
  <c r="C53" i="13"/>
  <c r="F52" i="13"/>
  <c r="E52" i="13"/>
  <c r="B57" i="12"/>
  <c r="E56" i="12"/>
  <c r="D56" i="12"/>
  <c r="C44" i="10"/>
  <c r="F43" i="10"/>
  <c r="E43" i="10"/>
  <c r="C111" i="9"/>
  <c r="F110" i="9"/>
  <c r="E110" i="9"/>
  <c r="C111" i="8"/>
  <c r="F110" i="8"/>
  <c r="E110" i="8"/>
  <c r="E206" i="7"/>
  <c r="C207" i="7"/>
  <c r="F206" i="7"/>
  <c r="C111" i="6"/>
  <c r="F110" i="6"/>
  <c r="E110" i="6"/>
  <c r="F53" i="5"/>
  <c r="E53" i="5"/>
  <c r="C54" i="5"/>
  <c r="F43" i="4"/>
  <c r="E43" i="4"/>
  <c r="C44" i="4"/>
  <c r="C53" i="3"/>
  <c r="F52" i="3"/>
  <c r="E52" i="3"/>
  <c r="C112" i="1"/>
  <c r="F110" i="1"/>
  <c r="E110" i="1"/>
  <c r="F42" i="2" l="1"/>
  <c r="C43" i="2"/>
  <c r="E42" i="2"/>
  <c r="F48" i="19"/>
  <c r="F53" i="13"/>
  <c r="E53" i="13"/>
  <c r="C54" i="13"/>
  <c r="B58" i="12"/>
  <c r="E57" i="12"/>
  <c r="D57" i="12"/>
  <c r="C45" i="10"/>
  <c r="F44" i="10"/>
  <c r="E44" i="10"/>
  <c r="F111" i="9"/>
  <c r="E111" i="9"/>
  <c r="C112" i="9"/>
  <c r="E111" i="8"/>
  <c r="C112" i="8"/>
  <c r="F111" i="8"/>
  <c r="C208" i="7"/>
  <c r="F207" i="7"/>
  <c r="E207" i="7"/>
  <c r="F111" i="6"/>
  <c r="E111" i="6"/>
  <c r="C112" i="6"/>
  <c r="C55" i="5"/>
  <c r="E54" i="5"/>
  <c r="F54" i="5"/>
  <c r="C45" i="4"/>
  <c r="F44" i="4"/>
  <c r="E44" i="4"/>
  <c r="C54" i="3"/>
  <c r="F53" i="3"/>
  <c r="E53" i="3"/>
  <c r="C113" i="1"/>
  <c r="F112" i="1"/>
  <c r="E112" i="1"/>
  <c r="F43" i="2" l="1"/>
  <c r="E43" i="2"/>
  <c r="C44" i="2"/>
  <c r="F49" i="19"/>
  <c r="C55" i="13"/>
  <c r="F54" i="13"/>
  <c r="E54" i="13"/>
  <c r="B59" i="12"/>
  <c r="E58" i="12"/>
  <c r="D58" i="12"/>
  <c r="C46" i="10"/>
  <c r="F45" i="10"/>
  <c r="E45" i="10"/>
  <c r="C113" i="9"/>
  <c r="E112" i="9"/>
  <c r="F112" i="9"/>
  <c r="C113" i="8"/>
  <c r="F112" i="8"/>
  <c r="E112" i="8"/>
  <c r="C209" i="7"/>
  <c r="F208" i="7"/>
  <c r="E208" i="7"/>
  <c r="C113" i="6"/>
  <c r="F112" i="6"/>
  <c r="E112" i="6"/>
  <c r="F55" i="5"/>
  <c r="C56" i="5"/>
  <c r="E55" i="5"/>
  <c r="F45" i="4"/>
  <c r="E45" i="4"/>
  <c r="C46" i="4"/>
  <c r="E54" i="3"/>
  <c r="F54" i="3"/>
  <c r="C55" i="3"/>
  <c r="C114" i="1"/>
  <c r="F113" i="1"/>
  <c r="E113" i="1"/>
  <c r="F44" i="2" l="1"/>
  <c r="C45" i="2"/>
  <c r="E44" i="2"/>
  <c r="F50" i="19"/>
  <c r="C56" i="13"/>
  <c r="E55" i="13"/>
  <c r="F55" i="13"/>
  <c r="B60" i="12"/>
  <c r="E59" i="12"/>
  <c r="D59" i="12"/>
  <c r="E46" i="10"/>
  <c r="C47" i="10"/>
  <c r="F46" i="10"/>
  <c r="C114" i="9"/>
  <c r="F113" i="9"/>
  <c r="E113" i="9"/>
  <c r="E113" i="8"/>
  <c r="F113" i="8"/>
  <c r="C114" i="8"/>
  <c r="C210" i="7"/>
  <c r="F209" i="7"/>
  <c r="E209" i="7"/>
  <c r="F113" i="6"/>
  <c r="E113" i="6"/>
  <c r="C114" i="6"/>
  <c r="C57" i="5"/>
  <c r="E56" i="5"/>
  <c r="F56" i="5"/>
  <c r="C47" i="4"/>
  <c r="F46" i="4"/>
  <c r="E46" i="4"/>
  <c r="C56" i="3"/>
  <c r="F55" i="3"/>
  <c r="E55" i="3"/>
  <c r="C115" i="1"/>
  <c r="F114" i="1"/>
  <c r="E114" i="1"/>
  <c r="C46" i="2" l="1"/>
  <c r="E45" i="2"/>
  <c r="F45" i="2"/>
  <c r="F51" i="19"/>
  <c r="F56" i="13"/>
  <c r="E56" i="13"/>
  <c r="C57" i="13"/>
  <c r="E60" i="12"/>
  <c r="D60" i="12"/>
  <c r="B61" i="12"/>
  <c r="C48" i="10"/>
  <c r="F47" i="10"/>
  <c r="E47" i="10"/>
  <c r="F114" i="9"/>
  <c r="C115" i="9"/>
  <c r="E114" i="9"/>
  <c r="C115" i="8"/>
  <c r="E114" i="8"/>
  <c r="F114" i="8"/>
  <c r="F210" i="7"/>
  <c r="E210" i="7"/>
  <c r="C211" i="7"/>
  <c r="C115" i="6"/>
  <c r="F114" i="6"/>
  <c r="E114" i="6"/>
  <c r="F57" i="5"/>
  <c r="E57" i="5"/>
  <c r="C58" i="5"/>
  <c r="F47" i="4"/>
  <c r="E47" i="4"/>
  <c r="C48" i="4"/>
  <c r="F56" i="3"/>
  <c r="E56" i="3"/>
  <c r="C57" i="3"/>
  <c r="C116" i="1"/>
  <c r="F115" i="1"/>
  <c r="E115" i="1"/>
  <c r="F46" i="2" l="1"/>
  <c r="C47" i="2"/>
  <c r="E46" i="2"/>
  <c r="F52" i="19"/>
  <c r="C58" i="13"/>
  <c r="F57" i="13"/>
  <c r="E57" i="13"/>
  <c r="B62" i="12"/>
  <c r="E61" i="12"/>
  <c r="D61" i="12"/>
  <c r="F48" i="10"/>
  <c r="E48" i="10"/>
  <c r="C49" i="10"/>
  <c r="C116" i="9"/>
  <c r="F115" i="9"/>
  <c r="E115" i="9"/>
  <c r="E115" i="8"/>
  <c r="C116" i="8"/>
  <c r="F115" i="8"/>
  <c r="C212" i="7"/>
  <c r="F211" i="7"/>
  <c r="E211" i="7"/>
  <c r="F115" i="6"/>
  <c r="E115" i="6"/>
  <c r="C116" i="6"/>
  <c r="C59" i="5"/>
  <c r="F58" i="5"/>
  <c r="C49" i="4"/>
  <c r="F48" i="4"/>
  <c r="E48" i="4"/>
  <c r="C58" i="3"/>
  <c r="E57" i="3"/>
  <c r="F57" i="3"/>
  <c r="C117" i="1"/>
  <c r="F116" i="1"/>
  <c r="E116" i="1"/>
  <c r="C48" i="2" l="1"/>
  <c r="F47" i="2"/>
  <c r="E47" i="2"/>
  <c r="F53" i="19"/>
  <c r="F58" i="13"/>
  <c r="E58" i="13"/>
  <c r="C59" i="13"/>
  <c r="B63" i="12"/>
  <c r="E62" i="12"/>
  <c r="D62" i="12"/>
  <c r="C50" i="10"/>
  <c r="E49" i="10"/>
  <c r="F49" i="10"/>
  <c r="E116" i="9"/>
  <c r="C117" i="9"/>
  <c r="F116" i="9"/>
  <c r="C117" i="8"/>
  <c r="F116" i="8"/>
  <c r="E116" i="8"/>
  <c r="C213" i="7"/>
  <c r="F212" i="7"/>
  <c r="E212" i="7"/>
  <c r="C117" i="6"/>
  <c r="F116" i="6"/>
  <c r="E116" i="6"/>
  <c r="F59" i="5"/>
  <c r="E58" i="5"/>
  <c r="C60" i="5"/>
  <c r="F49" i="4"/>
  <c r="E49" i="4"/>
  <c r="C50" i="4"/>
  <c r="C59" i="3"/>
  <c r="F58" i="3"/>
  <c r="E58" i="3"/>
  <c r="C118" i="1"/>
  <c r="F117" i="1"/>
  <c r="E117" i="1"/>
  <c r="F48" i="2" l="1"/>
  <c r="C49" i="2"/>
  <c r="E48" i="2"/>
  <c r="F54" i="19"/>
  <c r="C60" i="13"/>
  <c r="F59" i="13"/>
  <c r="E59" i="13"/>
  <c r="D63" i="12"/>
  <c r="B64" i="12"/>
  <c r="E63" i="12"/>
  <c r="F50" i="10"/>
  <c r="E50" i="10"/>
  <c r="C51" i="10"/>
  <c r="C118" i="9"/>
  <c r="F117" i="9"/>
  <c r="E117" i="9"/>
  <c r="E117" i="8"/>
  <c r="C118" i="8"/>
  <c r="F117" i="8"/>
  <c r="C214" i="7"/>
  <c r="F213" i="7"/>
  <c r="E213" i="7"/>
  <c r="F117" i="6"/>
  <c r="E117" i="6"/>
  <c r="C118" i="6"/>
  <c r="C61" i="5"/>
  <c r="F60" i="5"/>
  <c r="E59" i="5"/>
  <c r="E50" i="4"/>
  <c r="F50" i="4"/>
  <c r="C51" i="4"/>
  <c r="C60" i="3"/>
  <c r="E59" i="3"/>
  <c r="F59" i="3"/>
  <c r="C119" i="1"/>
  <c r="F118" i="1"/>
  <c r="E118" i="1"/>
  <c r="F49" i="2" l="1"/>
  <c r="C50" i="2"/>
  <c r="E49" i="2"/>
  <c r="F55" i="19"/>
  <c r="F60" i="13"/>
  <c r="E60" i="13"/>
  <c r="C61" i="13"/>
  <c r="B65" i="12"/>
  <c r="E64" i="12"/>
  <c r="D64" i="12"/>
  <c r="C52" i="10"/>
  <c r="F51" i="10"/>
  <c r="E51" i="10"/>
  <c r="F118" i="9"/>
  <c r="E118" i="9"/>
  <c r="C119" i="9"/>
  <c r="F118" i="8"/>
  <c r="E118" i="8"/>
  <c r="C119" i="8"/>
  <c r="C215" i="7"/>
  <c r="F214" i="7"/>
  <c r="E214" i="7"/>
  <c r="C119" i="6"/>
  <c r="F118" i="6"/>
  <c r="E118" i="6"/>
  <c r="F61" i="5"/>
  <c r="E60" i="5"/>
  <c r="E61" i="5"/>
  <c r="C62" i="5"/>
  <c r="F51" i="4"/>
  <c r="E51" i="4"/>
  <c r="C52" i="4"/>
  <c r="C61" i="3"/>
  <c r="F60" i="3"/>
  <c r="C120" i="1"/>
  <c r="F119" i="1"/>
  <c r="E119" i="1"/>
  <c r="F50" i="2" l="1"/>
  <c r="E50" i="2"/>
  <c r="C51" i="2"/>
  <c r="F56" i="19"/>
  <c r="C62" i="13"/>
  <c r="F61" i="13"/>
  <c r="E61" i="13"/>
  <c r="B66" i="12"/>
  <c r="E65" i="12"/>
  <c r="D65" i="12"/>
  <c r="E52" i="10"/>
  <c r="C53" i="10"/>
  <c r="F52" i="10"/>
  <c r="C120" i="9"/>
  <c r="E119" i="9"/>
  <c r="F119" i="9"/>
  <c r="E119" i="8"/>
  <c r="C120" i="8"/>
  <c r="F119" i="8"/>
  <c r="C216" i="7"/>
  <c r="F215" i="7"/>
  <c r="E215" i="7"/>
  <c r="F119" i="6"/>
  <c r="E119" i="6"/>
  <c r="C120" i="6"/>
  <c r="C63" i="5"/>
  <c r="E62" i="5"/>
  <c r="F62" i="5"/>
  <c r="F52" i="4"/>
  <c r="C53" i="4"/>
  <c r="E52" i="4"/>
  <c r="C62" i="3"/>
  <c r="E60" i="3"/>
  <c r="F61" i="3"/>
  <c r="E61" i="3"/>
  <c r="C121" i="1"/>
  <c r="F120" i="1"/>
  <c r="E120" i="1"/>
  <c r="C52" i="2" l="1"/>
  <c r="F51" i="2"/>
  <c r="E51" i="2"/>
  <c r="F57" i="19"/>
  <c r="F62" i="13"/>
  <c r="E62" i="13"/>
  <c r="C63" i="13"/>
  <c r="B67" i="12"/>
  <c r="E66" i="12"/>
  <c r="D66" i="12"/>
  <c r="C54" i="10"/>
  <c r="E53" i="10"/>
  <c r="F53" i="10"/>
  <c r="C121" i="9"/>
  <c r="F120" i="9"/>
  <c r="E120" i="9"/>
  <c r="C121" i="8"/>
  <c r="F120" i="8"/>
  <c r="E120" i="8"/>
  <c r="C217" i="7"/>
  <c r="F216" i="7"/>
  <c r="E216" i="7"/>
  <c r="C121" i="6"/>
  <c r="F120" i="6"/>
  <c r="E120" i="6"/>
  <c r="F63" i="5"/>
  <c r="C64" i="5"/>
  <c r="E63" i="5"/>
  <c r="F53" i="4"/>
  <c r="E53" i="4"/>
  <c r="C54" i="4"/>
  <c r="E62" i="3"/>
  <c r="F62" i="3"/>
  <c r="C63" i="3"/>
  <c r="C122" i="1"/>
  <c r="F121" i="1"/>
  <c r="E121" i="1"/>
  <c r="F52" i="2" l="1"/>
  <c r="C53" i="2"/>
  <c r="E52" i="2"/>
  <c r="F58" i="19"/>
  <c r="C64" i="13"/>
  <c r="F63" i="13"/>
  <c r="E63" i="13"/>
  <c r="B68" i="12"/>
  <c r="E67" i="12"/>
  <c r="D67" i="12"/>
  <c r="E54" i="10"/>
  <c r="F54" i="10"/>
  <c r="C55" i="10"/>
  <c r="C122" i="9"/>
  <c r="F121" i="9"/>
  <c r="E121" i="9"/>
  <c r="E121" i="8"/>
  <c r="F121" i="8"/>
  <c r="C122" i="8"/>
  <c r="C218" i="7"/>
  <c r="F217" i="7"/>
  <c r="E217" i="7"/>
  <c r="F121" i="6"/>
  <c r="E121" i="6"/>
  <c r="C122" i="6"/>
  <c r="C65" i="5"/>
  <c r="E64" i="5"/>
  <c r="F64" i="5"/>
  <c r="C55" i="4"/>
  <c r="F54" i="4"/>
  <c r="E54" i="4"/>
  <c r="C64" i="3"/>
  <c r="E63" i="3"/>
  <c r="F63" i="3"/>
  <c r="C123" i="1"/>
  <c r="F122" i="1"/>
  <c r="E122" i="1"/>
  <c r="F53" i="2" l="1"/>
  <c r="E53" i="2"/>
  <c r="C54" i="2"/>
  <c r="F59" i="19"/>
  <c r="F64" i="13"/>
  <c r="E64" i="13"/>
  <c r="C65" i="13"/>
  <c r="E68" i="12"/>
  <c r="D68" i="12"/>
  <c r="B69" i="12"/>
  <c r="C56" i="10"/>
  <c r="F55" i="10"/>
  <c r="E55" i="10"/>
  <c r="C123" i="9"/>
  <c r="F122" i="9"/>
  <c r="E122" i="9"/>
  <c r="E122" i="8"/>
  <c r="C123" i="8"/>
  <c r="F122" i="8"/>
  <c r="C219" i="7"/>
  <c r="F218" i="7"/>
  <c r="E218" i="7"/>
  <c r="C123" i="6"/>
  <c r="F122" i="6"/>
  <c r="E122" i="6"/>
  <c r="F65" i="5"/>
  <c r="E65" i="5"/>
  <c r="C66" i="5"/>
  <c r="F55" i="4"/>
  <c r="E55" i="4"/>
  <c r="C56" i="4"/>
  <c r="F64" i="3"/>
  <c r="C65" i="3"/>
  <c r="E64" i="3"/>
  <c r="C125" i="1"/>
  <c r="F123" i="1"/>
  <c r="E123" i="1"/>
  <c r="C55" i="2" l="1"/>
  <c r="F54" i="2"/>
  <c r="E54" i="2"/>
  <c r="F60" i="19"/>
  <c r="C66" i="13"/>
  <c r="F65" i="13"/>
  <c r="E65" i="13"/>
  <c r="B70" i="12"/>
  <c r="E69" i="12"/>
  <c r="D69" i="12"/>
  <c r="E56" i="10"/>
  <c r="C57" i="10"/>
  <c r="F56" i="10"/>
  <c r="E123" i="9"/>
  <c r="C124" i="9"/>
  <c r="F123" i="9"/>
  <c r="E123" i="8"/>
  <c r="C124" i="8"/>
  <c r="F123" i="8"/>
  <c r="C220" i="7"/>
  <c r="F219" i="7"/>
  <c r="E219" i="7"/>
  <c r="F123" i="6"/>
  <c r="E123" i="6"/>
  <c r="C124" i="6"/>
  <c r="C67" i="5"/>
  <c r="E66" i="5"/>
  <c r="F66" i="5"/>
  <c r="C57" i="4"/>
  <c r="F56" i="4"/>
  <c r="E56" i="4"/>
  <c r="C66" i="3"/>
  <c r="F65" i="3"/>
  <c r="E65" i="3"/>
  <c r="C126" i="1"/>
  <c r="F125" i="1"/>
  <c r="E125" i="1"/>
  <c r="E55" i="2" l="1"/>
  <c r="F55" i="2"/>
  <c r="C56" i="2"/>
  <c r="F61" i="19"/>
  <c r="F66" i="13"/>
  <c r="E66" i="13"/>
  <c r="C67" i="13"/>
  <c r="B71" i="12"/>
  <c r="E70" i="12"/>
  <c r="D70" i="12"/>
  <c r="C58" i="10"/>
  <c r="F57" i="10"/>
  <c r="E57" i="10"/>
  <c r="C125" i="9"/>
  <c r="F124" i="9"/>
  <c r="E124" i="9"/>
  <c r="C125" i="8"/>
  <c r="F124" i="8"/>
  <c r="E124" i="8"/>
  <c r="C221" i="7"/>
  <c r="F220" i="7"/>
  <c r="E220" i="7"/>
  <c r="C125" i="6"/>
  <c r="F124" i="6"/>
  <c r="E124" i="6"/>
  <c r="F67" i="5"/>
  <c r="E67" i="5"/>
  <c r="C68" i="5"/>
  <c r="F57" i="4"/>
  <c r="E57" i="4"/>
  <c r="C58" i="4"/>
  <c r="E66" i="3"/>
  <c r="C67" i="3"/>
  <c r="F66" i="3"/>
  <c r="C127" i="1"/>
  <c r="F126" i="1"/>
  <c r="E126" i="1"/>
  <c r="E56" i="2" l="1"/>
  <c r="C57" i="2"/>
  <c r="F56" i="2"/>
  <c r="F62" i="19"/>
  <c r="C68" i="13"/>
  <c r="F67" i="13"/>
  <c r="E67" i="13"/>
  <c r="D71" i="12"/>
  <c r="B72" i="12"/>
  <c r="E71" i="12"/>
  <c r="E58" i="10"/>
  <c r="F58" i="10"/>
  <c r="C59" i="10"/>
  <c r="F125" i="9"/>
  <c r="E125" i="9"/>
  <c r="C126" i="9"/>
  <c r="E125" i="8"/>
  <c r="C126" i="8"/>
  <c r="F125" i="8"/>
  <c r="C222" i="7"/>
  <c r="F221" i="7"/>
  <c r="E221" i="7"/>
  <c r="F125" i="6"/>
  <c r="E125" i="6"/>
  <c r="C126" i="6"/>
  <c r="C69" i="5"/>
  <c r="E68" i="5"/>
  <c r="F68" i="5"/>
  <c r="E58" i="4"/>
  <c r="C59" i="4"/>
  <c r="F58" i="4"/>
  <c r="C68" i="3"/>
  <c r="F67" i="3"/>
  <c r="E67" i="3"/>
  <c r="C128" i="1"/>
  <c r="F127" i="1"/>
  <c r="E127" i="1"/>
  <c r="F57" i="2" l="1"/>
  <c r="E57" i="2"/>
  <c r="C58" i="2"/>
  <c r="F63" i="19"/>
  <c r="F68" i="13"/>
  <c r="E68" i="13"/>
  <c r="C69" i="13"/>
  <c r="B73" i="12"/>
  <c r="E72" i="12"/>
  <c r="D72" i="12"/>
  <c r="C60" i="10"/>
  <c r="F59" i="10"/>
  <c r="E59" i="10"/>
  <c r="C127" i="9"/>
  <c r="F126" i="9"/>
  <c r="E126" i="9"/>
  <c r="F126" i="8"/>
  <c r="E126" i="8"/>
  <c r="C127" i="8"/>
  <c r="C223" i="7"/>
  <c r="E222" i="7"/>
  <c r="F222" i="7"/>
  <c r="C127" i="6"/>
  <c r="F126" i="6"/>
  <c r="E126" i="6"/>
  <c r="F69" i="5"/>
  <c r="E69" i="5"/>
  <c r="C70" i="5"/>
  <c r="F59" i="4"/>
  <c r="E59" i="4"/>
  <c r="C60" i="4"/>
  <c r="C69" i="3"/>
  <c r="F68" i="3"/>
  <c r="E68" i="3"/>
  <c r="C129" i="1"/>
  <c r="F128" i="1"/>
  <c r="E128" i="1"/>
  <c r="C59" i="2" l="1"/>
  <c r="F58" i="2"/>
  <c r="E58" i="2"/>
  <c r="F64" i="19"/>
  <c r="C70" i="13"/>
  <c r="F69" i="13"/>
  <c r="E69" i="13"/>
  <c r="B74" i="12"/>
  <c r="E73" i="12"/>
  <c r="D73" i="12"/>
  <c r="E60" i="10"/>
  <c r="C61" i="10"/>
  <c r="F60" i="10"/>
  <c r="F127" i="9"/>
  <c r="E127" i="9"/>
  <c r="C128" i="9"/>
  <c r="E127" i="8"/>
  <c r="C128" i="8"/>
  <c r="F127" i="8"/>
  <c r="C224" i="7"/>
  <c r="F223" i="7"/>
  <c r="E223" i="7"/>
  <c r="F127" i="6"/>
  <c r="E127" i="6"/>
  <c r="C128" i="6"/>
  <c r="C71" i="5"/>
  <c r="E70" i="5"/>
  <c r="F70" i="5"/>
  <c r="F60" i="4"/>
  <c r="E60" i="4"/>
  <c r="C61" i="4"/>
  <c r="C70" i="3"/>
  <c r="E69" i="3"/>
  <c r="F69" i="3"/>
  <c r="C130" i="1"/>
  <c r="F129" i="1"/>
  <c r="E129" i="1"/>
  <c r="F59" i="2" l="1"/>
  <c r="E59" i="2"/>
  <c r="C60" i="2"/>
  <c r="F65" i="19"/>
  <c r="F70" i="13"/>
  <c r="E70" i="13"/>
  <c r="C71" i="13"/>
  <c r="B75" i="12"/>
  <c r="E74" i="12"/>
  <c r="D74" i="12"/>
  <c r="C62" i="10"/>
  <c r="E61" i="10"/>
  <c r="F61" i="10"/>
  <c r="E128" i="9"/>
  <c r="F128" i="9"/>
  <c r="C129" i="9"/>
  <c r="C129" i="8"/>
  <c r="F128" i="8"/>
  <c r="E128" i="8"/>
  <c r="C225" i="7"/>
  <c r="F224" i="7"/>
  <c r="E224" i="7"/>
  <c r="C129" i="6"/>
  <c r="F128" i="6"/>
  <c r="E128" i="6"/>
  <c r="F71" i="5"/>
  <c r="E71" i="5"/>
  <c r="C72" i="5"/>
  <c r="F61" i="4"/>
  <c r="E61" i="4"/>
  <c r="C62" i="4"/>
  <c r="E70" i="3"/>
  <c r="C71" i="3"/>
  <c r="F70" i="3"/>
  <c r="C131" i="1"/>
  <c r="F130" i="1"/>
  <c r="E130" i="1"/>
  <c r="F60" i="2" l="1"/>
  <c r="E60" i="2"/>
  <c r="C61" i="2"/>
  <c r="F66" i="19"/>
  <c r="C72" i="13"/>
  <c r="F71" i="13"/>
  <c r="E71" i="13"/>
  <c r="B76" i="12"/>
  <c r="E75" i="12"/>
  <c r="D75" i="12"/>
  <c r="E62" i="10"/>
  <c r="F62" i="10"/>
  <c r="C63" i="10"/>
  <c r="C130" i="9"/>
  <c r="F129" i="9"/>
  <c r="E129" i="9"/>
  <c r="E129" i="8"/>
  <c r="C130" i="8"/>
  <c r="F129" i="8"/>
  <c r="C226" i="7"/>
  <c r="F225" i="7"/>
  <c r="E225" i="7"/>
  <c r="F129" i="6"/>
  <c r="E129" i="6"/>
  <c r="C130" i="6"/>
  <c r="C73" i="5"/>
  <c r="E72" i="5"/>
  <c r="F72" i="5"/>
  <c r="C63" i="4"/>
  <c r="F62" i="4"/>
  <c r="E62" i="4"/>
  <c r="C72" i="3"/>
  <c r="E71" i="3"/>
  <c r="F71" i="3"/>
  <c r="C132" i="1"/>
  <c r="F131" i="1"/>
  <c r="E131" i="1"/>
  <c r="C62" i="2" l="1"/>
  <c r="E61" i="2"/>
  <c r="F61" i="2"/>
  <c r="F67" i="19"/>
  <c r="F72" i="13"/>
  <c r="E72" i="13"/>
  <c r="C73" i="13"/>
  <c r="E76" i="12"/>
  <c r="D76" i="12"/>
  <c r="B77" i="12"/>
  <c r="C64" i="10"/>
  <c r="F63" i="10"/>
  <c r="E63" i="10"/>
  <c r="E130" i="9"/>
  <c r="C131" i="9"/>
  <c r="F130" i="9"/>
  <c r="C131" i="8"/>
  <c r="F130" i="8"/>
  <c r="E130" i="8"/>
  <c r="C227" i="7"/>
  <c r="F226" i="7"/>
  <c r="E226" i="7"/>
  <c r="C131" i="6"/>
  <c r="F130" i="6"/>
  <c r="E130" i="6"/>
  <c r="F73" i="5"/>
  <c r="E73" i="5"/>
  <c r="C74" i="5"/>
  <c r="F63" i="4"/>
  <c r="E63" i="4"/>
  <c r="C64" i="4"/>
  <c r="F72" i="3"/>
  <c r="E72" i="3"/>
  <c r="C73" i="3"/>
  <c r="C133" i="1"/>
  <c r="F132" i="1"/>
  <c r="E132" i="1"/>
  <c r="F62" i="2" l="1"/>
  <c r="E62" i="2"/>
  <c r="C63" i="2"/>
  <c r="F68" i="19"/>
  <c r="C74" i="13"/>
  <c r="F73" i="13"/>
  <c r="E73" i="13"/>
  <c r="B78" i="12"/>
  <c r="E77" i="12"/>
  <c r="D77" i="12"/>
  <c r="E64" i="10"/>
  <c r="C65" i="10"/>
  <c r="F64" i="10"/>
  <c r="C132" i="9"/>
  <c r="F131" i="9"/>
  <c r="E131" i="9"/>
  <c r="E131" i="8"/>
  <c r="C132" i="8"/>
  <c r="F131" i="8"/>
  <c r="F227" i="7"/>
  <c r="E227" i="7"/>
  <c r="C228" i="7"/>
  <c r="F131" i="6"/>
  <c r="E131" i="6"/>
  <c r="C132" i="6"/>
  <c r="C75" i="5"/>
  <c r="E74" i="5"/>
  <c r="F74" i="5"/>
  <c r="C65" i="4"/>
  <c r="F64" i="4"/>
  <c r="E64" i="4"/>
  <c r="C74" i="3"/>
  <c r="F73" i="3"/>
  <c r="E73" i="3"/>
  <c r="C134" i="1"/>
  <c r="F133" i="1"/>
  <c r="E133" i="1"/>
  <c r="C64" i="2" l="1"/>
  <c r="F63" i="2"/>
  <c r="E63" i="2"/>
  <c r="F69" i="19"/>
  <c r="F74" i="13"/>
  <c r="E74" i="13"/>
  <c r="C75" i="13"/>
  <c r="B79" i="12"/>
  <c r="E78" i="12"/>
  <c r="D78" i="12"/>
  <c r="C66" i="10"/>
  <c r="F65" i="10"/>
  <c r="E65" i="10"/>
  <c r="E132" i="9"/>
  <c r="C133" i="9"/>
  <c r="F132" i="9"/>
  <c r="C133" i="8"/>
  <c r="F132" i="8"/>
  <c r="E132" i="8"/>
  <c r="C229" i="7"/>
  <c r="E228" i="7"/>
  <c r="F228" i="7"/>
  <c r="C133" i="6"/>
  <c r="F132" i="6"/>
  <c r="E132" i="6"/>
  <c r="F75" i="5"/>
  <c r="E75" i="5"/>
  <c r="C76" i="5"/>
  <c r="F65" i="4"/>
  <c r="E65" i="4"/>
  <c r="C66" i="4"/>
  <c r="F74" i="3"/>
  <c r="E74" i="3"/>
  <c r="C75" i="3"/>
  <c r="C135" i="1"/>
  <c r="F134" i="1"/>
  <c r="E134" i="1"/>
  <c r="F64" i="2" l="1"/>
  <c r="C65" i="2"/>
  <c r="E64" i="2"/>
  <c r="F70" i="19"/>
  <c r="C76" i="13"/>
  <c r="F75" i="13"/>
  <c r="E75" i="13"/>
  <c r="D79" i="12"/>
  <c r="B80" i="12"/>
  <c r="E79" i="12"/>
  <c r="E66" i="10"/>
  <c r="F66" i="10"/>
  <c r="C67" i="10"/>
  <c r="C134" i="9"/>
  <c r="F133" i="9"/>
  <c r="E133" i="9"/>
  <c r="E133" i="8"/>
  <c r="C134" i="8"/>
  <c r="F133" i="8"/>
  <c r="F229" i="7"/>
  <c r="E229" i="7"/>
  <c r="C230" i="7"/>
  <c r="F133" i="6"/>
  <c r="E133" i="6"/>
  <c r="C134" i="6"/>
  <c r="C77" i="5"/>
  <c r="E76" i="5"/>
  <c r="F76" i="5"/>
  <c r="F66" i="4"/>
  <c r="E66" i="4"/>
  <c r="C67" i="4"/>
  <c r="C76" i="3"/>
  <c r="E75" i="3"/>
  <c r="F75" i="3"/>
  <c r="C136" i="1"/>
  <c r="F135" i="1"/>
  <c r="E135" i="1"/>
  <c r="F65" i="2" l="1"/>
  <c r="C66" i="2"/>
  <c r="E65" i="2"/>
  <c r="F71" i="19"/>
  <c r="F76" i="13"/>
  <c r="E76" i="13"/>
  <c r="C77" i="13"/>
  <c r="B81" i="12"/>
  <c r="E80" i="12"/>
  <c r="D80" i="12"/>
  <c r="C68" i="10"/>
  <c r="F67" i="10"/>
  <c r="E67" i="10"/>
  <c r="E134" i="9"/>
  <c r="C135" i="9"/>
  <c r="F134" i="9"/>
  <c r="E134" i="8"/>
  <c r="C135" i="8"/>
  <c r="F134" i="8"/>
  <c r="C231" i="7"/>
  <c r="F230" i="7"/>
  <c r="E230" i="7"/>
  <c r="C135" i="6"/>
  <c r="F134" i="6"/>
  <c r="E134" i="6"/>
  <c r="F77" i="5"/>
  <c r="E77" i="5"/>
  <c r="C78" i="5"/>
  <c r="F67" i="4"/>
  <c r="E67" i="4"/>
  <c r="C68" i="4"/>
  <c r="C77" i="3"/>
  <c r="F76" i="3"/>
  <c r="E76" i="3"/>
  <c r="C137" i="1"/>
  <c r="F136" i="1"/>
  <c r="E136" i="1"/>
  <c r="F66" i="2" l="1"/>
  <c r="E66" i="2"/>
  <c r="C67" i="2"/>
  <c r="F72" i="19"/>
  <c r="C78" i="13"/>
  <c r="F77" i="13"/>
  <c r="E77" i="13"/>
  <c r="B82" i="12"/>
  <c r="E81" i="12"/>
  <c r="D81" i="12"/>
  <c r="E68" i="10"/>
  <c r="C69" i="10"/>
  <c r="F68" i="10"/>
  <c r="C136" i="9"/>
  <c r="F135" i="9"/>
  <c r="E135" i="9"/>
  <c r="E135" i="8"/>
  <c r="C136" i="8"/>
  <c r="F135" i="8"/>
  <c r="C232" i="7"/>
  <c r="F231" i="7"/>
  <c r="E231" i="7"/>
  <c r="F135" i="6"/>
  <c r="E135" i="6"/>
  <c r="C136" i="6"/>
  <c r="C79" i="5"/>
  <c r="E78" i="5"/>
  <c r="F78" i="5"/>
  <c r="F68" i="4"/>
  <c r="C69" i="4"/>
  <c r="E68" i="4"/>
  <c r="C78" i="3"/>
  <c r="F77" i="3"/>
  <c r="E77" i="3"/>
  <c r="C138" i="1"/>
  <c r="F137" i="1"/>
  <c r="E137" i="1"/>
  <c r="C68" i="2" l="1"/>
  <c r="E67" i="2"/>
  <c r="F67" i="2"/>
  <c r="F73" i="19"/>
  <c r="F78" i="13"/>
  <c r="E78" i="13"/>
  <c r="C79" i="13"/>
  <c r="B83" i="12"/>
  <c r="E82" i="12"/>
  <c r="D82" i="12"/>
  <c r="C70" i="10"/>
  <c r="E69" i="10"/>
  <c r="F69" i="10"/>
  <c r="E136" i="9"/>
  <c r="C137" i="9"/>
  <c r="F136" i="9"/>
  <c r="E136" i="8"/>
  <c r="C137" i="8"/>
  <c r="F136" i="8"/>
  <c r="F232" i="7"/>
  <c r="E232" i="7"/>
  <c r="C233" i="7"/>
  <c r="C137" i="6"/>
  <c r="F136" i="6"/>
  <c r="E136" i="6"/>
  <c r="F79" i="5"/>
  <c r="E79" i="5"/>
  <c r="C80" i="5"/>
  <c r="F69" i="4"/>
  <c r="E69" i="4"/>
  <c r="C70" i="4"/>
  <c r="E78" i="3"/>
  <c r="C79" i="3"/>
  <c r="F78" i="3"/>
  <c r="C139" i="1"/>
  <c r="F138" i="1"/>
  <c r="E138" i="1"/>
  <c r="F68" i="2" l="1"/>
  <c r="C69" i="2"/>
  <c r="E68" i="2"/>
  <c r="F74" i="19"/>
  <c r="C80" i="13"/>
  <c r="F79" i="13"/>
  <c r="E79" i="13"/>
  <c r="B84" i="12"/>
  <c r="E83" i="12"/>
  <c r="D83" i="12"/>
  <c r="E70" i="10"/>
  <c r="F70" i="10"/>
  <c r="C71" i="10"/>
  <c r="C138" i="9"/>
  <c r="E137" i="9"/>
  <c r="F137" i="9"/>
  <c r="E137" i="8"/>
  <c r="F137" i="8"/>
  <c r="C138" i="8"/>
  <c r="C234" i="7"/>
  <c r="F233" i="7"/>
  <c r="E233" i="7"/>
  <c r="F137" i="6"/>
  <c r="E137" i="6"/>
  <c r="C138" i="6"/>
  <c r="C81" i="5"/>
  <c r="E80" i="5"/>
  <c r="F80" i="5"/>
  <c r="F70" i="4"/>
  <c r="C71" i="4"/>
  <c r="E70" i="4"/>
  <c r="C80" i="3"/>
  <c r="E79" i="3"/>
  <c r="F79" i="3"/>
  <c r="C140" i="1"/>
  <c r="F139" i="1"/>
  <c r="E139" i="1"/>
  <c r="F69" i="2" l="1"/>
  <c r="E69" i="2"/>
  <c r="C70" i="2"/>
  <c r="F75" i="19"/>
  <c r="F80" i="13"/>
  <c r="E80" i="13"/>
  <c r="C81" i="13"/>
  <c r="E84" i="12"/>
  <c r="D84" i="12"/>
  <c r="B85" i="12"/>
  <c r="C72" i="10"/>
  <c r="F71" i="10"/>
  <c r="E71" i="10"/>
  <c r="E138" i="9"/>
  <c r="C139" i="9"/>
  <c r="F138" i="9"/>
  <c r="C139" i="8"/>
  <c r="F138" i="8"/>
  <c r="E138" i="8"/>
  <c r="E234" i="7"/>
  <c r="C235" i="7"/>
  <c r="F234" i="7"/>
  <c r="C139" i="6"/>
  <c r="F138" i="6"/>
  <c r="E138" i="6"/>
  <c r="F81" i="5"/>
  <c r="E81" i="5"/>
  <c r="C82" i="5"/>
  <c r="F71" i="4"/>
  <c r="E71" i="4"/>
  <c r="C72" i="4"/>
  <c r="F80" i="3"/>
  <c r="C81" i="3"/>
  <c r="E80" i="3"/>
  <c r="E140" i="1"/>
  <c r="C141" i="1"/>
  <c r="F140" i="1"/>
  <c r="C71" i="2" l="1"/>
  <c r="F70" i="2"/>
  <c r="E70" i="2"/>
  <c r="F76" i="19"/>
  <c r="C82" i="13"/>
  <c r="F81" i="13"/>
  <c r="E81" i="13"/>
  <c r="B86" i="12"/>
  <c r="E85" i="12"/>
  <c r="D85" i="12"/>
  <c r="E72" i="10"/>
  <c r="C73" i="10"/>
  <c r="F72" i="10"/>
  <c r="C140" i="9"/>
  <c r="F139" i="9"/>
  <c r="E139" i="9"/>
  <c r="E139" i="8"/>
  <c r="F139" i="8"/>
  <c r="C140" i="8"/>
  <c r="F235" i="7"/>
  <c r="E235" i="7"/>
  <c r="C236" i="7"/>
  <c r="F139" i="6"/>
  <c r="E139" i="6"/>
  <c r="C140" i="6"/>
  <c r="C83" i="5"/>
  <c r="E82" i="5"/>
  <c r="F82" i="5"/>
  <c r="F72" i="4"/>
  <c r="E72" i="4"/>
  <c r="C73" i="4"/>
  <c r="C82" i="3"/>
  <c r="F81" i="3"/>
  <c r="E81" i="3"/>
  <c r="C142" i="1"/>
  <c r="F141" i="1"/>
  <c r="E141" i="1"/>
  <c r="E71" i="2" l="1"/>
  <c r="F71" i="2"/>
  <c r="C72" i="2"/>
  <c r="F77" i="19"/>
  <c r="F82" i="13"/>
  <c r="E82" i="13"/>
  <c r="C83" i="13"/>
  <c r="B87" i="12"/>
  <c r="E86" i="12"/>
  <c r="D86" i="12"/>
  <c r="C74" i="10"/>
  <c r="E73" i="10"/>
  <c r="F73" i="10"/>
  <c r="E140" i="9"/>
  <c r="F140" i="9"/>
  <c r="C141" i="9"/>
  <c r="E140" i="8"/>
  <c r="C141" i="8"/>
  <c r="F140" i="8"/>
  <c r="C237" i="7"/>
  <c r="E236" i="7"/>
  <c r="F236" i="7"/>
  <c r="C141" i="6"/>
  <c r="F140" i="6"/>
  <c r="E140" i="6"/>
  <c r="C84" i="5"/>
  <c r="F83" i="5"/>
  <c r="E83" i="5"/>
  <c r="F73" i="4"/>
  <c r="E73" i="4"/>
  <c r="C74" i="4"/>
  <c r="C83" i="3"/>
  <c r="F82" i="3"/>
  <c r="E82" i="3"/>
  <c r="F142" i="1"/>
  <c r="E142" i="1"/>
  <c r="C143" i="1"/>
  <c r="F72" i="2" l="1"/>
  <c r="E72" i="2"/>
  <c r="C73" i="2"/>
  <c r="F78" i="19"/>
  <c r="C84" i="13"/>
  <c r="F83" i="13"/>
  <c r="E83" i="13"/>
  <c r="D87" i="12"/>
  <c r="B88" i="12"/>
  <c r="E87" i="12"/>
  <c r="E74" i="10"/>
  <c r="C75" i="10"/>
  <c r="F74" i="10"/>
  <c r="C142" i="9"/>
  <c r="E141" i="9"/>
  <c r="F141" i="9"/>
  <c r="E141" i="8"/>
  <c r="C142" i="8"/>
  <c r="F141" i="8"/>
  <c r="F237" i="7"/>
  <c r="E237" i="7"/>
  <c r="C238" i="7"/>
  <c r="F141" i="6"/>
  <c r="E141" i="6"/>
  <c r="C142" i="6"/>
  <c r="F84" i="5"/>
  <c r="C85" i="5"/>
  <c r="E84" i="5"/>
  <c r="F74" i="4"/>
  <c r="C75" i="4"/>
  <c r="E74" i="4"/>
  <c r="C84" i="3"/>
  <c r="F83" i="3"/>
  <c r="E83" i="3"/>
  <c r="F143" i="1"/>
  <c r="C144" i="1"/>
  <c r="E143" i="1"/>
  <c r="F73" i="2" l="1"/>
  <c r="C74" i="2"/>
  <c r="E73" i="2"/>
  <c r="F79" i="19"/>
  <c r="F84" i="13"/>
  <c r="E84" i="13"/>
  <c r="C85" i="13"/>
  <c r="B89" i="12"/>
  <c r="E88" i="12"/>
  <c r="D88" i="12"/>
  <c r="C76" i="10"/>
  <c r="E75" i="10"/>
  <c r="F75" i="10"/>
  <c r="E142" i="9"/>
  <c r="C143" i="9"/>
  <c r="F142" i="9"/>
  <c r="E142" i="8"/>
  <c r="C143" i="8"/>
  <c r="F142" i="8"/>
  <c r="C239" i="7"/>
  <c r="F238" i="7"/>
  <c r="E238" i="7"/>
  <c r="C143" i="6"/>
  <c r="F142" i="6"/>
  <c r="E142" i="6"/>
  <c r="C86" i="5"/>
  <c r="F85" i="5"/>
  <c r="E85" i="5"/>
  <c r="F75" i="4"/>
  <c r="E75" i="4"/>
  <c r="C76" i="4"/>
  <c r="C85" i="3"/>
  <c r="F84" i="3"/>
  <c r="E84" i="3"/>
  <c r="C145" i="1"/>
  <c r="F144" i="1"/>
  <c r="E144" i="1"/>
  <c r="F74" i="2" l="1"/>
  <c r="C75" i="2"/>
  <c r="E74" i="2"/>
  <c r="F80" i="19"/>
  <c r="C86" i="13"/>
  <c r="F85" i="13"/>
  <c r="E85" i="13"/>
  <c r="B90" i="12"/>
  <c r="E89" i="12"/>
  <c r="D89" i="12"/>
  <c r="E76" i="10"/>
  <c r="F76" i="10"/>
  <c r="C77" i="10"/>
  <c r="C144" i="9"/>
  <c r="F143" i="9"/>
  <c r="E143" i="9"/>
  <c r="E143" i="8"/>
  <c r="F143" i="8"/>
  <c r="C144" i="8"/>
  <c r="C240" i="7"/>
  <c r="F239" i="7"/>
  <c r="E239" i="7"/>
  <c r="F143" i="6"/>
  <c r="E143" i="6"/>
  <c r="C144" i="6"/>
  <c r="E86" i="5"/>
  <c r="C87" i="5"/>
  <c r="F86" i="5"/>
  <c r="F76" i="4"/>
  <c r="E76" i="4"/>
  <c r="C77" i="4"/>
  <c r="C86" i="3"/>
  <c r="F85" i="3"/>
  <c r="E85" i="3"/>
  <c r="F145" i="1"/>
  <c r="C146" i="1"/>
  <c r="E145" i="1"/>
  <c r="E75" i="2" l="1"/>
  <c r="F75" i="2"/>
  <c r="C76" i="2"/>
  <c r="F81" i="19"/>
  <c r="F86" i="13"/>
  <c r="E86" i="13"/>
  <c r="C87" i="13"/>
  <c r="B91" i="12"/>
  <c r="E90" i="12"/>
  <c r="D90" i="12"/>
  <c r="C78" i="10"/>
  <c r="F77" i="10"/>
  <c r="E77" i="10"/>
  <c r="E144" i="9"/>
  <c r="F144" i="9"/>
  <c r="C145" i="9"/>
  <c r="E144" i="8"/>
  <c r="C145" i="8"/>
  <c r="F144" i="8"/>
  <c r="F240" i="7"/>
  <c r="E240" i="7"/>
  <c r="C241" i="7"/>
  <c r="C145" i="6"/>
  <c r="F144" i="6"/>
  <c r="E144" i="6"/>
  <c r="C88" i="5"/>
  <c r="F87" i="5"/>
  <c r="E87" i="5"/>
  <c r="F77" i="4"/>
  <c r="E77" i="4"/>
  <c r="C78" i="4"/>
  <c r="E86" i="3"/>
  <c r="F86" i="3"/>
  <c r="C87" i="3"/>
  <c r="C147" i="1"/>
  <c r="F146" i="1"/>
  <c r="E146" i="1"/>
  <c r="C77" i="2" l="1"/>
  <c r="E76" i="2"/>
  <c r="F76" i="2"/>
  <c r="F82" i="19"/>
  <c r="C88" i="13"/>
  <c r="F87" i="13"/>
  <c r="E87" i="13"/>
  <c r="B92" i="12"/>
  <c r="E91" i="12"/>
  <c r="D91" i="12"/>
  <c r="E78" i="10"/>
  <c r="F78" i="10"/>
  <c r="C79" i="10"/>
  <c r="C146" i="9"/>
  <c r="F145" i="9"/>
  <c r="E145" i="9"/>
  <c r="E145" i="8"/>
  <c r="C146" i="8"/>
  <c r="F145" i="8"/>
  <c r="C242" i="7"/>
  <c r="F241" i="7"/>
  <c r="E241" i="7"/>
  <c r="F145" i="6"/>
  <c r="E145" i="6"/>
  <c r="C146" i="6"/>
  <c r="F88" i="5"/>
  <c r="E88" i="5"/>
  <c r="C89" i="5"/>
  <c r="F78" i="4"/>
  <c r="C79" i="4"/>
  <c r="E78" i="4"/>
  <c r="C88" i="3"/>
  <c r="E87" i="3"/>
  <c r="F87" i="3"/>
  <c r="F147" i="1"/>
  <c r="C148" i="1"/>
  <c r="E147" i="1"/>
  <c r="C78" i="2" l="1"/>
  <c r="F77" i="2"/>
  <c r="E77" i="2"/>
  <c r="F83" i="19"/>
  <c r="F88" i="13"/>
  <c r="E88" i="13"/>
  <c r="C89" i="13"/>
  <c r="E92" i="12"/>
  <c r="D92" i="12"/>
  <c r="B93" i="12"/>
  <c r="C80" i="10"/>
  <c r="F79" i="10"/>
  <c r="E79" i="10"/>
  <c r="E146" i="9"/>
  <c r="C147" i="9"/>
  <c r="F146" i="9"/>
  <c r="E146" i="8"/>
  <c r="C147" i="8"/>
  <c r="F146" i="8"/>
  <c r="E242" i="7"/>
  <c r="C243" i="7"/>
  <c r="F242" i="7"/>
  <c r="C147" i="6"/>
  <c r="F146" i="6"/>
  <c r="E146" i="6"/>
  <c r="C90" i="5"/>
  <c r="E89" i="5"/>
  <c r="F89" i="5"/>
  <c r="F79" i="4"/>
  <c r="E79" i="4"/>
  <c r="C80" i="4"/>
  <c r="F88" i="3"/>
  <c r="C89" i="3"/>
  <c r="E88" i="3"/>
  <c r="C149" i="1"/>
  <c r="F148" i="1"/>
  <c r="E148" i="1"/>
  <c r="C79" i="2" l="1"/>
  <c r="F78" i="2"/>
  <c r="E78" i="2"/>
  <c r="F84" i="19"/>
  <c r="C90" i="13"/>
  <c r="F89" i="13"/>
  <c r="E89" i="13"/>
  <c r="B94" i="12"/>
  <c r="E93" i="12"/>
  <c r="D93" i="12"/>
  <c r="E80" i="10"/>
  <c r="C81" i="10"/>
  <c r="F80" i="10"/>
  <c r="C148" i="9"/>
  <c r="E147" i="9"/>
  <c r="F147" i="9"/>
  <c r="E147" i="8"/>
  <c r="F147" i="8"/>
  <c r="C148" i="8"/>
  <c r="F243" i="7"/>
  <c r="E243" i="7"/>
  <c r="C244" i="7"/>
  <c r="F147" i="6"/>
  <c r="E147" i="6"/>
  <c r="C148" i="6"/>
  <c r="F90" i="5"/>
  <c r="E90" i="5"/>
  <c r="C91" i="5"/>
  <c r="F80" i="4"/>
  <c r="C81" i="4"/>
  <c r="E80" i="4"/>
  <c r="C90" i="3"/>
  <c r="F89" i="3"/>
  <c r="E89" i="3"/>
  <c r="F149" i="1"/>
  <c r="C150" i="1"/>
  <c r="E149" i="1"/>
  <c r="F79" i="2" l="1"/>
  <c r="C80" i="2"/>
  <c r="E79" i="2"/>
  <c r="F85" i="19"/>
  <c r="F90" i="13"/>
  <c r="E90" i="13"/>
  <c r="C91" i="13"/>
  <c r="B95" i="12"/>
  <c r="E94" i="12"/>
  <c r="D94" i="12"/>
  <c r="C82" i="10"/>
  <c r="F81" i="10"/>
  <c r="E81" i="10"/>
  <c r="E148" i="9"/>
  <c r="F148" i="9"/>
  <c r="C149" i="9"/>
  <c r="E148" i="8"/>
  <c r="C149" i="8"/>
  <c r="F148" i="8"/>
  <c r="C245" i="7"/>
  <c r="E244" i="7"/>
  <c r="F244" i="7"/>
  <c r="C149" i="6"/>
  <c r="F148" i="6"/>
  <c r="E148" i="6"/>
  <c r="C92" i="5"/>
  <c r="E91" i="5"/>
  <c r="F91" i="5"/>
  <c r="F81" i="4"/>
  <c r="E81" i="4"/>
  <c r="C82" i="4"/>
  <c r="E90" i="3"/>
  <c r="C91" i="3"/>
  <c r="F90" i="3"/>
  <c r="F150" i="1"/>
  <c r="E150" i="1"/>
  <c r="C151" i="1"/>
  <c r="F80" i="2" l="1"/>
  <c r="C81" i="2"/>
  <c r="E80" i="2"/>
  <c r="F86" i="19"/>
  <c r="C92" i="13"/>
  <c r="F91" i="13"/>
  <c r="E91" i="13"/>
  <c r="D95" i="12"/>
  <c r="B96" i="12"/>
  <c r="E95" i="12"/>
  <c r="E82" i="10"/>
  <c r="C83" i="10"/>
  <c r="F82" i="10"/>
  <c r="C150" i="9"/>
  <c r="F149" i="9"/>
  <c r="E149" i="9"/>
  <c r="E149" i="8"/>
  <c r="C150" i="8"/>
  <c r="F149" i="8"/>
  <c r="F245" i="7"/>
  <c r="E245" i="7"/>
  <c r="C246" i="7"/>
  <c r="F149" i="6"/>
  <c r="E149" i="6"/>
  <c r="C150" i="6"/>
  <c r="C93" i="5"/>
  <c r="F92" i="5"/>
  <c r="E92" i="5"/>
  <c r="F82" i="4"/>
  <c r="E82" i="4"/>
  <c r="C83" i="4"/>
  <c r="C92" i="3"/>
  <c r="F91" i="3"/>
  <c r="E91" i="3"/>
  <c r="F151" i="1"/>
  <c r="C152" i="1"/>
  <c r="E151" i="1"/>
  <c r="C82" i="2" l="1"/>
  <c r="E81" i="2"/>
  <c r="F81" i="2"/>
  <c r="F87" i="19"/>
  <c r="F92" i="13"/>
  <c r="E92" i="13"/>
  <c r="C93" i="13"/>
  <c r="B97" i="12"/>
  <c r="E96" i="12"/>
  <c r="D96" i="12"/>
  <c r="C84" i="10"/>
  <c r="F83" i="10"/>
  <c r="E83" i="10"/>
  <c r="E150" i="9"/>
  <c r="C151" i="9"/>
  <c r="F150" i="9"/>
  <c r="E150" i="8"/>
  <c r="C151" i="8"/>
  <c r="F150" i="8"/>
  <c r="C247" i="7"/>
  <c r="F246" i="7"/>
  <c r="E246" i="7"/>
  <c r="C151" i="6"/>
  <c r="F150" i="6"/>
  <c r="E150" i="6"/>
  <c r="C94" i="5"/>
  <c r="F93" i="5"/>
  <c r="E93" i="5"/>
  <c r="F83" i="4"/>
  <c r="E83" i="4"/>
  <c r="C84" i="4"/>
  <c r="F92" i="3"/>
  <c r="C93" i="3"/>
  <c r="E92" i="3"/>
  <c r="C153" i="1"/>
  <c r="F152" i="1"/>
  <c r="E152" i="1"/>
  <c r="F82" i="2" l="1"/>
  <c r="C83" i="2"/>
  <c r="E82" i="2"/>
  <c r="F88" i="19"/>
  <c r="C94" i="13"/>
  <c r="F93" i="13"/>
  <c r="E93" i="13"/>
  <c r="B98" i="12"/>
  <c r="E97" i="12"/>
  <c r="D97" i="12"/>
  <c r="E84" i="10"/>
  <c r="C85" i="10"/>
  <c r="F84" i="10"/>
  <c r="C152" i="9"/>
  <c r="E151" i="9"/>
  <c r="F151" i="9"/>
  <c r="E151" i="8"/>
  <c r="C152" i="8"/>
  <c r="F151" i="8"/>
  <c r="C248" i="7"/>
  <c r="F247" i="7"/>
  <c r="E247" i="7"/>
  <c r="C152" i="6"/>
  <c r="F151" i="6"/>
  <c r="E151" i="6"/>
  <c r="C95" i="5"/>
  <c r="F94" i="5"/>
  <c r="E94" i="5"/>
  <c r="F84" i="4"/>
  <c r="C85" i="4"/>
  <c r="E84" i="4"/>
  <c r="C94" i="3"/>
  <c r="F93" i="3"/>
  <c r="E93" i="3"/>
  <c r="F153" i="1"/>
  <c r="C154" i="1"/>
  <c r="E153" i="1"/>
  <c r="C84" i="2" l="1"/>
  <c r="E83" i="2"/>
  <c r="F83" i="2"/>
  <c r="F89" i="19"/>
  <c r="F94" i="13"/>
  <c r="E94" i="13"/>
  <c r="C95" i="13"/>
  <c r="B99" i="12"/>
  <c r="E98" i="12"/>
  <c r="D98" i="12"/>
  <c r="C86" i="10"/>
  <c r="F85" i="10"/>
  <c r="E85" i="10"/>
  <c r="E152" i="9"/>
  <c r="F152" i="9"/>
  <c r="C153" i="9"/>
  <c r="E152" i="8"/>
  <c r="F152" i="8"/>
  <c r="C153" i="8"/>
  <c r="F248" i="7"/>
  <c r="E248" i="7"/>
  <c r="C249" i="7"/>
  <c r="C153" i="6"/>
  <c r="F152" i="6"/>
  <c r="E152" i="6"/>
  <c r="C96" i="5"/>
  <c r="E95" i="5"/>
  <c r="F95" i="5"/>
  <c r="F85" i="4"/>
  <c r="E85" i="4"/>
  <c r="C86" i="4"/>
  <c r="E94" i="3"/>
  <c r="F94" i="3"/>
  <c r="C95" i="3"/>
  <c r="C155" i="1"/>
  <c r="F154" i="1"/>
  <c r="E154" i="1"/>
  <c r="F84" i="2" l="1"/>
  <c r="E84" i="2"/>
  <c r="C85" i="2"/>
  <c r="F90" i="19"/>
  <c r="C96" i="13"/>
  <c r="F95" i="13"/>
  <c r="E95" i="13"/>
  <c r="B100" i="12"/>
  <c r="E99" i="12"/>
  <c r="D99" i="12"/>
  <c r="E86" i="10"/>
  <c r="C87" i="10"/>
  <c r="F86" i="10"/>
  <c r="C154" i="9"/>
  <c r="F153" i="9"/>
  <c r="E153" i="9"/>
  <c r="E153" i="8"/>
  <c r="C154" i="8"/>
  <c r="F153" i="8"/>
  <c r="C250" i="7"/>
  <c r="F249" i="7"/>
  <c r="E249" i="7"/>
  <c r="C154" i="6"/>
  <c r="F153" i="6"/>
  <c r="E153" i="6"/>
  <c r="C97" i="5"/>
  <c r="F96" i="5"/>
  <c r="E96" i="5"/>
  <c r="F86" i="4"/>
  <c r="C87" i="4"/>
  <c r="E86" i="4"/>
  <c r="C96" i="3"/>
  <c r="E95" i="3"/>
  <c r="F95" i="3"/>
  <c r="F155" i="1"/>
  <c r="C156" i="1"/>
  <c r="E155" i="1"/>
  <c r="C86" i="2" l="1"/>
  <c r="F85" i="2"/>
  <c r="E85" i="2"/>
  <c r="F91" i="19"/>
  <c r="F96" i="13"/>
  <c r="E96" i="13"/>
  <c r="C97" i="13"/>
  <c r="E100" i="12"/>
  <c r="D100" i="12"/>
  <c r="B101" i="12"/>
  <c r="C88" i="10"/>
  <c r="F87" i="10"/>
  <c r="E87" i="10"/>
  <c r="E154" i="9"/>
  <c r="C155" i="9"/>
  <c r="F154" i="9"/>
  <c r="E154" i="8"/>
  <c r="F154" i="8"/>
  <c r="C155" i="8"/>
  <c r="E250" i="7"/>
  <c r="C251" i="7"/>
  <c r="F250" i="7"/>
  <c r="C155" i="6"/>
  <c r="E154" i="6"/>
  <c r="F154" i="6"/>
  <c r="C98" i="5"/>
  <c r="F97" i="5"/>
  <c r="E97" i="5"/>
  <c r="F87" i="4"/>
  <c r="E87" i="4"/>
  <c r="C88" i="4"/>
  <c r="C97" i="3"/>
  <c r="F96" i="3"/>
  <c r="E96" i="3"/>
  <c r="C157" i="1"/>
  <c r="F156" i="1"/>
  <c r="E156" i="1"/>
  <c r="F86" i="2" l="1"/>
  <c r="C87" i="2"/>
  <c r="E86" i="2"/>
  <c r="F92" i="19"/>
  <c r="C98" i="13"/>
  <c r="F97" i="13"/>
  <c r="E97" i="13"/>
  <c r="B102" i="12"/>
  <c r="E101" i="12"/>
  <c r="D101" i="12"/>
  <c r="E88" i="10"/>
  <c r="C89" i="10"/>
  <c r="F88" i="10"/>
  <c r="C156" i="9"/>
  <c r="E155" i="9"/>
  <c r="F155" i="9"/>
  <c r="E155" i="8"/>
  <c r="C156" i="8"/>
  <c r="F155" i="8"/>
  <c r="F251" i="7"/>
  <c r="E251" i="7"/>
  <c r="C252" i="7"/>
  <c r="C156" i="6"/>
  <c r="F155" i="6"/>
  <c r="E155" i="6"/>
  <c r="C99" i="5"/>
  <c r="E98" i="5"/>
  <c r="F98" i="5"/>
  <c r="F88" i="4"/>
  <c r="E88" i="4"/>
  <c r="C89" i="4"/>
  <c r="C98" i="3"/>
  <c r="F97" i="3"/>
  <c r="E97" i="3"/>
  <c r="F157" i="1"/>
  <c r="C158" i="1"/>
  <c r="E157" i="1"/>
  <c r="E87" i="2" l="1"/>
  <c r="F87" i="2"/>
  <c r="C88" i="2"/>
  <c r="F93" i="19"/>
  <c r="F98" i="13"/>
  <c r="E98" i="13"/>
  <c r="C99" i="13"/>
  <c r="B103" i="12"/>
  <c r="E102" i="12"/>
  <c r="D102" i="12"/>
  <c r="C90" i="10"/>
  <c r="E89" i="10"/>
  <c r="F89" i="10"/>
  <c r="E156" i="9"/>
  <c r="F156" i="9"/>
  <c r="C157" i="9"/>
  <c r="E156" i="8"/>
  <c r="C157" i="8"/>
  <c r="F156" i="8"/>
  <c r="C253" i="7"/>
  <c r="E252" i="7"/>
  <c r="F252" i="7"/>
  <c r="C157" i="6"/>
  <c r="F156" i="6"/>
  <c r="E156" i="6"/>
  <c r="C100" i="5"/>
  <c r="F99" i="5"/>
  <c r="E99" i="5"/>
  <c r="F89" i="4"/>
  <c r="E89" i="4"/>
  <c r="C90" i="4"/>
  <c r="F98" i="3"/>
  <c r="E98" i="3"/>
  <c r="C99" i="3"/>
  <c r="F158" i="1"/>
  <c r="E158" i="1"/>
  <c r="C159" i="1"/>
  <c r="F88" i="2" l="1"/>
  <c r="C89" i="2"/>
  <c r="E88" i="2"/>
  <c r="F94" i="19"/>
  <c r="C100" i="13"/>
  <c r="F99" i="13"/>
  <c r="E99" i="13"/>
  <c r="D103" i="12"/>
  <c r="B104" i="12"/>
  <c r="E103" i="12"/>
  <c r="E90" i="10"/>
  <c r="C91" i="10"/>
  <c r="F90" i="10"/>
  <c r="C158" i="9"/>
  <c r="F157" i="9"/>
  <c r="E157" i="9"/>
  <c r="E157" i="8"/>
  <c r="C158" i="8"/>
  <c r="F157" i="8"/>
  <c r="F253" i="7"/>
  <c r="E253" i="7"/>
  <c r="C254" i="7"/>
  <c r="C158" i="6"/>
  <c r="F157" i="6"/>
  <c r="E157" i="6"/>
  <c r="F100" i="5"/>
  <c r="C101" i="5"/>
  <c r="E100" i="5"/>
  <c r="F90" i="4"/>
  <c r="C91" i="4"/>
  <c r="E90" i="4"/>
  <c r="C100" i="3"/>
  <c r="E99" i="3"/>
  <c r="F99" i="3"/>
  <c r="F159" i="1"/>
  <c r="C160" i="1"/>
  <c r="E159" i="1"/>
  <c r="F89" i="2" l="1"/>
  <c r="C90" i="2"/>
  <c r="E89" i="2"/>
  <c r="F95" i="19"/>
  <c r="F100" i="13"/>
  <c r="E100" i="13"/>
  <c r="C101" i="13"/>
  <c r="B105" i="12"/>
  <c r="E104" i="12"/>
  <c r="D104" i="12"/>
  <c r="C92" i="10"/>
  <c r="E91" i="10"/>
  <c r="F91" i="10"/>
  <c r="E158" i="9"/>
  <c r="C159" i="9"/>
  <c r="F158" i="9"/>
  <c r="E158" i="8"/>
  <c r="C159" i="8"/>
  <c r="F158" i="8"/>
  <c r="C255" i="7"/>
  <c r="F254" i="7"/>
  <c r="E254" i="7"/>
  <c r="C159" i="6"/>
  <c r="F158" i="6"/>
  <c r="E158" i="6"/>
  <c r="C102" i="5"/>
  <c r="F101" i="5"/>
  <c r="E101" i="5"/>
  <c r="F91" i="4"/>
  <c r="E91" i="4"/>
  <c r="C92" i="4"/>
  <c r="C101" i="3"/>
  <c r="F100" i="3"/>
  <c r="E100" i="3"/>
  <c r="C161" i="1"/>
  <c r="F160" i="1"/>
  <c r="E160" i="1"/>
  <c r="F90" i="2" l="1"/>
  <c r="C91" i="2"/>
  <c r="E90" i="2"/>
  <c r="F96" i="19"/>
  <c r="C102" i="13"/>
  <c r="F101" i="13"/>
  <c r="E101" i="13"/>
  <c r="B106" i="12"/>
  <c r="E105" i="12"/>
  <c r="D105" i="12"/>
  <c r="E92" i="10"/>
  <c r="F92" i="10"/>
  <c r="C93" i="10"/>
  <c r="C160" i="9"/>
  <c r="E159" i="9"/>
  <c r="F159" i="9"/>
  <c r="E159" i="8"/>
  <c r="C160" i="8"/>
  <c r="F159" i="8"/>
  <c r="C256" i="7"/>
  <c r="F255" i="7"/>
  <c r="E255" i="7"/>
  <c r="C160" i="6"/>
  <c r="F159" i="6"/>
  <c r="E159" i="6"/>
  <c r="E102" i="5"/>
  <c r="C103" i="5"/>
  <c r="F102" i="5"/>
  <c r="F92" i="4"/>
  <c r="E92" i="4"/>
  <c r="C93" i="4"/>
  <c r="C102" i="3"/>
  <c r="F101" i="3"/>
  <c r="E101" i="3"/>
  <c r="F161" i="1"/>
  <c r="C162" i="1"/>
  <c r="E161" i="1"/>
  <c r="F91" i="2" l="1"/>
  <c r="E91" i="2"/>
  <c r="C92" i="2"/>
  <c r="F97" i="19"/>
  <c r="F102" i="13"/>
  <c r="E102" i="13"/>
  <c r="C103" i="13"/>
  <c r="B107" i="12"/>
  <c r="E106" i="12"/>
  <c r="D106" i="12"/>
  <c r="C94" i="10"/>
  <c r="F93" i="10"/>
  <c r="E93" i="10"/>
  <c r="F160" i="9"/>
  <c r="E160" i="9"/>
  <c r="C161" i="9"/>
  <c r="E160" i="8"/>
  <c r="C161" i="8"/>
  <c r="F160" i="8"/>
  <c r="F256" i="7"/>
  <c r="E256" i="7"/>
  <c r="C257" i="7"/>
  <c r="C161" i="6"/>
  <c r="F160" i="6"/>
  <c r="E160" i="6"/>
  <c r="C104" i="5"/>
  <c r="F103" i="5"/>
  <c r="E103" i="5"/>
  <c r="F93" i="4"/>
  <c r="E93" i="4"/>
  <c r="C94" i="4"/>
  <c r="C103" i="3"/>
  <c r="E102" i="3"/>
  <c r="F102" i="3"/>
  <c r="C163" i="1"/>
  <c r="F162" i="1"/>
  <c r="E162" i="1"/>
  <c r="F92" i="2" l="1"/>
  <c r="C93" i="2"/>
  <c r="E92" i="2"/>
  <c r="F98" i="19"/>
  <c r="C104" i="13"/>
  <c r="F103" i="13"/>
  <c r="E103" i="13"/>
  <c r="B108" i="12"/>
  <c r="E107" i="12"/>
  <c r="D107" i="12"/>
  <c r="C95" i="10"/>
  <c r="E94" i="10"/>
  <c r="F94" i="10"/>
  <c r="C162" i="9"/>
  <c r="F161" i="9"/>
  <c r="E161" i="9"/>
  <c r="E161" i="8"/>
  <c r="C162" i="8"/>
  <c r="F161" i="8"/>
  <c r="C258" i="7"/>
  <c r="F257" i="7"/>
  <c r="E257" i="7"/>
  <c r="C162" i="6"/>
  <c r="F161" i="6"/>
  <c r="E161" i="6"/>
  <c r="F104" i="5"/>
  <c r="E104" i="5"/>
  <c r="C105" i="5"/>
  <c r="F94" i="4"/>
  <c r="C95" i="4"/>
  <c r="E94" i="4"/>
  <c r="C104" i="3"/>
  <c r="E103" i="3"/>
  <c r="F103" i="3"/>
  <c r="F163" i="1"/>
  <c r="C164" i="1"/>
  <c r="E163" i="1"/>
  <c r="C94" i="2" l="1"/>
  <c r="F93" i="2"/>
  <c r="E93" i="2"/>
  <c r="F99" i="19"/>
  <c r="F104" i="13"/>
  <c r="E104" i="13"/>
  <c r="C105" i="13"/>
  <c r="E108" i="12"/>
  <c r="D108" i="12"/>
  <c r="B109" i="12"/>
  <c r="C96" i="10"/>
  <c r="F95" i="10"/>
  <c r="E95" i="10"/>
  <c r="F162" i="9"/>
  <c r="E162" i="9"/>
  <c r="C163" i="9"/>
  <c r="E162" i="8"/>
  <c r="C163" i="8"/>
  <c r="F162" i="8"/>
  <c r="E258" i="7"/>
  <c r="C259" i="7"/>
  <c r="F258" i="7"/>
  <c r="C163" i="6"/>
  <c r="E162" i="6"/>
  <c r="F162" i="6"/>
  <c r="C106" i="5"/>
  <c r="E105" i="5"/>
  <c r="F105" i="5"/>
  <c r="F95" i="4"/>
  <c r="E95" i="4"/>
  <c r="C96" i="4"/>
  <c r="F104" i="3"/>
  <c r="E104" i="3"/>
  <c r="C105" i="3"/>
  <c r="C165" i="1"/>
  <c r="F164" i="1"/>
  <c r="E164" i="1"/>
  <c r="F94" i="2" l="1"/>
  <c r="C95" i="2"/>
  <c r="E94" i="2"/>
  <c r="F100" i="19"/>
  <c r="C106" i="13"/>
  <c r="F105" i="13"/>
  <c r="E105" i="13"/>
  <c r="B110" i="12"/>
  <c r="E109" i="12"/>
  <c r="D109" i="12"/>
  <c r="C97" i="10"/>
  <c r="F96" i="10"/>
  <c r="E96" i="10"/>
  <c r="C164" i="9"/>
  <c r="F163" i="9"/>
  <c r="E163" i="9"/>
  <c r="E163" i="8"/>
  <c r="C164" i="8"/>
  <c r="F163" i="8"/>
  <c r="F259" i="7"/>
  <c r="E259" i="7"/>
  <c r="C260" i="7"/>
  <c r="C164" i="6"/>
  <c r="F163" i="6"/>
  <c r="E163" i="6"/>
  <c r="F106" i="5"/>
  <c r="E106" i="5"/>
  <c r="C107" i="5"/>
  <c r="F96" i="4"/>
  <c r="C97" i="4"/>
  <c r="E96" i="4"/>
  <c r="C106" i="3"/>
  <c r="F105" i="3"/>
  <c r="E105" i="3"/>
  <c r="F165" i="1"/>
  <c r="C166" i="1"/>
  <c r="E165" i="1"/>
  <c r="C96" i="2" l="1"/>
  <c r="E95" i="2"/>
  <c r="F95" i="2"/>
  <c r="F101" i="19"/>
  <c r="F106" i="13"/>
  <c r="E106" i="13"/>
  <c r="C107" i="13"/>
  <c r="B111" i="12"/>
  <c r="E110" i="12"/>
  <c r="D110" i="12"/>
  <c r="C98" i="10"/>
  <c r="F97" i="10"/>
  <c r="E97" i="10"/>
  <c r="F164" i="9"/>
  <c r="E164" i="9"/>
  <c r="C165" i="9"/>
  <c r="E164" i="8"/>
  <c r="C165" i="8"/>
  <c r="F164" i="8"/>
  <c r="C261" i="7"/>
  <c r="E260" i="7"/>
  <c r="F260" i="7"/>
  <c r="C165" i="6"/>
  <c r="F164" i="6"/>
  <c r="E164" i="6"/>
  <c r="C108" i="5"/>
  <c r="E107" i="5"/>
  <c r="F107" i="5"/>
  <c r="F97" i="4"/>
  <c r="E97" i="4"/>
  <c r="C98" i="4"/>
  <c r="E106" i="3"/>
  <c r="C107" i="3"/>
  <c r="F106" i="3"/>
  <c r="F166" i="1"/>
  <c r="E166" i="1"/>
  <c r="C167" i="1"/>
  <c r="F96" i="2" l="1"/>
  <c r="E96" i="2"/>
  <c r="C97" i="2"/>
  <c r="F102" i="19"/>
  <c r="C108" i="13"/>
  <c r="F107" i="13"/>
  <c r="E107" i="13"/>
  <c r="D111" i="12"/>
  <c r="B112" i="12"/>
  <c r="E111" i="12"/>
  <c r="C99" i="10"/>
  <c r="F98" i="10"/>
  <c r="E98" i="10"/>
  <c r="C166" i="9"/>
  <c r="F165" i="9"/>
  <c r="E165" i="9"/>
  <c r="E165" i="8"/>
  <c r="C166" i="8"/>
  <c r="F165" i="8"/>
  <c r="F261" i="7"/>
  <c r="E261" i="7"/>
  <c r="C262" i="7"/>
  <c r="C166" i="6"/>
  <c r="F165" i="6"/>
  <c r="E165" i="6"/>
  <c r="C109" i="5"/>
  <c r="F108" i="5"/>
  <c r="E108" i="5"/>
  <c r="F98" i="4"/>
  <c r="E98" i="4"/>
  <c r="C99" i="4"/>
  <c r="C108" i="3"/>
  <c r="F107" i="3"/>
  <c r="E107" i="3"/>
  <c r="F167" i="1"/>
  <c r="C168" i="1"/>
  <c r="E167" i="1"/>
  <c r="C98" i="2" l="1"/>
  <c r="F97" i="2"/>
  <c r="E97" i="2"/>
  <c r="F103" i="19"/>
  <c r="F108" i="13"/>
  <c r="E108" i="13"/>
  <c r="C109" i="13"/>
  <c r="B113" i="12"/>
  <c r="E112" i="12"/>
  <c r="D112" i="12"/>
  <c r="C100" i="10"/>
  <c r="F99" i="10"/>
  <c r="E99" i="10"/>
  <c r="F166" i="9"/>
  <c r="E166" i="9"/>
  <c r="C167" i="9"/>
  <c r="E166" i="8"/>
  <c r="C167" i="8"/>
  <c r="F166" i="8"/>
  <c r="C263" i="7"/>
  <c r="F262" i="7"/>
  <c r="E262" i="7"/>
  <c r="C167" i="6"/>
  <c r="F166" i="6"/>
  <c r="E166" i="6"/>
  <c r="C110" i="5"/>
  <c r="F109" i="5"/>
  <c r="E109" i="5"/>
  <c r="F99" i="4"/>
  <c r="E99" i="4"/>
  <c r="C100" i="4"/>
  <c r="F108" i="3"/>
  <c r="C109" i="3"/>
  <c r="E108" i="3"/>
  <c r="C169" i="1"/>
  <c r="F168" i="1"/>
  <c r="E168" i="1"/>
  <c r="E98" i="2" l="1"/>
  <c r="F98" i="2"/>
  <c r="C99" i="2"/>
  <c r="F104" i="19"/>
  <c r="C110" i="13"/>
  <c r="F109" i="13"/>
  <c r="E109" i="13"/>
  <c r="B114" i="12"/>
  <c r="E113" i="12"/>
  <c r="D113" i="12"/>
  <c r="C101" i="10"/>
  <c r="F100" i="10"/>
  <c r="E100" i="10"/>
  <c r="C168" i="9"/>
  <c r="F167" i="9"/>
  <c r="E167" i="9"/>
  <c r="E167" i="8"/>
  <c r="C168" i="8"/>
  <c r="F167" i="8"/>
  <c r="C264" i="7"/>
  <c r="F263" i="7"/>
  <c r="E263" i="7"/>
  <c r="C168" i="6"/>
  <c r="F167" i="6"/>
  <c r="E167" i="6"/>
  <c r="C111" i="5"/>
  <c r="F110" i="5"/>
  <c r="E110" i="5"/>
  <c r="F100" i="4"/>
  <c r="C101" i="4"/>
  <c r="E100" i="4"/>
  <c r="C110" i="3"/>
  <c r="F109" i="3"/>
  <c r="E109" i="3"/>
  <c r="F169" i="1"/>
  <c r="C170" i="1"/>
  <c r="E169" i="1"/>
  <c r="C100" i="2" l="1"/>
  <c r="E99" i="2"/>
  <c r="F99" i="2"/>
  <c r="F105" i="19"/>
  <c r="F110" i="13"/>
  <c r="E110" i="13"/>
  <c r="C111" i="13"/>
  <c r="B115" i="12"/>
  <c r="E114" i="12"/>
  <c r="D114" i="12"/>
  <c r="C102" i="10"/>
  <c r="F101" i="10"/>
  <c r="E101" i="10"/>
  <c r="F168" i="9"/>
  <c r="E168" i="9"/>
  <c r="C169" i="9"/>
  <c r="E168" i="8"/>
  <c r="F168" i="8"/>
  <c r="C169" i="8"/>
  <c r="F264" i="7"/>
  <c r="E264" i="7"/>
  <c r="C265" i="7"/>
  <c r="C169" i="6"/>
  <c r="F168" i="6"/>
  <c r="E168" i="6"/>
  <c r="C112" i="5"/>
  <c r="E111" i="5"/>
  <c r="F111" i="5"/>
  <c r="F101" i="4"/>
  <c r="E101" i="4"/>
  <c r="C102" i="4"/>
  <c r="E110" i="3"/>
  <c r="C111" i="3"/>
  <c r="F110" i="3"/>
  <c r="C171" i="1"/>
  <c r="F170" i="1"/>
  <c r="E170" i="1"/>
  <c r="F100" i="2" l="1"/>
  <c r="C101" i="2"/>
  <c r="E100" i="2"/>
  <c r="F106" i="19"/>
  <c r="C112" i="13"/>
  <c r="F111" i="13"/>
  <c r="E111" i="13"/>
  <c r="B116" i="12"/>
  <c r="E115" i="12"/>
  <c r="D115" i="12"/>
  <c r="C103" i="10"/>
  <c r="F102" i="10"/>
  <c r="E102" i="10"/>
  <c r="C170" i="9"/>
  <c r="F169" i="9"/>
  <c r="E169" i="9"/>
  <c r="E169" i="8"/>
  <c r="C170" i="8"/>
  <c r="F169" i="8"/>
  <c r="C266" i="7"/>
  <c r="F265" i="7"/>
  <c r="E265" i="7"/>
  <c r="C170" i="6"/>
  <c r="F169" i="6"/>
  <c r="E169" i="6"/>
  <c r="C113" i="5"/>
  <c r="F112" i="5"/>
  <c r="E112" i="5"/>
  <c r="F102" i="4"/>
  <c r="C103" i="4"/>
  <c r="E102" i="4"/>
  <c r="C112" i="3"/>
  <c r="E111" i="3"/>
  <c r="F111" i="3"/>
  <c r="F171" i="1"/>
  <c r="C172" i="1"/>
  <c r="E171" i="1"/>
  <c r="C102" i="2" l="1"/>
  <c r="F101" i="2"/>
  <c r="E101" i="2"/>
  <c r="F107" i="19"/>
  <c r="F112" i="13"/>
  <c r="E112" i="13"/>
  <c r="C113" i="13"/>
  <c r="E116" i="12"/>
  <c r="D116" i="12"/>
  <c r="B117" i="12"/>
  <c r="C104" i="10"/>
  <c r="F103" i="10"/>
  <c r="E103" i="10"/>
  <c r="F170" i="9"/>
  <c r="E170" i="9"/>
  <c r="C171" i="9"/>
  <c r="E170" i="8"/>
  <c r="F170" i="8"/>
  <c r="C171" i="8"/>
  <c r="E266" i="7"/>
  <c r="C267" i="7"/>
  <c r="F266" i="7"/>
  <c r="C171" i="6"/>
  <c r="E170" i="6"/>
  <c r="F170" i="6"/>
  <c r="C114" i="5"/>
  <c r="F113" i="5"/>
  <c r="E113" i="5"/>
  <c r="F103" i="4"/>
  <c r="E103" i="4"/>
  <c r="C104" i="4"/>
  <c r="C113" i="3"/>
  <c r="F112" i="3"/>
  <c r="E112" i="3"/>
  <c r="C173" i="1"/>
  <c r="F172" i="1"/>
  <c r="E172" i="1"/>
  <c r="F102" i="2" l="1"/>
  <c r="C103" i="2"/>
  <c r="E102" i="2"/>
  <c r="F108" i="19"/>
  <c r="C114" i="13"/>
  <c r="F113" i="13"/>
  <c r="E113" i="13"/>
  <c r="B118" i="12"/>
  <c r="E117" i="12"/>
  <c r="D117" i="12"/>
  <c r="C105" i="10"/>
  <c r="F104" i="10"/>
  <c r="E104" i="10"/>
  <c r="C172" i="9"/>
  <c r="E171" i="9"/>
  <c r="F171" i="9"/>
  <c r="E171" i="8"/>
  <c r="C172" i="8"/>
  <c r="F171" i="8"/>
  <c r="F267" i="7"/>
  <c r="E267" i="7"/>
  <c r="C268" i="7"/>
  <c r="C172" i="6"/>
  <c r="F171" i="6"/>
  <c r="E171" i="6"/>
  <c r="C115" i="5"/>
  <c r="E114" i="5"/>
  <c r="F114" i="5"/>
  <c r="F104" i="4"/>
  <c r="E104" i="4"/>
  <c r="C105" i="4"/>
  <c r="C114" i="3"/>
  <c r="F113" i="3"/>
  <c r="E113" i="3"/>
  <c r="F173" i="1"/>
  <c r="C174" i="1"/>
  <c r="E173" i="1"/>
  <c r="E103" i="2" l="1"/>
  <c r="C104" i="2"/>
  <c r="F103" i="2"/>
  <c r="F109" i="19"/>
  <c r="F114" i="13"/>
  <c r="E114" i="13"/>
  <c r="C115" i="13"/>
  <c r="B119" i="12"/>
  <c r="E118" i="12"/>
  <c r="D118" i="12"/>
  <c r="C106" i="10"/>
  <c r="E105" i="10"/>
  <c r="F105" i="10"/>
  <c r="F172" i="9"/>
  <c r="E172" i="9"/>
  <c r="C173" i="9"/>
  <c r="E172" i="8"/>
  <c r="C173" i="8"/>
  <c r="F172" i="8"/>
  <c r="C269" i="7"/>
  <c r="E268" i="7"/>
  <c r="F268" i="7"/>
  <c r="C173" i="6"/>
  <c r="F172" i="6"/>
  <c r="E172" i="6"/>
  <c r="C116" i="5"/>
  <c r="F115" i="5"/>
  <c r="E115" i="5"/>
  <c r="F105" i="4"/>
  <c r="E105" i="4"/>
  <c r="C106" i="4"/>
  <c r="F114" i="3"/>
  <c r="C115" i="3"/>
  <c r="E114" i="3"/>
  <c r="F174" i="1"/>
  <c r="E174" i="1"/>
  <c r="C175" i="1"/>
  <c r="C105" i="2" l="1"/>
  <c r="F104" i="2"/>
  <c r="E104" i="2"/>
  <c r="F110" i="19"/>
  <c r="C116" i="13"/>
  <c r="F115" i="13"/>
  <c r="E115" i="13"/>
  <c r="D119" i="12"/>
  <c r="B120" i="12"/>
  <c r="E119" i="12"/>
  <c r="C107" i="10"/>
  <c r="F106" i="10"/>
  <c r="E106" i="10"/>
  <c r="C174" i="9"/>
  <c r="F173" i="9"/>
  <c r="E173" i="9"/>
  <c r="E173" i="8"/>
  <c r="C174" i="8"/>
  <c r="F173" i="8"/>
  <c r="F269" i="7"/>
  <c r="E269" i="7"/>
  <c r="C270" i="7"/>
  <c r="C174" i="6"/>
  <c r="F173" i="6"/>
  <c r="E173" i="6"/>
  <c r="F116" i="5"/>
  <c r="C117" i="5"/>
  <c r="E116" i="5"/>
  <c r="F106" i="4"/>
  <c r="C107" i="4"/>
  <c r="E106" i="4"/>
  <c r="C116" i="3"/>
  <c r="E115" i="3"/>
  <c r="F115" i="3"/>
  <c r="C176" i="1"/>
  <c r="F175" i="1"/>
  <c r="E175" i="1"/>
  <c r="F105" i="2" l="1"/>
  <c r="E105" i="2"/>
  <c r="C106" i="2"/>
  <c r="F111" i="19"/>
  <c r="F116" i="13"/>
  <c r="E116" i="13"/>
  <c r="C117" i="13"/>
  <c r="B121" i="12"/>
  <c r="E120" i="12"/>
  <c r="D120" i="12"/>
  <c r="C108" i="10"/>
  <c r="E107" i="10"/>
  <c r="F107" i="10"/>
  <c r="F174" i="9"/>
  <c r="E174" i="9"/>
  <c r="C175" i="9"/>
  <c r="E174" i="8"/>
  <c r="C175" i="8"/>
  <c r="F174" i="8"/>
  <c r="C271" i="7"/>
  <c r="F270" i="7"/>
  <c r="E270" i="7"/>
  <c r="C175" i="6"/>
  <c r="F174" i="6"/>
  <c r="E174" i="6"/>
  <c r="C118" i="5"/>
  <c r="F117" i="5"/>
  <c r="E117" i="5"/>
  <c r="F107" i="4"/>
  <c r="E107" i="4"/>
  <c r="C108" i="4"/>
  <c r="C117" i="3"/>
  <c r="F116" i="3"/>
  <c r="E116" i="3"/>
  <c r="C177" i="1"/>
  <c r="F176" i="1"/>
  <c r="E176" i="1"/>
  <c r="F106" i="2" l="1"/>
  <c r="E106" i="2"/>
  <c r="C107" i="2"/>
  <c r="F112" i="19"/>
  <c r="C118" i="13"/>
  <c r="F117" i="13"/>
  <c r="E117" i="13"/>
  <c r="B122" i="12"/>
  <c r="E121" i="12"/>
  <c r="D121" i="12"/>
  <c r="C109" i="10"/>
  <c r="F108" i="10"/>
  <c r="E108" i="10"/>
  <c r="C176" i="9"/>
  <c r="E175" i="9"/>
  <c r="F175" i="9"/>
  <c r="E175" i="8"/>
  <c r="C176" i="8"/>
  <c r="F175" i="8"/>
  <c r="C272" i="7"/>
  <c r="F271" i="7"/>
  <c r="E271" i="7"/>
  <c r="C176" i="6"/>
  <c r="F175" i="6"/>
  <c r="E175" i="6"/>
  <c r="E118" i="5"/>
  <c r="C119" i="5"/>
  <c r="F118" i="5"/>
  <c r="F108" i="4"/>
  <c r="C109" i="4"/>
  <c r="E108" i="4"/>
  <c r="C118" i="3"/>
  <c r="F117" i="3"/>
  <c r="E117" i="3"/>
  <c r="C178" i="1"/>
  <c r="E177" i="1"/>
  <c r="F177" i="1"/>
  <c r="F107" i="2" l="1"/>
  <c r="C108" i="2"/>
  <c r="E107" i="2"/>
  <c r="F113" i="19"/>
  <c r="F118" i="13"/>
  <c r="E118" i="13"/>
  <c r="C119" i="13"/>
  <c r="B123" i="12"/>
  <c r="E122" i="12"/>
  <c r="D122" i="12"/>
  <c r="C110" i="10"/>
  <c r="F109" i="10"/>
  <c r="E109" i="10"/>
  <c r="F176" i="9"/>
  <c r="E176" i="9"/>
  <c r="C177" i="9"/>
  <c r="E176" i="8"/>
  <c r="C177" i="8"/>
  <c r="F176" i="8"/>
  <c r="F272" i="7"/>
  <c r="E272" i="7"/>
  <c r="C273" i="7"/>
  <c r="C177" i="6"/>
  <c r="F176" i="6"/>
  <c r="E176" i="6"/>
  <c r="C120" i="5"/>
  <c r="F119" i="5"/>
  <c r="E119" i="5"/>
  <c r="F109" i="4"/>
  <c r="E109" i="4"/>
  <c r="C110" i="4"/>
  <c r="C119" i="3"/>
  <c r="E118" i="3"/>
  <c r="F118" i="3"/>
  <c r="F178" i="1"/>
  <c r="E178" i="1"/>
  <c r="C179" i="1"/>
  <c r="F108" i="2" l="1"/>
  <c r="E108" i="2"/>
  <c r="C109" i="2"/>
  <c r="F114" i="19"/>
  <c r="C120" i="13"/>
  <c r="F119" i="13"/>
  <c r="E119" i="13"/>
  <c r="B124" i="12"/>
  <c r="E123" i="12"/>
  <c r="D123" i="12"/>
  <c r="C111" i="10"/>
  <c r="F110" i="10"/>
  <c r="E110" i="10"/>
  <c r="C178" i="9"/>
  <c r="F177" i="9"/>
  <c r="E177" i="9"/>
  <c r="E177" i="8"/>
  <c r="C178" i="8"/>
  <c r="F177" i="8"/>
  <c r="C274" i="7"/>
  <c r="F273" i="7"/>
  <c r="E273" i="7"/>
  <c r="C178" i="6"/>
  <c r="F177" i="6"/>
  <c r="E177" i="6"/>
  <c r="F120" i="5"/>
  <c r="E120" i="5"/>
  <c r="C121" i="5"/>
  <c r="F110" i="4"/>
  <c r="C111" i="4"/>
  <c r="E110" i="4"/>
  <c r="C120" i="3"/>
  <c r="E119" i="3"/>
  <c r="F119" i="3"/>
  <c r="C180" i="1"/>
  <c r="F179" i="1"/>
  <c r="E179" i="1"/>
  <c r="C110" i="2" l="1"/>
  <c r="F109" i="2"/>
  <c r="E109" i="2"/>
  <c r="F115" i="19"/>
  <c r="F120" i="13"/>
  <c r="E120" i="13"/>
  <c r="C121" i="13"/>
  <c r="E124" i="12"/>
  <c r="D124" i="12"/>
  <c r="B125" i="12"/>
  <c r="C112" i="10"/>
  <c r="F111" i="10"/>
  <c r="E111" i="10"/>
  <c r="F178" i="9"/>
  <c r="E178" i="9"/>
  <c r="C179" i="9"/>
  <c r="E178" i="8"/>
  <c r="C179" i="8"/>
  <c r="F178" i="8"/>
  <c r="E274" i="7"/>
  <c r="C275" i="7"/>
  <c r="F274" i="7"/>
  <c r="C179" i="6"/>
  <c r="F178" i="6"/>
  <c r="E178" i="6"/>
  <c r="C122" i="5"/>
  <c r="F121" i="5"/>
  <c r="E121" i="5"/>
  <c r="F111" i="4"/>
  <c r="E111" i="4"/>
  <c r="C112" i="4"/>
  <c r="F120" i="3"/>
  <c r="C121" i="3"/>
  <c r="E120" i="3"/>
  <c r="F180" i="1"/>
  <c r="C181" i="1"/>
  <c r="E180" i="1"/>
  <c r="F110" i="2" l="1"/>
  <c r="C111" i="2"/>
  <c r="E110" i="2"/>
  <c r="F116" i="19"/>
  <c r="C122" i="13"/>
  <c r="F121" i="13"/>
  <c r="E121" i="13"/>
  <c r="B126" i="12"/>
  <c r="E125" i="12"/>
  <c r="D125" i="12"/>
  <c r="C113" i="10"/>
  <c r="F112" i="10"/>
  <c r="E112" i="10"/>
  <c r="C180" i="9"/>
  <c r="F179" i="9"/>
  <c r="E179" i="9"/>
  <c r="E179" i="8"/>
  <c r="C180" i="8"/>
  <c r="F179" i="8"/>
  <c r="F275" i="7"/>
  <c r="E275" i="7"/>
  <c r="C276" i="7"/>
  <c r="C180" i="6"/>
  <c r="F179" i="6"/>
  <c r="E179" i="6"/>
  <c r="F122" i="5"/>
  <c r="E122" i="5"/>
  <c r="C123" i="5"/>
  <c r="F112" i="4"/>
  <c r="C113" i="4"/>
  <c r="E112" i="4"/>
  <c r="C122" i="3"/>
  <c r="F121" i="3"/>
  <c r="E121" i="3"/>
  <c r="C182" i="1"/>
  <c r="E181" i="1"/>
  <c r="F181" i="1"/>
  <c r="C112" i="2" l="1"/>
  <c r="F111" i="2"/>
  <c r="E111" i="2"/>
  <c r="F117" i="19"/>
  <c r="F122" i="13"/>
  <c r="E122" i="13"/>
  <c r="C123" i="13"/>
  <c r="B127" i="12"/>
  <c r="E126" i="12"/>
  <c r="D126" i="12"/>
  <c r="C114" i="10"/>
  <c r="F113" i="10"/>
  <c r="E113" i="10"/>
  <c r="F180" i="9"/>
  <c r="E180" i="9"/>
  <c r="C181" i="9"/>
  <c r="E180" i="8"/>
  <c r="C181" i="8"/>
  <c r="F180" i="8"/>
  <c r="C277" i="7"/>
  <c r="E276" i="7"/>
  <c r="F276" i="7"/>
  <c r="C181" i="6"/>
  <c r="F180" i="6"/>
  <c r="E180" i="6"/>
  <c r="C124" i="5"/>
  <c r="E123" i="5"/>
  <c r="F123" i="5"/>
  <c r="F113" i="4"/>
  <c r="E113" i="4"/>
  <c r="C114" i="4"/>
  <c r="E122" i="3"/>
  <c r="F122" i="3"/>
  <c r="C123" i="3"/>
  <c r="F182" i="1"/>
  <c r="C183" i="1"/>
  <c r="E182" i="1"/>
  <c r="F112" i="2" l="1"/>
  <c r="C113" i="2"/>
  <c r="E112" i="2"/>
  <c r="F118" i="19"/>
  <c r="C124" i="13"/>
  <c r="F123" i="13"/>
  <c r="E123" i="13"/>
  <c r="D127" i="12"/>
  <c r="B128" i="12"/>
  <c r="E127" i="12"/>
  <c r="C115" i="10"/>
  <c r="F114" i="10"/>
  <c r="E114" i="10"/>
  <c r="C182" i="9"/>
  <c r="F181" i="9"/>
  <c r="E181" i="9"/>
  <c r="E181" i="8"/>
  <c r="C182" i="8"/>
  <c r="F181" i="8"/>
  <c r="F277" i="7"/>
  <c r="E277" i="7"/>
  <c r="C278" i="7"/>
  <c r="C182" i="6"/>
  <c r="F181" i="6"/>
  <c r="E181" i="6"/>
  <c r="C125" i="5"/>
  <c r="F124" i="5"/>
  <c r="E124" i="5"/>
  <c r="F114" i="4"/>
  <c r="E114" i="4"/>
  <c r="C115" i="4"/>
  <c r="C124" i="3"/>
  <c r="F123" i="3"/>
  <c r="E123" i="3"/>
  <c r="C184" i="1"/>
  <c r="F183" i="1"/>
  <c r="E183" i="1"/>
  <c r="E113" i="2" l="1"/>
  <c r="C114" i="2"/>
  <c r="F113" i="2"/>
  <c r="F119" i="19"/>
  <c r="F124" i="13"/>
  <c r="E124" i="13"/>
  <c r="C125" i="13"/>
  <c r="B129" i="12"/>
  <c r="E128" i="12"/>
  <c r="D128" i="12"/>
  <c r="C116" i="10"/>
  <c r="F115" i="10"/>
  <c r="E115" i="10"/>
  <c r="F182" i="9"/>
  <c r="E182" i="9"/>
  <c r="C183" i="9"/>
  <c r="E182" i="8"/>
  <c r="C183" i="8"/>
  <c r="F182" i="8"/>
  <c r="C279" i="7"/>
  <c r="F278" i="7"/>
  <c r="E278" i="7"/>
  <c r="C183" i="6"/>
  <c r="F182" i="6"/>
  <c r="E182" i="6"/>
  <c r="C126" i="5"/>
  <c r="F125" i="5"/>
  <c r="E125" i="5"/>
  <c r="F115" i="4"/>
  <c r="E115" i="4"/>
  <c r="C116" i="4"/>
  <c r="F124" i="3"/>
  <c r="C125" i="3"/>
  <c r="E124" i="3"/>
  <c r="F184" i="1"/>
  <c r="E184" i="1"/>
  <c r="C185" i="1"/>
  <c r="F114" i="2" l="1"/>
  <c r="C115" i="2"/>
  <c r="E114" i="2"/>
  <c r="F120" i="19"/>
  <c r="C126" i="13"/>
  <c r="F125" i="13"/>
  <c r="E125" i="13"/>
  <c r="B130" i="12"/>
  <c r="E129" i="12"/>
  <c r="D129" i="12"/>
  <c r="C117" i="10"/>
  <c r="F116" i="10"/>
  <c r="E116" i="10"/>
  <c r="C184" i="9"/>
  <c r="F183" i="9"/>
  <c r="E183" i="9"/>
  <c r="E183" i="8"/>
  <c r="C184" i="8"/>
  <c r="F183" i="8"/>
  <c r="C280" i="7"/>
  <c r="F279" i="7"/>
  <c r="E279" i="7"/>
  <c r="C184" i="6"/>
  <c r="F183" i="6"/>
  <c r="E183" i="6"/>
  <c r="C127" i="5"/>
  <c r="F126" i="5"/>
  <c r="E126" i="5"/>
  <c r="F116" i="4"/>
  <c r="C117" i="4"/>
  <c r="E116" i="4"/>
  <c r="C126" i="3"/>
  <c r="F125" i="3"/>
  <c r="E125" i="3"/>
  <c r="C186" i="1"/>
  <c r="F185" i="1"/>
  <c r="E185" i="1"/>
  <c r="F115" i="2" l="1"/>
  <c r="C116" i="2"/>
  <c r="E115" i="2"/>
  <c r="F121" i="19"/>
  <c r="F126" i="13"/>
  <c r="E126" i="13"/>
  <c r="C127" i="13"/>
  <c r="B131" i="12"/>
  <c r="E130" i="12"/>
  <c r="D130" i="12"/>
  <c r="C118" i="10"/>
  <c r="F117" i="10"/>
  <c r="E117" i="10"/>
  <c r="F184" i="9"/>
  <c r="E184" i="9"/>
  <c r="C185" i="9"/>
  <c r="E184" i="8"/>
  <c r="F184" i="8"/>
  <c r="C185" i="8"/>
  <c r="F280" i="7"/>
  <c r="E280" i="7"/>
  <c r="C281" i="7"/>
  <c r="E184" i="6"/>
  <c r="C185" i="6"/>
  <c r="F184" i="6"/>
  <c r="C128" i="5"/>
  <c r="E127" i="5"/>
  <c r="F127" i="5"/>
  <c r="F117" i="4"/>
  <c r="E117" i="4"/>
  <c r="C118" i="4"/>
  <c r="E126" i="3"/>
  <c r="C127" i="3"/>
  <c r="F126" i="3"/>
  <c r="F186" i="1"/>
  <c r="E186" i="1"/>
  <c r="C187" i="1"/>
  <c r="F116" i="2" l="1"/>
  <c r="C117" i="2"/>
  <c r="E116" i="2"/>
  <c r="F122" i="19"/>
  <c r="C128" i="13"/>
  <c r="F127" i="13"/>
  <c r="E127" i="13"/>
  <c r="B132" i="12"/>
  <c r="E131" i="12"/>
  <c r="D131" i="12"/>
  <c r="C119" i="10"/>
  <c r="F118" i="10"/>
  <c r="E118" i="10"/>
  <c r="C186" i="9"/>
  <c r="F185" i="9"/>
  <c r="E185" i="9"/>
  <c r="E185" i="8"/>
  <c r="C186" i="8"/>
  <c r="F185" i="8"/>
  <c r="C282" i="7"/>
  <c r="F281" i="7"/>
  <c r="E281" i="7"/>
  <c r="C186" i="6"/>
  <c r="F185" i="6"/>
  <c r="E185" i="6"/>
  <c r="C129" i="5"/>
  <c r="F128" i="5"/>
  <c r="E128" i="5"/>
  <c r="F118" i="4"/>
  <c r="C119" i="4"/>
  <c r="E118" i="4"/>
  <c r="F127" i="3"/>
  <c r="C128" i="3"/>
  <c r="E127" i="3"/>
  <c r="C188" i="1"/>
  <c r="F187" i="1"/>
  <c r="E187" i="1"/>
  <c r="F117" i="2" l="1"/>
  <c r="C118" i="2"/>
  <c r="E117" i="2"/>
  <c r="F123" i="19"/>
  <c r="F128" i="13"/>
  <c r="E128" i="13"/>
  <c r="C129" i="13"/>
  <c r="E132" i="12"/>
  <c r="D132" i="12"/>
  <c r="B133" i="12"/>
  <c r="C120" i="10"/>
  <c r="F119" i="10"/>
  <c r="E119" i="10"/>
  <c r="F186" i="9"/>
  <c r="E186" i="9"/>
  <c r="C187" i="9"/>
  <c r="E186" i="8"/>
  <c r="F186" i="8"/>
  <c r="C187" i="8"/>
  <c r="E282" i="7"/>
  <c r="C283" i="7"/>
  <c r="F282" i="7"/>
  <c r="E186" i="6"/>
  <c r="C187" i="6"/>
  <c r="F186" i="6"/>
  <c r="C130" i="5"/>
  <c r="F129" i="5"/>
  <c r="E129" i="5"/>
  <c r="F119" i="4"/>
  <c r="E119" i="4"/>
  <c r="C120" i="4"/>
  <c r="E128" i="3"/>
  <c r="F128" i="3"/>
  <c r="C129" i="3"/>
  <c r="F188" i="1"/>
  <c r="C189" i="1"/>
  <c r="E188" i="1"/>
  <c r="F118" i="2" l="1"/>
  <c r="C119" i="2"/>
  <c r="E118" i="2"/>
  <c r="F124" i="19"/>
  <c r="C130" i="13"/>
  <c r="F129" i="13"/>
  <c r="E129" i="13"/>
  <c r="B134" i="12"/>
  <c r="E133" i="12"/>
  <c r="D133" i="12"/>
  <c r="C121" i="10"/>
  <c r="F120" i="10"/>
  <c r="E120" i="10"/>
  <c r="C188" i="9"/>
  <c r="F187" i="9"/>
  <c r="E187" i="9"/>
  <c r="E187" i="8"/>
  <c r="C188" i="8"/>
  <c r="F187" i="8"/>
  <c r="F283" i="7"/>
  <c r="E283" i="7"/>
  <c r="C284" i="7"/>
  <c r="C188" i="6"/>
  <c r="F187" i="6"/>
  <c r="E187" i="6"/>
  <c r="C131" i="5"/>
  <c r="E130" i="5"/>
  <c r="F130" i="5"/>
  <c r="F120" i="4"/>
  <c r="E120" i="4"/>
  <c r="C121" i="4"/>
  <c r="F129" i="3"/>
  <c r="C130" i="3"/>
  <c r="E129" i="3"/>
  <c r="C190" i="1"/>
  <c r="F189" i="1"/>
  <c r="E189" i="1"/>
  <c r="C120" i="2" l="1"/>
  <c r="F119" i="2"/>
  <c r="E119" i="2"/>
  <c r="F125" i="19"/>
  <c r="F130" i="13"/>
  <c r="E130" i="13"/>
  <c r="C131" i="13"/>
  <c r="B135" i="12"/>
  <c r="E134" i="12"/>
  <c r="D134" i="12"/>
  <c r="C122" i="10"/>
  <c r="E121" i="10"/>
  <c r="F121" i="10"/>
  <c r="F188" i="9"/>
  <c r="E188" i="9"/>
  <c r="C189" i="9"/>
  <c r="E188" i="8"/>
  <c r="C189" i="8"/>
  <c r="F188" i="8"/>
  <c r="C285" i="7"/>
  <c r="E284" i="7"/>
  <c r="F284" i="7"/>
  <c r="E188" i="6"/>
  <c r="C189" i="6"/>
  <c r="F188" i="6"/>
  <c r="C132" i="5"/>
  <c r="F131" i="5"/>
  <c r="E131" i="5"/>
  <c r="F121" i="4"/>
  <c r="E121" i="4"/>
  <c r="C122" i="4"/>
  <c r="E130" i="3"/>
  <c r="C131" i="3"/>
  <c r="F130" i="3"/>
  <c r="F190" i="1"/>
  <c r="C191" i="1"/>
  <c r="E190" i="1"/>
  <c r="F120" i="2" l="1"/>
  <c r="C121" i="2"/>
  <c r="E120" i="2"/>
  <c r="F126" i="19"/>
  <c r="C132" i="13"/>
  <c r="F131" i="13"/>
  <c r="E131" i="13"/>
  <c r="D135" i="12"/>
  <c r="B136" i="12"/>
  <c r="E135" i="12"/>
  <c r="C123" i="10"/>
  <c r="F122" i="10"/>
  <c r="E122" i="10"/>
  <c r="C190" i="9"/>
  <c r="F189" i="9"/>
  <c r="E189" i="9"/>
  <c r="E189" i="8"/>
  <c r="C190" i="8"/>
  <c r="F189" i="8"/>
  <c r="F285" i="7"/>
  <c r="E285" i="7"/>
  <c r="C286" i="7"/>
  <c r="C190" i="6"/>
  <c r="F189" i="6"/>
  <c r="E189" i="6"/>
  <c r="F132" i="5"/>
  <c r="C133" i="5"/>
  <c r="E132" i="5"/>
  <c r="F122" i="4"/>
  <c r="C123" i="4"/>
  <c r="E122" i="4"/>
  <c r="C132" i="3"/>
  <c r="F131" i="3"/>
  <c r="E131" i="3"/>
  <c r="C192" i="1"/>
  <c r="F191" i="1"/>
  <c r="E191" i="1"/>
  <c r="C122" i="2" l="1"/>
  <c r="F121" i="2"/>
  <c r="E121" i="2"/>
  <c r="F127" i="19"/>
  <c r="F132" i="13"/>
  <c r="E132" i="13"/>
  <c r="C133" i="13"/>
  <c r="B137" i="12"/>
  <c r="E136" i="12"/>
  <c r="D136" i="12"/>
  <c r="C124" i="10"/>
  <c r="E123" i="10"/>
  <c r="F123" i="10"/>
  <c r="F190" i="9"/>
  <c r="E190" i="9"/>
  <c r="C191" i="9"/>
  <c r="E190" i="8"/>
  <c r="C191" i="8"/>
  <c r="F190" i="8"/>
  <c r="C287" i="7"/>
  <c r="F286" i="7"/>
  <c r="E286" i="7"/>
  <c r="E190" i="6"/>
  <c r="C191" i="6"/>
  <c r="F190" i="6"/>
  <c r="C134" i="5"/>
  <c r="F133" i="5"/>
  <c r="E133" i="5"/>
  <c r="F123" i="4"/>
  <c r="E123" i="4"/>
  <c r="C124" i="4"/>
  <c r="E132" i="3"/>
  <c r="C133" i="3"/>
  <c r="F132" i="3"/>
  <c r="F192" i="1"/>
  <c r="C193" i="1"/>
  <c r="E192" i="1"/>
  <c r="F122" i="2" l="1"/>
  <c r="C123" i="2"/>
  <c r="E122" i="2"/>
  <c r="F128" i="19"/>
  <c r="C134" i="13"/>
  <c r="F133" i="13"/>
  <c r="E133" i="13"/>
  <c r="B138" i="12"/>
  <c r="E137" i="12"/>
  <c r="D137" i="12"/>
  <c r="C125" i="10"/>
  <c r="F124" i="10"/>
  <c r="E124" i="10"/>
  <c r="C192" i="9"/>
  <c r="E191" i="9"/>
  <c r="F191" i="9"/>
  <c r="E191" i="8"/>
  <c r="C192" i="8"/>
  <c r="F191" i="8"/>
  <c r="C288" i="7"/>
  <c r="F287" i="7"/>
  <c r="E287" i="7"/>
  <c r="C192" i="6"/>
  <c r="F191" i="6"/>
  <c r="E191" i="6"/>
  <c r="E134" i="5"/>
  <c r="C135" i="5"/>
  <c r="F134" i="5"/>
  <c r="F124" i="4"/>
  <c r="E124" i="4"/>
  <c r="C125" i="4"/>
  <c r="C134" i="3"/>
  <c r="F133" i="3"/>
  <c r="E133" i="3"/>
  <c r="C194" i="1"/>
  <c r="F193" i="1"/>
  <c r="E193" i="1"/>
  <c r="F123" i="2" l="1"/>
  <c r="E123" i="2"/>
  <c r="C124" i="2"/>
  <c r="F129" i="19"/>
  <c r="F134" i="13"/>
  <c r="E134" i="13"/>
  <c r="C135" i="13"/>
  <c r="B139" i="12"/>
  <c r="E138" i="12"/>
  <c r="D138" i="12"/>
  <c r="C126" i="10"/>
  <c r="F125" i="10"/>
  <c r="E125" i="10"/>
  <c r="F192" i="9"/>
  <c r="E192" i="9"/>
  <c r="C193" i="9"/>
  <c r="E192" i="8"/>
  <c r="C193" i="8"/>
  <c r="F192" i="8"/>
  <c r="F288" i="7"/>
  <c r="E288" i="7"/>
  <c r="C289" i="7"/>
  <c r="E192" i="6"/>
  <c r="C193" i="6"/>
  <c r="F192" i="6"/>
  <c r="C136" i="5"/>
  <c r="F135" i="5"/>
  <c r="E135" i="5"/>
  <c r="F125" i="4"/>
  <c r="E125" i="4"/>
  <c r="C126" i="4"/>
  <c r="E134" i="3"/>
  <c r="C135" i="3"/>
  <c r="F134" i="3"/>
  <c r="F194" i="1"/>
  <c r="E194" i="1"/>
  <c r="C195" i="1"/>
  <c r="F124" i="2" l="1"/>
  <c r="E124" i="2"/>
  <c r="C125" i="2"/>
  <c r="F130" i="19"/>
  <c r="E135" i="13"/>
  <c r="C136" i="13"/>
  <c r="F135" i="13"/>
  <c r="B140" i="12"/>
  <c r="E139" i="12"/>
  <c r="D139" i="12"/>
  <c r="C127" i="10"/>
  <c r="F126" i="10"/>
  <c r="E126" i="10"/>
  <c r="C194" i="9"/>
  <c r="F193" i="9"/>
  <c r="E193" i="9"/>
  <c r="E193" i="8"/>
  <c r="C194" i="8"/>
  <c r="F193" i="8"/>
  <c r="C290" i="7"/>
  <c r="F289" i="7"/>
  <c r="E289" i="7"/>
  <c r="C194" i="6"/>
  <c r="F193" i="6"/>
  <c r="E193" i="6"/>
  <c r="F136" i="5"/>
  <c r="E136" i="5"/>
  <c r="C137" i="5"/>
  <c r="F126" i="4"/>
  <c r="C127" i="4"/>
  <c r="E126" i="4"/>
  <c r="E135" i="3"/>
  <c r="F135" i="3"/>
  <c r="C136" i="3"/>
  <c r="C196" i="1"/>
  <c r="F195" i="1"/>
  <c r="E195" i="1"/>
  <c r="C126" i="2" l="1"/>
  <c r="F125" i="2"/>
  <c r="E125" i="2"/>
  <c r="F131" i="19"/>
  <c r="C137" i="13"/>
  <c r="F136" i="13"/>
  <c r="E136" i="13"/>
  <c r="E140" i="12"/>
  <c r="D140" i="12"/>
  <c r="B141" i="12"/>
  <c r="C128" i="10"/>
  <c r="F127" i="10"/>
  <c r="E127" i="10"/>
  <c r="F194" i="9"/>
  <c r="E194" i="9"/>
  <c r="C195" i="9"/>
  <c r="E194" i="8"/>
  <c r="C195" i="8"/>
  <c r="F194" i="8"/>
  <c r="E290" i="7"/>
  <c r="C291" i="7"/>
  <c r="F290" i="7"/>
  <c r="E194" i="6"/>
  <c r="C195" i="6"/>
  <c r="F194" i="6"/>
  <c r="C138" i="5"/>
  <c r="F137" i="5"/>
  <c r="E137" i="5"/>
  <c r="F127" i="4"/>
  <c r="E127" i="4"/>
  <c r="C128" i="4"/>
  <c r="E136" i="3"/>
  <c r="F136" i="3"/>
  <c r="C137" i="3"/>
  <c r="F196" i="1"/>
  <c r="C197" i="1"/>
  <c r="E196" i="1"/>
  <c r="E126" i="2" l="1"/>
  <c r="F126" i="2"/>
  <c r="C127" i="2"/>
  <c r="F132" i="19"/>
  <c r="E137" i="13"/>
  <c r="F137" i="13"/>
  <c r="C138" i="13"/>
  <c r="B142" i="12"/>
  <c r="E141" i="12"/>
  <c r="D141" i="12"/>
  <c r="F128" i="10"/>
  <c r="C129" i="10"/>
  <c r="E128" i="10"/>
  <c r="C196" i="9"/>
  <c r="F195" i="9"/>
  <c r="E195" i="9"/>
  <c r="E195" i="8"/>
  <c r="C196" i="8"/>
  <c r="F195" i="8"/>
  <c r="F291" i="7"/>
  <c r="E291" i="7"/>
  <c r="C292" i="7"/>
  <c r="C196" i="6"/>
  <c r="F195" i="6"/>
  <c r="E195" i="6"/>
  <c r="F138" i="5"/>
  <c r="E138" i="5"/>
  <c r="C139" i="5"/>
  <c r="F128" i="4"/>
  <c r="C129" i="4"/>
  <c r="E128" i="4"/>
  <c r="F137" i="3"/>
  <c r="E137" i="3"/>
  <c r="C138" i="3"/>
  <c r="C198" i="1"/>
  <c r="F197" i="1"/>
  <c r="E197" i="1"/>
  <c r="C128" i="2" l="1"/>
  <c r="F127" i="2"/>
  <c r="E127" i="2"/>
  <c r="F133" i="19"/>
  <c r="C139" i="13"/>
  <c r="F138" i="13"/>
  <c r="E138" i="13"/>
  <c r="B143" i="12"/>
  <c r="E142" i="12"/>
  <c r="D142" i="12"/>
  <c r="E129" i="10"/>
  <c r="C130" i="10"/>
  <c r="F129" i="10"/>
  <c r="F196" i="9"/>
  <c r="E196" i="9"/>
  <c r="C197" i="9"/>
  <c r="E196" i="8"/>
  <c r="C197" i="8"/>
  <c r="F196" i="8"/>
  <c r="C293" i="7"/>
  <c r="E292" i="7"/>
  <c r="F292" i="7"/>
  <c r="E196" i="6"/>
  <c r="C197" i="6"/>
  <c r="F196" i="6"/>
  <c r="C140" i="5"/>
  <c r="E139" i="5"/>
  <c r="F139" i="5"/>
  <c r="F129" i="4"/>
  <c r="E129" i="4"/>
  <c r="C130" i="4"/>
  <c r="E138" i="3"/>
  <c r="F138" i="3"/>
  <c r="C139" i="3"/>
  <c r="F198" i="1"/>
  <c r="C199" i="1"/>
  <c r="E198" i="1"/>
  <c r="C129" i="2" l="1"/>
  <c r="F128" i="2"/>
  <c r="E128" i="2"/>
  <c r="F134" i="19"/>
  <c r="E139" i="13"/>
  <c r="C140" i="13"/>
  <c r="F139" i="13"/>
  <c r="D143" i="12"/>
  <c r="B144" i="12"/>
  <c r="E143" i="12"/>
  <c r="F130" i="10"/>
  <c r="C131" i="10"/>
  <c r="E130" i="10"/>
  <c r="C198" i="9"/>
  <c r="F197" i="9"/>
  <c r="E197" i="9"/>
  <c r="E197" i="8"/>
  <c r="C198" i="8"/>
  <c r="F197" i="8"/>
  <c r="F293" i="7"/>
  <c r="E293" i="7"/>
  <c r="C294" i="7"/>
  <c r="C198" i="6"/>
  <c r="F197" i="6"/>
  <c r="E197" i="6"/>
  <c r="C141" i="5"/>
  <c r="F140" i="5"/>
  <c r="E140" i="5"/>
  <c r="E130" i="4"/>
  <c r="C131" i="4"/>
  <c r="F130" i="4"/>
  <c r="F139" i="3"/>
  <c r="E139" i="3"/>
  <c r="C140" i="3"/>
  <c r="C200" i="1"/>
  <c r="F199" i="1"/>
  <c r="E199" i="1"/>
  <c r="C130" i="2" l="1"/>
  <c r="F129" i="2"/>
  <c r="E129" i="2"/>
  <c r="F135" i="19"/>
  <c r="C141" i="13"/>
  <c r="F140" i="13"/>
  <c r="E140" i="13"/>
  <c r="B145" i="12"/>
  <c r="E144" i="12"/>
  <c r="D144" i="12"/>
  <c r="F131" i="10"/>
  <c r="E131" i="10"/>
  <c r="C132" i="10"/>
  <c r="F198" i="9"/>
  <c r="E198" i="9"/>
  <c r="C199" i="9"/>
  <c r="E198" i="8"/>
  <c r="C199" i="8"/>
  <c r="F198" i="8"/>
  <c r="C295" i="7"/>
  <c r="F294" i="7"/>
  <c r="E294" i="7"/>
  <c r="E198" i="6"/>
  <c r="C199" i="6"/>
  <c r="F198" i="6"/>
  <c r="C142" i="5"/>
  <c r="F141" i="5"/>
  <c r="E141" i="5"/>
  <c r="F131" i="4"/>
  <c r="C132" i="4"/>
  <c r="E131" i="4"/>
  <c r="E140" i="3"/>
  <c r="F140" i="3"/>
  <c r="C141" i="3"/>
  <c r="F200" i="1"/>
  <c r="C201" i="1"/>
  <c r="E200" i="1"/>
  <c r="F130" i="2" l="1"/>
  <c r="C131" i="2"/>
  <c r="E130" i="2"/>
  <c r="F136" i="19"/>
  <c r="E141" i="13"/>
  <c r="F141" i="13"/>
  <c r="C142" i="13"/>
  <c r="B146" i="12"/>
  <c r="E145" i="12"/>
  <c r="D145" i="12"/>
  <c r="F132" i="10"/>
  <c r="C133" i="10"/>
  <c r="E132" i="10"/>
  <c r="C200" i="9"/>
  <c r="F199" i="9"/>
  <c r="E199" i="9"/>
  <c r="E199" i="8"/>
  <c r="C200" i="8"/>
  <c r="F199" i="8"/>
  <c r="C296" i="7"/>
  <c r="F295" i="7"/>
  <c r="E295" i="7"/>
  <c r="C200" i="6"/>
  <c r="F199" i="6"/>
  <c r="E199" i="6"/>
  <c r="C143" i="5"/>
  <c r="F142" i="5"/>
  <c r="E142" i="5"/>
  <c r="E132" i="4"/>
  <c r="C133" i="4"/>
  <c r="F132" i="4"/>
  <c r="F141" i="3"/>
  <c r="E141" i="3"/>
  <c r="C142" i="3"/>
  <c r="C202" i="1"/>
  <c r="F201" i="1"/>
  <c r="E201" i="1"/>
  <c r="F131" i="2" l="1"/>
  <c r="C132" i="2"/>
  <c r="E131" i="2"/>
  <c r="F137" i="19"/>
  <c r="C143" i="13"/>
  <c r="F142" i="13"/>
  <c r="E142" i="13"/>
  <c r="B147" i="12"/>
  <c r="E146" i="12"/>
  <c r="D146" i="12"/>
  <c r="F133" i="10"/>
  <c r="C134" i="10"/>
  <c r="E133" i="10"/>
  <c r="F200" i="9"/>
  <c r="E200" i="9"/>
  <c r="C201" i="9"/>
  <c r="E200" i="8"/>
  <c r="F200" i="8"/>
  <c r="C201" i="8"/>
  <c r="F296" i="7"/>
  <c r="E296" i="7"/>
  <c r="C297" i="7"/>
  <c r="E200" i="6"/>
  <c r="C201" i="6"/>
  <c r="F200" i="6"/>
  <c r="C144" i="5"/>
  <c r="E143" i="5"/>
  <c r="F143" i="5"/>
  <c r="F133" i="4"/>
  <c r="E133" i="4"/>
  <c r="C134" i="4"/>
  <c r="E142" i="3"/>
  <c r="C143" i="3"/>
  <c r="F142" i="3"/>
  <c r="F202" i="1"/>
  <c r="E202" i="1"/>
  <c r="C203" i="1"/>
  <c r="F132" i="2" l="1"/>
  <c r="C133" i="2"/>
  <c r="E132" i="2"/>
  <c r="F138" i="19"/>
  <c r="E143" i="13"/>
  <c r="C144" i="13"/>
  <c r="F143" i="13"/>
  <c r="B148" i="12"/>
  <c r="E147" i="12"/>
  <c r="D147" i="12"/>
  <c r="F134" i="10"/>
  <c r="C135" i="10"/>
  <c r="E134" i="10"/>
  <c r="C202" i="9"/>
  <c r="F201" i="9"/>
  <c r="E201" i="9"/>
  <c r="E201" i="8"/>
  <c r="C202" i="8"/>
  <c r="F201" i="8"/>
  <c r="C298" i="7"/>
  <c r="F297" i="7"/>
  <c r="E297" i="7"/>
  <c r="C202" i="6"/>
  <c r="F201" i="6"/>
  <c r="E201" i="6"/>
  <c r="C145" i="5"/>
  <c r="F144" i="5"/>
  <c r="E144" i="5"/>
  <c r="F134" i="4"/>
  <c r="C135" i="4"/>
  <c r="E134" i="4"/>
  <c r="F143" i="3"/>
  <c r="C144" i="3"/>
  <c r="E143" i="3"/>
  <c r="C204" i="1"/>
  <c r="F203" i="1"/>
  <c r="E203" i="1"/>
  <c r="C134" i="2" l="1"/>
  <c r="F133" i="2"/>
  <c r="E133" i="2"/>
  <c r="F139" i="19"/>
  <c r="C145" i="13"/>
  <c r="F144" i="13"/>
  <c r="E144" i="13"/>
  <c r="E148" i="12"/>
  <c r="D148" i="12"/>
  <c r="B149" i="12"/>
  <c r="F135" i="10"/>
  <c r="C136" i="10"/>
  <c r="E135" i="10"/>
  <c r="F202" i="9"/>
  <c r="E202" i="9"/>
  <c r="C203" i="9"/>
  <c r="E202" i="8"/>
  <c r="F202" i="8"/>
  <c r="C203" i="8"/>
  <c r="E298" i="7"/>
  <c r="C299" i="7"/>
  <c r="F298" i="7"/>
  <c r="E202" i="6"/>
  <c r="C203" i="6"/>
  <c r="F202" i="6"/>
  <c r="C146" i="5"/>
  <c r="F145" i="5"/>
  <c r="E145" i="5"/>
  <c r="F135" i="4"/>
  <c r="E135" i="4"/>
  <c r="C136" i="4"/>
  <c r="E144" i="3"/>
  <c r="F144" i="3"/>
  <c r="C145" i="3"/>
  <c r="F204" i="1"/>
  <c r="C205" i="1"/>
  <c r="E204" i="1"/>
  <c r="F134" i="2" l="1"/>
  <c r="C135" i="2"/>
  <c r="E134" i="2"/>
  <c r="F140" i="19"/>
  <c r="E145" i="13"/>
  <c r="F145" i="13"/>
  <c r="C146" i="13"/>
  <c r="B150" i="12"/>
  <c r="E149" i="12"/>
  <c r="D149" i="12"/>
  <c r="F136" i="10"/>
  <c r="E136" i="10"/>
  <c r="C137" i="10"/>
  <c r="C204" i="9"/>
  <c r="F203" i="9"/>
  <c r="E203" i="9"/>
  <c r="E203" i="8"/>
  <c r="C204" i="8"/>
  <c r="F203" i="8"/>
  <c r="F299" i="7"/>
  <c r="E299" i="7"/>
  <c r="C300" i="7"/>
  <c r="C204" i="6"/>
  <c r="F203" i="6"/>
  <c r="E203" i="6"/>
  <c r="C147" i="5"/>
  <c r="E146" i="5"/>
  <c r="F146" i="5"/>
  <c r="C137" i="4"/>
  <c r="F136" i="4"/>
  <c r="E136" i="4"/>
  <c r="F145" i="3"/>
  <c r="C146" i="3"/>
  <c r="E145" i="3"/>
  <c r="C206" i="1"/>
  <c r="F205" i="1"/>
  <c r="E205" i="1"/>
  <c r="C136" i="2" l="1"/>
  <c r="F135" i="2"/>
  <c r="E135" i="2"/>
  <c r="F141" i="19"/>
  <c r="C147" i="13"/>
  <c r="F146" i="13"/>
  <c r="E146" i="13"/>
  <c r="B151" i="12"/>
  <c r="E150" i="12"/>
  <c r="D150" i="12"/>
  <c r="F137" i="10"/>
  <c r="C138" i="10"/>
  <c r="E137" i="10"/>
  <c r="F204" i="9"/>
  <c r="E204" i="9"/>
  <c r="C205" i="9"/>
  <c r="E204" i="8"/>
  <c r="C205" i="8"/>
  <c r="F204" i="8"/>
  <c r="C301" i="7"/>
  <c r="E300" i="7"/>
  <c r="F300" i="7"/>
  <c r="E204" i="6"/>
  <c r="C205" i="6"/>
  <c r="F204" i="6"/>
  <c r="C148" i="5"/>
  <c r="F147" i="5"/>
  <c r="E147" i="5"/>
  <c r="F137" i="4"/>
  <c r="E137" i="4"/>
  <c r="C138" i="4"/>
  <c r="E146" i="3"/>
  <c r="C147" i="3"/>
  <c r="F146" i="3"/>
  <c r="F206" i="1"/>
  <c r="C207" i="1"/>
  <c r="E206" i="1"/>
  <c r="F136" i="2" l="1"/>
  <c r="C137" i="2"/>
  <c r="E136" i="2"/>
  <c r="F142" i="19"/>
  <c r="E147" i="13"/>
  <c r="C148" i="13"/>
  <c r="F147" i="13"/>
  <c r="D151" i="12"/>
  <c r="B152" i="12"/>
  <c r="E151" i="12"/>
  <c r="F138" i="10"/>
  <c r="C139" i="10"/>
  <c r="E138" i="10"/>
  <c r="C206" i="9"/>
  <c r="F205" i="9"/>
  <c r="E205" i="9"/>
  <c r="E205" i="8"/>
  <c r="C206" i="8"/>
  <c r="F205" i="8"/>
  <c r="F301" i="7"/>
  <c r="E301" i="7"/>
  <c r="C302" i="7"/>
  <c r="C206" i="6"/>
  <c r="F205" i="6"/>
  <c r="E205" i="6"/>
  <c r="F148" i="5"/>
  <c r="E148" i="5"/>
  <c r="C149" i="5"/>
  <c r="E138" i="4"/>
  <c r="C139" i="4"/>
  <c r="F138" i="4"/>
  <c r="F147" i="3"/>
  <c r="E147" i="3"/>
  <c r="C148" i="3"/>
  <c r="C208" i="1"/>
  <c r="F207" i="1"/>
  <c r="E207" i="1"/>
  <c r="C138" i="2" l="1"/>
  <c r="F137" i="2"/>
  <c r="E137" i="2"/>
  <c r="F143" i="19"/>
  <c r="C149" i="13"/>
  <c r="F148" i="13"/>
  <c r="E148" i="13"/>
  <c r="B153" i="12"/>
  <c r="E152" i="12"/>
  <c r="D152" i="12"/>
  <c r="F139" i="10"/>
  <c r="E139" i="10"/>
  <c r="C140" i="10"/>
  <c r="F206" i="9"/>
  <c r="E206" i="9"/>
  <c r="C207" i="9"/>
  <c r="E206" i="8"/>
  <c r="C207" i="8"/>
  <c r="F206" i="8"/>
  <c r="C303" i="7"/>
  <c r="F302" i="7"/>
  <c r="E302" i="7"/>
  <c r="E206" i="6"/>
  <c r="C207" i="6"/>
  <c r="F206" i="6"/>
  <c r="C150" i="5"/>
  <c r="F149" i="5"/>
  <c r="E149" i="5"/>
  <c r="F139" i="4"/>
  <c r="C140" i="4"/>
  <c r="E139" i="4"/>
  <c r="E148" i="3"/>
  <c r="F148" i="3"/>
  <c r="C149" i="3"/>
  <c r="F208" i="1"/>
  <c r="C209" i="1"/>
  <c r="E208" i="1"/>
  <c r="F138" i="2" l="1"/>
  <c r="C139" i="2"/>
  <c r="E138" i="2"/>
  <c r="F144" i="19"/>
  <c r="E149" i="13"/>
  <c r="F149" i="13"/>
  <c r="C150" i="13"/>
  <c r="B154" i="12"/>
  <c r="E153" i="12"/>
  <c r="D153" i="12"/>
  <c r="F140" i="10"/>
  <c r="C141" i="10"/>
  <c r="E140" i="10"/>
  <c r="C208" i="9"/>
  <c r="E207" i="9"/>
  <c r="F207" i="9"/>
  <c r="E207" i="8"/>
  <c r="C208" i="8"/>
  <c r="F207" i="8"/>
  <c r="C304" i="7"/>
  <c r="F303" i="7"/>
  <c r="E303" i="7"/>
  <c r="C208" i="6"/>
  <c r="F207" i="6"/>
  <c r="E207" i="6"/>
  <c r="E150" i="5"/>
  <c r="F150" i="5"/>
  <c r="C151" i="5"/>
  <c r="E140" i="4"/>
  <c r="C141" i="4"/>
  <c r="F140" i="4"/>
  <c r="F149" i="3"/>
  <c r="E149" i="3"/>
  <c r="C150" i="3"/>
  <c r="C210" i="1"/>
  <c r="F209" i="1"/>
  <c r="E209" i="1"/>
  <c r="F139" i="2" l="1"/>
  <c r="E139" i="2"/>
  <c r="C140" i="2"/>
  <c r="F145" i="19"/>
  <c r="C151" i="13"/>
  <c r="F150" i="13"/>
  <c r="E150" i="13"/>
  <c r="B155" i="12"/>
  <c r="E154" i="12"/>
  <c r="D154" i="12"/>
  <c r="F141" i="10"/>
  <c r="E141" i="10"/>
  <c r="C142" i="10"/>
  <c r="F208" i="9"/>
  <c r="E208" i="9"/>
  <c r="C209" i="9"/>
  <c r="E208" i="8"/>
  <c r="C209" i="8"/>
  <c r="F208" i="8"/>
  <c r="F304" i="7"/>
  <c r="E304" i="7"/>
  <c r="C305" i="7"/>
  <c r="E208" i="6"/>
  <c r="C209" i="6"/>
  <c r="F208" i="6"/>
  <c r="C152" i="5"/>
  <c r="F151" i="5"/>
  <c r="E151" i="5"/>
  <c r="F141" i="4"/>
  <c r="C142" i="4"/>
  <c r="E141" i="4"/>
  <c r="E150" i="3"/>
  <c r="C151" i="3"/>
  <c r="F150" i="3"/>
  <c r="F210" i="1"/>
  <c r="E210" i="1"/>
  <c r="C211" i="1"/>
  <c r="F140" i="2" l="1"/>
  <c r="E140" i="2"/>
  <c r="C141" i="2"/>
  <c r="F146" i="19"/>
  <c r="E151" i="13"/>
  <c r="C152" i="13"/>
  <c r="F151" i="13"/>
  <c r="B156" i="12"/>
  <c r="E155" i="12"/>
  <c r="D155" i="12"/>
  <c r="C143" i="10"/>
  <c r="E142" i="10"/>
  <c r="F142" i="10"/>
  <c r="C210" i="9"/>
  <c r="F209" i="9"/>
  <c r="E209" i="9"/>
  <c r="E209" i="8"/>
  <c r="C210" i="8"/>
  <c r="F209" i="8"/>
  <c r="C306" i="7"/>
  <c r="F305" i="7"/>
  <c r="E305" i="7"/>
  <c r="C210" i="6"/>
  <c r="F209" i="6"/>
  <c r="E209" i="6"/>
  <c r="F152" i="5"/>
  <c r="E152" i="5"/>
  <c r="C153" i="5"/>
  <c r="C143" i="4"/>
  <c r="F142" i="4"/>
  <c r="E142" i="4"/>
  <c r="F151" i="3"/>
  <c r="C152" i="3"/>
  <c r="E151" i="3"/>
  <c r="C212" i="1"/>
  <c r="F211" i="1"/>
  <c r="E211" i="1"/>
  <c r="E141" i="2" l="1"/>
  <c r="C142" i="2"/>
  <c r="F141" i="2"/>
  <c r="F147" i="19"/>
  <c r="C153" i="13"/>
  <c r="F152" i="13"/>
  <c r="E152" i="13"/>
  <c r="E156" i="12"/>
  <c r="D156" i="12"/>
  <c r="B157" i="12"/>
  <c r="F143" i="10"/>
  <c r="E143" i="10"/>
  <c r="C144" i="10"/>
  <c r="F210" i="9"/>
  <c r="E210" i="9"/>
  <c r="C211" i="9"/>
  <c r="F210" i="8"/>
  <c r="C211" i="8"/>
  <c r="E210" i="8"/>
  <c r="E306" i="7"/>
  <c r="C307" i="7"/>
  <c r="F306" i="7"/>
  <c r="E210" i="6"/>
  <c r="C211" i="6"/>
  <c r="F210" i="6"/>
  <c r="C154" i="5"/>
  <c r="F153" i="5"/>
  <c r="E153" i="5"/>
  <c r="E143" i="4"/>
  <c r="C144" i="4"/>
  <c r="F143" i="4"/>
  <c r="E152" i="3"/>
  <c r="C153" i="3"/>
  <c r="F152" i="3"/>
  <c r="F212" i="1"/>
  <c r="C213" i="1"/>
  <c r="E212" i="1"/>
  <c r="E142" i="2" l="1"/>
  <c r="F142" i="2"/>
  <c r="C143" i="2"/>
  <c r="F148" i="19"/>
  <c r="E153" i="13"/>
  <c r="C154" i="13"/>
  <c r="F153" i="13"/>
  <c r="B158" i="12"/>
  <c r="E157" i="12"/>
  <c r="D157" i="12"/>
  <c r="C145" i="10"/>
  <c r="F144" i="10"/>
  <c r="E144" i="10"/>
  <c r="C212" i="9"/>
  <c r="F211" i="9"/>
  <c r="E211" i="9"/>
  <c r="E211" i="8"/>
  <c r="F211" i="8"/>
  <c r="C212" i="8"/>
  <c r="F307" i="7"/>
  <c r="E307" i="7"/>
  <c r="C308" i="7"/>
  <c r="C212" i="6"/>
  <c r="F211" i="6"/>
  <c r="E211" i="6"/>
  <c r="F154" i="5"/>
  <c r="E154" i="5"/>
  <c r="C155" i="5"/>
  <c r="C145" i="4"/>
  <c r="F144" i="4"/>
  <c r="E144" i="4"/>
  <c r="F153" i="3"/>
  <c r="E153" i="3"/>
  <c r="C154" i="3"/>
  <c r="C214" i="1"/>
  <c r="F213" i="1"/>
  <c r="E213" i="1"/>
  <c r="E143" i="2" l="1"/>
  <c r="F143" i="2"/>
  <c r="C144" i="2"/>
  <c r="F149" i="19"/>
  <c r="C155" i="13"/>
  <c r="F154" i="13"/>
  <c r="E154" i="13"/>
  <c r="B159" i="12"/>
  <c r="E158" i="12"/>
  <c r="D158" i="12"/>
  <c r="F145" i="10"/>
  <c r="E145" i="10"/>
  <c r="C146" i="10"/>
  <c r="C213" i="9"/>
  <c r="F212" i="9"/>
  <c r="E212" i="9"/>
  <c r="C213" i="8"/>
  <c r="F212" i="8"/>
  <c r="E212" i="8"/>
  <c r="C309" i="7"/>
  <c r="E308" i="7"/>
  <c r="F308" i="7"/>
  <c r="E212" i="6"/>
  <c r="C213" i="6"/>
  <c r="F212" i="6"/>
  <c r="C156" i="5"/>
  <c r="E155" i="5"/>
  <c r="F155" i="5"/>
  <c r="C146" i="4"/>
  <c r="F145" i="4"/>
  <c r="E145" i="4"/>
  <c r="E154" i="3"/>
  <c r="C155" i="3"/>
  <c r="F154" i="3"/>
  <c r="F214" i="1"/>
  <c r="C215" i="1"/>
  <c r="E214" i="1"/>
  <c r="C145" i="2" l="1"/>
  <c r="F144" i="2"/>
  <c r="E144" i="2"/>
  <c r="F150" i="19"/>
  <c r="E155" i="13"/>
  <c r="C156" i="13"/>
  <c r="F155" i="13"/>
  <c r="D159" i="12"/>
  <c r="B160" i="12"/>
  <c r="E159" i="12"/>
  <c r="E146" i="10"/>
  <c r="C147" i="10"/>
  <c r="F146" i="10"/>
  <c r="C214" i="9"/>
  <c r="F213" i="9"/>
  <c r="E213" i="9"/>
  <c r="E213" i="8"/>
  <c r="C214" i="8"/>
  <c r="F213" i="8"/>
  <c r="F309" i="7"/>
  <c r="E309" i="7"/>
  <c r="C310" i="7"/>
  <c r="C214" i="6"/>
  <c r="F213" i="6"/>
  <c r="E213" i="6"/>
  <c r="C157" i="5"/>
  <c r="F156" i="5"/>
  <c r="E156" i="5"/>
  <c r="F146" i="4"/>
  <c r="E146" i="4"/>
  <c r="C147" i="4"/>
  <c r="F155" i="3"/>
  <c r="C156" i="3"/>
  <c r="E155" i="3"/>
  <c r="C216" i="1"/>
  <c r="F215" i="1"/>
  <c r="E215" i="1"/>
  <c r="F145" i="2" l="1"/>
  <c r="C146" i="2"/>
  <c r="E145" i="2"/>
  <c r="F151" i="19"/>
  <c r="C157" i="13"/>
  <c r="F156" i="13"/>
  <c r="E156" i="13"/>
  <c r="B161" i="12"/>
  <c r="E160" i="12"/>
  <c r="D160" i="12"/>
  <c r="F147" i="10"/>
  <c r="E147" i="10"/>
  <c r="C148" i="10"/>
  <c r="C215" i="9"/>
  <c r="F214" i="9"/>
  <c r="E214" i="9"/>
  <c r="C215" i="8"/>
  <c r="E214" i="8"/>
  <c r="F214" i="8"/>
  <c r="C311" i="7"/>
  <c r="F310" i="7"/>
  <c r="E310" i="7"/>
  <c r="E214" i="6"/>
  <c r="C215" i="6"/>
  <c r="F214" i="6"/>
  <c r="C158" i="5"/>
  <c r="F157" i="5"/>
  <c r="E157" i="5"/>
  <c r="C148" i="4"/>
  <c r="F147" i="4"/>
  <c r="E147" i="4"/>
  <c r="E156" i="3"/>
  <c r="F156" i="3"/>
  <c r="C157" i="3"/>
  <c r="F216" i="1"/>
  <c r="C217" i="1"/>
  <c r="E216" i="1"/>
  <c r="F146" i="2" l="1"/>
  <c r="E146" i="2"/>
  <c r="C147" i="2"/>
  <c r="F152" i="19"/>
  <c r="E157" i="13"/>
  <c r="C158" i="13"/>
  <c r="F157" i="13"/>
  <c r="B162" i="12"/>
  <c r="E161" i="12"/>
  <c r="D161" i="12"/>
  <c r="C149" i="10"/>
  <c r="F148" i="10"/>
  <c r="E148" i="10"/>
  <c r="C216" i="9"/>
  <c r="F215" i="9"/>
  <c r="E215" i="9"/>
  <c r="E215" i="8"/>
  <c r="F215" i="8"/>
  <c r="C216" i="8"/>
  <c r="C312" i="7"/>
  <c r="F311" i="7"/>
  <c r="E311" i="7"/>
  <c r="C216" i="6"/>
  <c r="F215" i="6"/>
  <c r="E215" i="6"/>
  <c r="C159" i="5"/>
  <c r="F158" i="5"/>
  <c r="E158" i="5"/>
  <c r="F148" i="4"/>
  <c r="E148" i="4"/>
  <c r="C149" i="4"/>
  <c r="F157" i="3"/>
  <c r="C158" i="3"/>
  <c r="E157" i="3"/>
  <c r="C218" i="1"/>
  <c r="F217" i="1"/>
  <c r="E217" i="1"/>
  <c r="C148" i="2" l="1"/>
  <c r="E147" i="2"/>
  <c r="F147" i="2"/>
  <c r="F153" i="19"/>
  <c r="C159" i="13"/>
  <c r="F158" i="13"/>
  <c r="E158" i="13"/>
  <c r="B163" i="12"/>
  <c r="E162" i="12"/>
  <c r="D162" i="12"/>
  <c r="F149" i="10"/>
  <c r="E149" i="10"/>
  <c r="C150" i="10"/>
  <c r="E216" i="9"/>
  <c r="C217" i="9"/>
  <c r="F216" i="9"/>
  <c r="E216" i="8"/>
  <c r="C217" i="8"/>
  <c r="F216" i="8"/>
  <c r="F312" i="7"/>
  <c r="E312" i="7"/>
  <c r="C313" i="7"/>
  <c r="E216" i="6"/>
  <c r="C217" i="6"/>
  <c r="F216" i="6"/>
  <c r="C160" i="5"/>
  <c r="F159" i="5"/>
  <c r="E159" i="5"/>
  <c r="F149" i="4"/>
  <c r="C150" i="4"/>
  <c r="E149" i="4"/>
  <c r="E158" i="3"/>
  <c r="C159" i="3"/>
  <c r="F158" i="3"/>
  <c r="F218" i="1"/>
  <c r="E218" i="1"/>
  <c r="C219" i="1"/>
  <c r="E148" i="2" l="1"/>
  <c r="F148" i="2"/>
  <c r="C149" i="2"/>
  <c r="F154" i="19"/>
  <c r="E159" i="13"/>
  <c r="F159" i="13"/>
  <c r="C160" i="13"/>
  <c r="B164" i="12"/>
  <c r="E163" i="12"/>
  <c r="D163" i="12"/>
  <c r="C151" i="10"/>
  <c r="E150" i="10"/>
  <c r="F150" i="10"/>
  <c r="C218" i="9"/>
  <c r="F217" i="9"/>
  <c r="E217" i="9"/>
  <c r="E217" i="8"/>
  <c r="F217" i="8"/>
  <c r="C218" i="8"/>
  <c r="C314" i="7"/>
  <c r="F313" i="7"/>
  <c r="E313" i="7"/>
  <c r="C218" i="6"/>
  <c r="F217" i="6"/>
  <c r="E217" i="6"/>
  <c r="F160" i="5"/>
  <c r="E160" i="5"/>
  <c r="C161" i="5"/>
  <c r="C151" i="4"/>
  <c r="F150" i="4"/>
  <c r="E150" i="4"/>
  <c r="F159" i="3"/>
  <c r="C160" i="3"/>
  <c r="E159" i="3"/>
  <c r="C220" i="1"/>
  <c r="F219" i="1"/>
  <c r="E219" i="1"/>
  <c r="F149" i="2" l="1"/>
  <c r="C150" i="2"/>
  <c r="E149" i="2"/>
  <c r="F155" i="19"/>
  <c r="C161" i="13"/>
  <c r="F160" i="13"/>
  <c r="E160" i="13"/>
  <c r="E164" i="12"/>
  <c r="D164" i="12"/>
  <c r="B165" i="12"/>
  <c r="F151" i="10"/>
  <c r="E151" i="10"/>
  <c r="C152" i="10"/>
  <c r="C219" i="9"/>
  <c r="F218" i="9"/>
  <c r="E218" i="9"/>
  <c r="E218" i="8"/>
  <c r="F218" i="8"/>
  <c r="C219" i="8"/>
  <c r="E314" i="7"/>
  <c r="C315" i="7"/>
  <c r="F314" i="7"/>
  <c r="E218" i="6"/>
  <c r="C219" i="6"/>
  <c r="F218" i="6"/>
  <c r="C162" i="5"/>
  <c r="F161" i="5"/>
  <c r="E161" i="5"/>
  <c r="E151" i="4"/>
  <c r="C152" i="4"/>
  <c r="F151" i="4"/>
  <c r="E160" i="3"/>
  <c r="C161" i="3"/>
  <c r="F160" i="3"/>
  <c r="F220" i="1"/>
  <c r="C221" i="1"/>
  <c r="E220" i="1"/>
  <c r="F150" i="2" l="1"/>
  <c r="C151" i="2"/>
  <c r="E150" i="2"/>
  <c r="F156" i="19"/>
  <c r="E161" i="13"/>
  <c r="C162" i="13"/>
  <c r="F161" i="13"/>
  <c r="B166" i="12"/>
  <c r="E165" i="12"/>
  <c r="D165" i="12"/>
  <c r="C153" i="10"/>
  <c r="F152" i="10"/>
  <c r="E152" i="10"/>
  <c r="C220" i="9"/>
  <c r="F219" i="9"/>
  <c r="E219" i="9"/>
  <c r="E219" i="8"/>
  <c r="F219" i="8"/>
  <c r="C220" i="8"/>
  <c r="F315" i="7"/>
  <c r="E315" i="7"/>
  <c r="C316" i="7"/>
  <c r="C220" i="6"/>
  <c r="F219" i="6"/>
  <c r="E219" i="6"/>
  <c r="F162" i="5"/>
  <c r="E162" i="5"/>
  <c r="C163" i="5"/>
  <c r="C153" i="4"/>
  <c r="F152" i="4"/>
  <c r="E152" i="4"/>
  <c r="F161" i="3"/>
  <c r="C162" i="3"/>
  <c r="E161" i="3"/>
  <c r="E221" i="1"/>
  <c r="C222" i="1"/>
  <c r="F221" i="1"/>
  <c r="C152" i="2" l="1"/>
  <c r="F151" i="2"/>
  <c r="E151" i="2"/>
  <c r="F157" i="19"/>
  <c r="C163" i="13"/>
  <c r="F162" i="13"/>
  <c r="E162" i="13"/>
  <c r="B167" i="12"/>
  <c r="E166" i="12"/>
  <c r="D166" i="12"/>
  <c r="C154" i="10"/>
  <c r="F153" i="10"/>
  <c r="E153" i="10"/>
  <c r="C221" i="9"/>
  <c r="F220" i="9"/>
  <c r="E220" i="9"/>
  <c r="F220" i="8"/>
  <c r="E220" i="8"/>
  <c r="C221" i="8"/>
  <c r="C317" i="7"/>
  <c r="E316" i="7"/>
  <c r="F316" i="7"/>
  <c r="E220" i="6"/>
  <c r="C221" i="6"/>
  <c r="F220" i="6"/>
  <c r="C164" i="5"/>
  <c r="F163" i="5"/>
  <c r="E163" i="5"/>
  <c r="C154" i="4"/>
  <c r="F153" i="4"/>
  <c r="E153" i="4"/>
  <c r="E162" i="3"/>
  <c r="F162" i="3"/>
  <c r="C163" i="3"/>
  <c r="E222" i="1"/>
  <c r="F222" i="1"/>
  <c r="C223" i="1"/>
  <c r="F152" i="2" l="1"/>
  <c r="E152" i="2"/>
  <c r="C153" i="2"/>
  <c r="F158" i="19"/>
  <c r="E163" i="13"/>
  <c r="C164" i="13"/>
  <c r="F163" i="13"/>
  <c r="D167" i="12"/>
  <c r="B168" i="12"/>
  <c r="E167" i="12"/>
  <c r="F154" i="10"/>
  <c r="E154" i="10"/>
  <c r="C155" i="10"/>
  <c r="C222" i="9"/>
  <c r="F221" i="9"/>
  <c r="E221" i="9"/>
  <c r="E221" i="8"/>
  <c r="C222" i="8"/>
  <c r="F221" i="8"/>
  <c r="F317" i="7"/>
  <c r="E317" i="7"/>
  <c r="C318" i="7"/>
  <c r="C222" i="6"/>
  <c r="F221" i="6"/>
  <c r="E221" i="6"/>
  <c r="C165" i="5"/>
  <c r="F164" i="5"/>
  <c r="E164" i="5"/>
  <c r="F154" i="4"/>
  <c r="E154" i="4"/>
  <c r="C155" i="4"/>
  <c r="F163" i="3"/>
  <c r="C164" i="3"/>
  <c r="E163" i="3"/>
  <c r="E223" i="1"/>
  <c r="C224" i="1"/>
  <c r="F223" i="1"/>
  <c r="C154" i="2" l="1"/>
  <c r="F153" i="2"/>
  <c r="E153" i="2"/>
  <c r="F159" i="19"/>
  <c r="C165" i="13"/>
  <c r="F164" i="13"/>
  <c r="E164" i="13"/>
  <c r="B169" i="12"/>
  <c r="E168" i="12"/>
  <c r="D168" i="12"/>
  <c r="C156" i="10"/>
  <c r="E155" i="10"/>
  <c r="F155" i="10"/>
  <c r="F222" i="9"/>
  <c r="E222" i="9"/>
  <c r="C223" i="9"/>
  <c r="E222" i="8"/>
  <c r="C223" i="8"/>
  <c r="F222" i="8"/>
  <c r="C319" i="7"/>
  <c r="F318" i="7"/>
  <c r="E318" i="7"/>
  <c r="E222" i="6"/>
  <c r="C223" i="6"/>
  <c r="F222" i="6"/>
  <c r="C166" i="5"/>
  <c r="F165" i="5"/>
  <c r="E165" i="5"/>
  <c r="C156" i="4"/>
  <c r="F155" i="4"/>
  <c r="E155" i="4"/>
  <c r="E164" i="3"/>
  <c r="F164" i="3"/>
  <c r="C165" i="3"/>
  <c r="C225" i="1"/>
  <c r="F224" i="1"/>
  <c r="E224" i="1"/>
  <c r="F154" i="2" l="1"/>
  <c r="E154" i="2"/>
  <c r="C155" i="2"/>
  <c r="F160" i="19"/>
  <c r="E165" i="13"/>
  <c r="F165" i="13"/>
  <c r="C166" i="13"/>
  <c r="B170" i="12"/>
  <c r="E169" i="12"/>
  <c r="D169" i="12"/>
  <c r="E156" i="10"/>
  <c r="C157" i="10"/>
  <c r="F156" i="10"/>
  <c r="F223" i="9"/>
  <c r="C224" i="9"/>
  <c r="E223" i="9"/>
  <c r="E223" i="8"/>
  <c r="C224" i="8"/>
  <c r="F223" i="8"/>
  <c r="C320" i="7"/>
  <c r="F319" i="7"/>
  <c r="E319" i="7"/>
  <c r="C224" i="6"/>
  <c r="F223" i="6"/>
  <c r="E223" i="6"/>
  <c r="C167" i="5"/>
  <c r="F166" i="5"/>
  <c r="E166" i="5"/>
  <c r="F156" i="4"/>
  <c r="E156" i="4"/>
  <c r="C157" i="4"/>
  <c r="F165" i="3"/>
  <c r="E165" i="3"/>
  <c r="C166" i="3"/>
  <c r="E225" i="1"/>
  <c r="F225" i="1"/>
  <c r="C226" i="1"/>
  <c r="F155" i="2" l="1"/>
  <c r="E155" i="2"/>
  <c r="C156" i="2"/>
  <c r="F161" i="19"/>
  <c r="C167" i="13"/>
  <c r="F166" i="13"/>
  <c r="E166" i="13"/>
  <c r="B171" i="12"/>
  <c r="E170" i="12"/>
  <c r="D170" i="12"/>
  <c r="F157" i="10"/>
  <c r="E157" i="10"/>
  <c r="C158" i="10"/>
  <c r="C225" i="9"/>
  <c r="F224" i="9"/>
  <c r="E224" i="9"/>
  <c r="F224" i="8"/>
  <c r="C225" i="8"/>
  <c r="E224" i="8"/>
  <c r="F320" i="7"/>
  <c r="E320" i="7"/>
  <c r="C321" i="7"/>
  <c r="C225" i="6"/>
  <c r="F224" i="6"/>
  <c r="E224" i="6"/>
  <c r="C168" i="5"/>
  <c r="F167" i="5"/>
  <c r="E167" i="5"/>
  <c r="F157" i="4"/>
  <c r="C158" i="4"/>
  <c r="E157" i="4"/>
  <c r="E166" i="3"/>
  <c r="C167" i="3"/>
  <c r="F166" i="3"/>
  <c r="C227" i="1"/>
  <c r="F226" i="1"/>
  <c r="E226" i="1"/>
  <c r="E156" i="2" l="1"/>
  <c r="F156" i="2"/>
  <c r="C157" i="2"/>
  <c r="F162" i="19"/>
  <c r="E167" i="13"/>
  <c r="C168" i="13"/>
  <c r="F167" i="13"/>
  <c r="B172" i="12"/>
  <c r="E171" i="12"/>
  <c r="D171" i="12"/>
  <c r="C159" i="10"/>
  <c r="E158" i="10"/>
  <c r="F158" i="10"/>
  <c r="F225" i="9"/>
  <c r="E225" i="9"/>
  <c r="C226" i="9"/>
  <c r="E225" i="8"/>
  <c r="C226" i="8"/>
  <c r="F225" i="8"/>
  <c r="C322" i="7"/>
  <c r="F321" i="7"/>
  <c r="E321" i="7"/>
  <c r="F225" i="6"/>
  <c r="E225" i="6"/>
  <c r="C226" i="6"/>
  <c r="F168" i="5"/>
  <c r="E168" i="5"/>
  <c r="C169" i="5"/>
  <c r="C159" i="4"/>
  <c r="F158" i="4"/>
  <c r="E158" i="4"/>
  <c r="F167" i="3"/>
  <c r="C168" i="3"/>
  <c r="E167" i="3"/>
  <c r="E227" i="1"/>
  <c r="F227" i="1"/>
  <c r="C228" i="1"/>
  <c r="C158" i="2" l="1"/>
  <c r="F157" i="2"/>
  <c r="E157" i="2"/>
  <c r="F163" i="19"/>
  <c r="C169" i="13"/>
  <c r="F168" i="13"/>
  <c r="E168" i="13"/>
  <c r="E172" i="12"/>
  <c r="D172" i="12"/>
  <c r="B173" i="12"/>
  <c r="F159" i="10"/>
  <c r="E159" i="10"/>
  <c r="C160" i="10"/>
  <c r="C227" i="9"/>
  <c r="F226" i="9"/>
  <c r="E226" i="9"/>
  <c r="F226" i="8"/>
  <c r="E226" i="8"/>
  <c r="C227" i="8"/>
  <c r="E322" i="7"/>
  <c r="C323" i="7"/>
  <c r="F322" i="7"/>
  <c r="C227" i="6"/>
  <c r="F226" i="6"/>
  <c r="E226" i="6"/>
  <c r="C170" i="5"/>
  <c r="E169" i="5"/>
  <c r="F169" i="5"/>
  <c r="E159" i="4"/>
  <c r="C160" i="4"/>
  <c r="F159" i="4"/>
  <c r="E168" i="3"/>
  <c r="C169" i="3"/>
  <c r="F168" i="3"/>
  <c r="C229" i="1"/>
  <c r="F228" i="1"/>
  <c r="E228" i="1"/>
  <c r="F158" i="2" l="1"/>
  <c r="E158" i="2"/>
  <c r="C159" i="2"/>
  <c r="F164" i="19"/>
  <c r="E169" i="13"/>
  <c r="C170" i="13"/>
  <c r="F169" i="13"/>
  <c r="B174" i="12"/>
  <c r="E173" i="12"/>
  <c r="D173" i="12"/>
  <c r="C161" i="10"/>
  <c r="F160" i="10"/>
  <c r="E160" i="10"/>
  <c r="E227" i="9"/>
  <c r="C228" i="9"/>
  <c r="F227" i="9"/>
  <c r="C228" i="8"/>
  <c r="F227" i="8"/>
  <c r="E227" i="8"/>
  <c r="F323" i="7"/>
  <c r="E323" i="7"/>
  <c r="C324" i="7"/>
  <c r="E227" i="6"/>
  <c r="C228" i="6"/>
  <c r="F227" i="6"/>
  <c r="F170" i="5"/>
  <c r="C171" i="5"/>
  <c r="E170" i="5"/>
  <c r="C161" i="4"/>
  <c r="F160" i="4"/>
  <c r="E160" i="4"/>
  <c r="F169" i="3"/>
  <c r="E169" i="3"/>
  <c r="C170" i="3"/>
  <c r="E229" i="1"/>
  <c r="C230" i="1"/>
  <c r="F229" i="1"/>
  <c r="E159" i="2" l="1"/>
  <c r="F159" i="2"/>
  <c r="C160" i="2"/>
  <c r="F165" i="19"/>
  <c r="C171" i="13"/>
  <c r="F170" i="13"/>
  <c r="E170" i="13"/>
  <c r="B175" i="12"/>
  <c r="E174" i="12"/>
  <c r="D174" i="12"/>
  <c r="C162" i="10"/>
  <c r="F161" i="10"/>
  <c r="E161" i="10"/>
  <c r="F228" i="9"/>
  <c r="E228" i="9"/>
  <c r="C229" i="9"/>
  <c r="F228" i="8"/>
  <c r="C229" i="8"/>
  <c r="E228" i="8"/>
  <c r="C325" i="7"/>
  <c r="E324" i="7"/>
  <c r="F324" i="7"/>
  <c r="F228" i="6"/>
  <c r="E228" i="6"/>
  <c r="C229" i="6"/>
  <c r="C172" i="5"/>
  <c r="E171" i="5"/>
  <c r="F171" i="5"/>
  <c r="C162" i="4"/>
  <c r="F161" i="4"/>
  <c r="E161" i="4"/>
  <c r="E170" i="3"/>
  <c r="F170" i="3"/>
  <c r="C171" i="3"/>
  <c r="E230" i="1"/>
  <c r="C231" i="1"/>
  <c r="F230" i="1"/>
  <c r="F160" i="2" l="1"/>
  <c r="E160" i="2"/>
  <c r="C161" i="2"/>
  <c r="F166" i="19"/>
  <c r="E171" i="13"/>
  <c r="C172" i="13"/>
  <c r="F171" i="13"/>
  <c r="D175" i="12"/>
  <c r="B176" i="12"/>
  <c r="E175" i="12"/>
  <c r="F162" i="10"/>
  <c r="E162" i="10"/>
  <c r="C163" i="10"/>
  <c r="C230" i="9"/>
  <c r="F229" i="9"/>
  <c r="E229" i="9"/>
  <c r="E229" i="8"/>
  <c r="C230" i="8"/>
  <c r="F229" i="8"/>
  <c r="F325" i="7"/>
  <c r="E325" i="7"/>
  <c r="C326" i="7"/>
  <c r="C230" i="6"/>
  <c r="F229" i="6"/>
  <c r="E229" i="6"/>
  <c r="F172" i="5"/>
  <c r="E172" i="5"/>
  <c r="C173" i="5"/>
  <c r="F162" i="4"/>
  <c r="E162" i="4"/>
  <c r="C163" i="4"/>
  <c r="F171" i="3"/>
  <c r="E171" i="3"/>
  <c r="C172" i="3"/>
  <c r="E231" i="1"/>
  <c r="C232" i="1"/>
  <c r="F231" i="1"/>
  <c r="C162" i="2" l="1"/>
  <c r="E161" i="2"/>
  <c r="F161" i="2"/>
  <c r="F167" i="19"/>
  <c r="C173" i="13"/>
  <c r="F172" i="13"/>
  <c r="E172" i="13"/>
  <c r="B177" i="12"/>
  <c r="E176" i="12"/>
  <c r="D176" i="12"/>
  <c r="C164" i="10"/>
  <c r="F163" i="10"/>
  <c r="E163" i="10"/>
  <c r="E230" i="9"/>
  <c r="C231" i="9"/>
  <c r="F230" i="9"/>
  <c r="C231" i="8"/>
  <c r="F230" i="8"/>
  <c r="E230" i="8"/>
  <c r="C327" i="7"/>
  <c r="F326" i="7"/>
  <c r="E326" i="7"/>
  <c r="F230" i="6"/>
  <c r="E230" i="6"/>
  <c r="C231" i="6"/>
  <c r="C174" i="5"/>
  <c r="E173" i="5"/>
  <c r="F173" i="5"/>
  <c r="C164" i="4"/>
  <c r="E163" i="4"/>
  <c r="F163" i="4"/>
  <c r="E172" i="3"/>
  <c r="C173" i="3"/>
  <c r="F172" i="3"/>
  <c r="C233" i="1"/>
  <c r="F232" i="1"/>
  <c r="E232" i="1"/>
  <c r="F162" i="2" l="1"/>
  <c r="E162" i="2"/>
  <c r="C163" i="2"/>
  <c r="F168" i="19"/>
  <c r="E173" i="13"/>
  <c r="C174" i="13"/>
  <c r="F173" i="13"/>
  <c r="B178" i="12"/>
  <c r="E177" i="12"/>
  <c r="D177" i="12"/>
  <c r="E164" i="10"/>
  <c r="C165" i="10"/>
  <c r="F164" i="10"/>
  <c r="F231" i="9"/>
  <c r="E231" i="9"/>
  <c r="C232" i="9"/>
  <c r="E231" i="8"/>
  <c r="C232" i="8"/>
  <c r="F231" i="8"/>
  <c r="C328" i="7"/>
  <c r="F327" i="7"/>
  <c r="E327" i="7"/>
  <c r="C232" i="6"/>
  <c r="F231" i="6"/>
  <c r="E231" i="6"/>
  <c r="F174" i="5"/>
  <c r="C175" i="5"/>
  <c r="E174" i="5"/>
  <c r="C165" i="4"/>
  <c r="F164" i="4"/>
  <c r="E164" i="4"/>
  <c r="F173" i="3"/>
  <c r="E173" i="3"/>
  <c r="C174" i="3"/>
  <c r="F233" i="1"/>
  <c r="C234" i="1"/>
  <c r="E233" i="1"/>
  <c r="C164" i="2" l="1"/>
  <c r="F163" i="2"/>
  <c r="E163" i="2"/>
  <c r="F169" i="19"/>
  <c r="C175" i="13"/>
  <c r="F174" i="13"/>
  <c r="E174" i="13"/>
  <c r="B179" i="12"/>
  <c r="E178" i="12"/>
  <c r="D178" i="12"/>
  <c r="F165" i="10"/>
  <c r="E165" i="10"/>
  <c r="C166" i="10"/>
  <c r="C233" i="9"/>
  <c r="F232" i="9"/>
  <c r="E232" i="9"/>
  <c r="F232" i="8"/>
  <c r="C233" i="8"/>
  <c r="E232" i="8"/>
  <c r="F328" i="7"/>
  <c r="E328" i="7"/>
  <c r="C329" i="7"/>
  <c r="C233" i="6"/>
  <c r="F232" i="6"/>
  <c r="E232" i="6"/>
  <c r="C176" i="5"/>
  <c r="E175" i="5"/>
  <c r="F175" i="5"/>
  <c r="F165" i="4"/>
  <c r="C166" i="4"/>
  <c r="E165" i="4"/>
  <c r="E174" i="3"/>
  <c r="F174" i="3"/>
  <c r="C175" i="3"/>
  <c r="C235" i="1"/>
  <c r="F234" i="1"/>
  <c r="E234" i="1"/>
  <c r="F164" i="2" l="1"/>
  <c r="C165" i="2"/>
  <c r="E164" i="2"/>
  <c r="F170" i="19"/>
  <c r="E175" i="13"/>
  <c r="F175" i="13"/>
  <c r="C176" i="13"/>
  <c r="B180" i="12"/>
  <c r="E179" i="12"/>
  <c r="D179" i="12"/>
  <c r="C167" i="10"/>
  <c r="E166" i="10"/>
  <c r="F166" i="10"/>
  <c r="F233" i="9"/>
  <c r="E233" i="9"/>
  <c r="C234" i="9"/>
  <c r="C234" i="8"/>
  <c r="E233" i="8"/>
  <c r="F233" i="8"/>
  <c r="C330" i="7"/>
  <c r="F329" i="7"/>
  <c r="E329" i="7"/>
  <c r="F233" i="6"/>
  <c r="E233" i="6"/>
  <c r="C234" i="6"/>
  <c r="F176" i="5"/>
  <c r="E176" i="5"/>
  <c r="C177" i="5"/>
  <c r="C167" i="4"/>
  <c r="F166" i="4"/>
  <c r="E166" i="4"/>
  <c r="F175" i="3"/>
  <c r="E175" i="3"/>
  <c r="C176" i="3"/>
  <c r="E235" i="1"/>
  <c r="C236" i="1"/>
  <c r="F235" i="1"/>
  <c r="E165" i="2" l="1"/>
  <c r="F165" i="2"/>
  <c r="C166" i="2"/>
  <c r="F171" i="19"/>
  <c r="C177" i="13"/>
  <c r="F176" i="13"/>
  <c r="E176" i="13"/>
  <c r="E180" i="12"/>
  <c r="D180" i="12"/>
  <c r="B181" i="12"/>
  <c r="F167" i="10"/>
  <c r="E167" i="10"/>
  <c r="C168" i="10"/>
  <c r="C235" i="9"/>
  <c r="F234" i="9"/>
  <c r="E234" i="9"/>
  <c r="F234" i="8"/>
  <c r="C235" i="8"/>
  <c r="E234" i="8"/>
  <c r="E330" i="7"/>
  <c r="C331" i="7"/>
  <c r="F330" i="7"/>
  <c r="C235" i="6"/>
  <c r="F234" i="6"/>
  <c r="E234" i="6"/>
  <c r="C178" i="5"/>
  <c r="E177" i="5"/>
  <c r="F177" i="5"/>
  <c r="E167" i="4"/>
  <c r="C168" i="4"/>
  <c r="F167" i="4"/>
  <c r="E176" i="3"/>
  <c r="C177" i="3"/>
  <c r="F176" i="3"/>
  <c r="E236" i="1"/>
  <c r="C237" i="1"/>
  <c r="F236" i="1"/>
  <c r="F166" i="2" l="1"/>
  <c r="C167" i="2"/>
  <c r="E166" i="2"/>
  <c r="F172" i="19"/>
  <c r="E177" i="13"/>
  <c r="C178" i="13"/>
  <c r="F177" i="13"/>
  <c r="B182" i="12"/>
  <c r="E181" i="12"/>
  <c r="D181" i="12"/>
  <c r="C169" i="10"/>
  <c r="F168" i="10"/>
  <c r="E168" i="10"/>
  <c r="C236" i="9"/>
  <c r="F235" i="9"/>
  <c r="E235" i="9"/>
  <c r="C236" i="8"/>
  <c r="E235" i="8"/>
  <c r="F235" i="8"/>
  <c r="F331" i="7"/>
  <c r="E331" i="7"/>
  <c r="C332" i="7"/>
  <c r="E235" i="6"/>
  <c r="C236" i="6"/>
  <c r="F235" i="6"/>
  <c r="F178" i="5"/>
  <c r="C179" i="5"/>
  <c r="E178" i="5"/>
  <c r="E168" i="4"/>
  <c r="C169" i="4"/>
  <c r="F168" i="4"/>
  <c r="F177" i="3"/>
  <c r="E177" i="3"/>
  <c r="C178" i="3"/>
  <c r="F237" i="1"/>
  <c r="E237" i="1"/>
  <c r="C238" i="1"/>
  <c r="E167" i="2" l="1"/>
  <c r="F167" i="2"/>
  <c r="C168" i="2"/>
  <c r="F173" i="19"/>
  <c r="C179" i="13"/>
  <c r="F178" i="13"/>
  <c r="E178" i="13"/>
  <c r="B183" i="12"/>
  <c r="E182" i="12"/>
  <c r="D182" i="12"/>
  <c r="C170" i="10"/>
  <c r="F169" i="10"/>
  <c r="E169" i="10"/>
  <c r="F236" i="9"/>
  <c r="E236" i="9"/>
  <c r="C237" i="9"/>
  <c r="F236" i="8"/>
  <c r="E236" i="8"/>
  <c r="C237" i="8"/>
  <c r="C333" i="7"/>
  <c r="E332" i="7"/>
  <c r="F332" i="7"/>
  <c r="F236" i="6"/>
  <c r="E236" i="6"/>
  <c r="C237" i="6"/>
  <c r="C180" i="5"/>
  <c r="E179" i="5"/>
  <c r="F179" i="5"/>
  <c r="C170" i="4"/>
  <c r="F169" i="4"/>
  <c r="E169" i="4"/>
  <c r="E178" i="3"/>
  <c r="F178" i="3"/>
  <c r="C179" i="3"/>
  <c r="C239" i="1"/>
  <c r="F238" i="1"/>
  <c r="E238" i="1"/>
  <c r="F168" i="2" l="1"/>
  <c r="E168" i="2"/>
  <c r="C169" i="2"/>
  <c r="F174" i="19"/>
  <c r="E179" i="13"/>
  <c r="C180" i="13"/>
  <c r="F179" i="13"/>
  <c r="D183" i="12"/>
  <c r="B184" i="12"/>
  <c r="E183" i="12"/>
  <c r="F170" i="10"/>
  <c r="E170" i="10"/>
  <c r="C171" i="10"/>
  <c r="C238" i="9"/>
  <c r="F237" i="9"/>
  <c r="E237" i="9"/>
  <c r="E237" i="8"/>
  <c r="C238" i="8"/>
  <c r="F237" i="8"/>
  <c r="F333" i="7"/>
  <c r="E333" i="7"/>
  <c r="C334" i="7"/>
  <c r="C238" i="6"/>
  <c r="F237" i="6"/>
  <c r="E237" i="6"/>
  <c r="F180" i="5"/>
  <c r="E180" i="5"/>
  <c r="C181" i="5"/>
  <c r="F170" i="4"/>
  <c r="E170" i="4"/>
  <c r="C171" i="4"/>
  <c r="F179" i="3"/>
  <c r="E179" i="3"/>
  <c r="C180" i="3"/>
  <c r="F239" i="1"/>
  <c r="E239" i="1"/>
  <c r="C240" i="1"/>
  <c r="E169" i="2" l="1"/>
  <c r="F169" i="2"/>
  <c r="C170" i="2"/>
  <c r="F175" i="19"/>
  <c r="C181" i="13"/>
  <c r="F180" i="13"/>
  <c r="E180" i="13"/>
  <c r="B185" i="12"/>
  <c r="E184" i="12"/>
  <c r="D184" i="12"/>
  <c r="C172" i="10"/>
  <c r="F171" i="10"/>
  <c r="E171" i="10"/>
  <c r="E238" i="9"/>
  <c r="F238" i="9"/>
  <c r="C239" i="9"/>
  <c r="E238" i="8"/>
  <c r="F238" i="8"/>
  <c r="C239" i="8"/>
  <c r="C335" i="7"/>
  <c r="F334" i="7"/>
  <c r="E334" i="7"/>
  <c r="F238" i="6"/>
  <c r="E238" i="6"/>
  <c r="C239" i="6"/>
  <c r="C182" i="5"/>
  <c r="E181" i="5"/>
  <c r="F181" i="5"/>
  <c r="C172" i="4"/>
  <c r="F171" i="4"/>
  <c r="E171" i="4"/>
  <c r="E180" i="3"/>
  <c r="C181" i="3"/>
  <c r="F180" i="3"/>
  <c r="C241" i="1"/>
  <c r="F240" i="1"/>
  <c r="E240" i="1"/>
  <c r="F170" i="2" l="1"/>
  <c r="E170" i="2"/>
  <c r="C171" i="2"/>
  <c r="F176" i="19"/>
  <c r="E181" i="13"/>
  <c r="F181" i="13"/>
  <c r="C182" i="13"/>
  <c r="B186" i="12"/>
  <c r="E185" i="12"/>
  <c r="D185" i="12"/>
  <c r="E172" i="10"/>
  <c r="C173" i="10"/>
  <c r="F172" i="10"/>
  <c r="F239" i="9"/>
  <c r="C240" i="9"/>
  <c r="E239" i="9"/>
  <c r="E239" i="8"/>
  <c r="C240" i="8"/>
  <c r="F239" i="8"/>
  <c r="C336" i="7"/>
  <c r="F335" i="7"/>
  <c r="E335" i="7"/>
  <c r="C240" i="6"/>
  <c r="F239" i="6"/>
  <c r="E239" i="6"/>
  <c r="F182" i="5"/>
  <c r="C183" i="5"/>
  <c r="E182" i="5"/>
  <c r="C173" i="4"/>
  <c r="F172" i="4"/>
  <c r="E172" i="4"/>
  <c r="F181" i="3"/>
  <c r="E181" i="3"/>
  <c r="C182" i="3"/>
  <c r="F241" i="1"/>
  <c r="E241" i="1"/>
  <c r="C242" i="1"/>
  <c r="E171" i="2" l="1"/>
  <c r="C172" i="2"/>
  <c r="F171" i="2"/>
  <c r="F177" i="19"/>
  <c r="C183" i="13"/>
  <c r="F182" i="13"/>
  <c r="E182" i="13"/>
  <c r="D186" i="12"/>
  <c r="B187" i="12"/>
  <c r="E186" i="12"/>
  <c r="F173" i="10"/>
  <c r="E173" i="10"/>
  <c r="C174" i="10"/>
  <c r="C241" i="9"/>
  <c r="F240" i="9"/>
  <c r="E240" i="9"/>
  <c r="E240" i="8"/>
  <c r="C241" i="8"/>
  <c r="F240" i="8"/>
  <c r="F336" i="7"/>
  <c r="E336" i="7"/>
  <c r="C337" i="7"/>
  <c r="C241" i="6"/>
  <c r="F240" i="6"/>
  <c r="E240" i="6"/>
  <c r="C184" i="5"/>
  <c r="E183" i="5"/>
  <c r="F183" i="5"/>
  <c r="F173" i="4"/>
  <c r="C174" i="4"/>
  <c r="E173" i="4"/>
  <c r="E182" i="3"/>
  <c r="C183" i="3"/>
  <c r="F182" i="3"/>
  <c r="E242" i="1"/>
  <c r="C243" i="1"/>
  <c r="F242" i="1"/>
  <c r="F172" i="2" l="1"/>
  <c r="E172" i="2"/>
  <c r="C173" i="2"/>
  <c r="F178" i="19"/>
  <c r="E183" i="13"/>
  <c r="C184" i="13"/>
  <c r="F183" i="13"/>
  <c r="B188" i="12"/>
  <c r="E187" i="12"/>
  <c r="D187" i="12"/>
  <c r="C175" i="10"/>
  <c r="E174" i="10"/>
  <c r="F174" i="10"/>
  <c r="F241" i="9"/>
  <c r="E241" i="9"/>
  <c r="C242" i="9"/>
  <c r="E241" i="8"/>
  <c r="F241" i="8"/>
  <c r="C242" i="8"/>
  <c r="C338" i="7"/>
  <c r="F337" i="7"/>
  <c r="E337" i="7"/>
  <c r="F241" i="6"/>
  <c r="E241" i="6"/>
  <c r="C242" i="6"/>
  <c r="F184" i="5"/>
  <c r="E184" i="5"/>
  <c r="C185" i="5"/>
  <c r="C175" i="4"/>
  <c r="F174" i="4"/>
  <c r="E174" i="4"/>
  <c r="F183" i="3"/>
  <c r="E183" i="3"/>
  <c r="C184" i="3"/>
  <c r="C244" i="1"/>
  <c r="F243" i="1"/>
  <c r="E243" i="1"/>
  <c r="E173" i="2" l="1"/>
  <c r="F173" i="2"/>
  <c r="C174" i="2"/>
  <c r="F179" i="19"/>
  <c r="C185" i="13"/>
  <c r="F184" i="13"/>
  <c r="E184" i="13"/>
  <c r="E188" i="12"/>
  <c r="D188" i="12"/>
  <c r="B189" i="12"/>
  <c r="F175" i="10"/>
  <c r="E175" i="10"/>
  <c r="C176" i="10"/>
  <c r="C243" i="9"/>
  <c r="F242" i="9"/>
  <c r="E242" i="9"/>
  <c r="F242" i="8"/>
  <c r="C243" i="8"/>
  <c r="E242" i="8"/>
  <c r="E338" i="7"/>
  <c r="C339" i="7"/>
  <c r="F338" i="7"/>
  <c r="C243" i="6"/>
  <c r="F242" i="6"/>
  <c r="E242" i="6"/>
  <c r="C186" i="5"/>
  <c r="E185" i="5"/>
  <c r="F185" i="5"/>
  <c r="E175" i="4"/>
  <c r="C176" i="4"/>
  <c r="F175" i="4"/>
  <c r="E184" i="3"/>
  <c r="C185" i="3"/>
  <c r="F184" i="3"/>
  <c r="E244" i="1"/>
  <c r="C245" i="1"/>
  <c r="F244" i="1"/>
  <c r="F174" i="2" l="1"/>
  <c r="E174" i="2"/>
  <c r="C175" i="2"/>
  <c r="F180" i="19"/>
  <c r="E185" i="13"/>
  <c r="C186" i="13"/>
  <c r="F185" i="13"/>
  <c r="B190" i="12"/>
  <c r="E189" i="12"/>
  <c r="D189" i="12"/>
  <c r="C177" i="10"/>
  <c r="F176" i="10"/>
  <c r="E176" i="10"/>
  <c r="E243" i="9"/>
  <c r="C244" i="9"/>
  <c r="F243" i="9"/>
  <c r="C244" i="8"/>
  <c r="F243" i="8"/>
  <c r="E243" i="8"/>
  <c r="F339" i="7"/>
  <c r="E339" i="7"/>
  <c r="C340" i="7"/>
  <c r="E243" i="6"/>
  <c r="C244" i="6"/>
  <c r="F243" i="6"/>
  <c r="F186" i="5"/>
  <c r="C187" i="5"/>
  <c r="E186" i="5"/>
  <c r="E176" i="4"/>
  <c r="C177" i="4"/>
  <c r="F176" i="4"/>
  <c r="F185" i="3"/>
  <c r="E185" i="3"/>
  <c r="C186" i="3"/>
  <c r="C246" i="1"/>
  <c r="E245" i="1"/>
  <c r="F245" i="1"/>
  <c r="E175" i="2" l="1"/>
  <c r="C176" i="2"/>
  <c r="F175" i="2"/>
  <c r="F181" i="19"/>
  <c r="C187" i="13"/>
  <c r="F186" i="13"/>
  <c r="E186" i="13"/>
  <c r="B191" i="12"/>
  <c r="E190" i="12"/>
  <c r="D190" i="12"/>
  <c r="C178" i="10"/>
  <c r="F177" i="10"/>
  <c r="E177" i="10"/>
  <c r="F244" i="9"/>
  <c r="E244" i="9"/>
  <c r="C245" i="9"/>
  <c r="C245" i="8"/>
  <c r="E244" i="8"/>
  <c r="F244" i="8"/>
  <c r="C341" i="7"/>
  <c r="E340" i="7"/>
  <c r="F340" i="7"/>
  <c r="F244" i="6"/>
  <c r="E244" i="6"/>
  <c r="C245" i="6"/>
  <c r="C188" i="5"/>
  <c r="E187" i="5"/>
  <c r="F187" i="5"/>
  <c r="C178" i="4"/>
  <c r="F177" i="4"/>
  <c r="E177" i="4"/>
  <c r="E186" i="3"/>
  <c r="C187" i="3"/>
  <c r="F186" i="3"/>
  <c r="E246" i="1"/>
  <c r="C247" i="1"/>
  <c r="F246" i="1"/>
  <c r="E176" i="2" l="1"/>
  <c r="F176" i="2"/>
  <c r="C177" i="2"/>
  <c r="F182" i="19"/>
  <c r="E187" i="13"/>
  <c r="C188" i="13"/>
  <c r="F187" i="13"/>
  <c r="D191" i="12"/>
  <c r="E191" i="12"/>
  <c r="B192" i="12"/>
  <c r="F178" i="10"/>
  <c r="E178" i="10"/>
  <c r="C179" i="10"/>
  <c r="C246" i="9"/>
  <c r="F245" i="9"/>
  <c r="E245" i="9"/>
  <c r="E245" i="8"/>
  <c r="C246" i="8"/>
  <c r="F245" i="8"/>
  <c r="F341" i="7"/>
  <c r="E341" i="7"/>
  <c r="C342" i="7"/>
  <c r="C246" i="6"/>
  <c r="F245" i="6"/>
  <c r="E245" i="6"/>
  <c r="F188" i="5"/>
  <c r="E188" i="5"/>
  <c r="C189" i="5"/>
  <c r="F178" i="4"/>
  <c r="E178" i="4"/>
  <c r="C179" i="4"/>
  <c r="F187" i="3"/>
  <c r="E187" i="3"/>
  <c r="C188" i="3"/>
  <c r="F247" i="1"/>
  <c r="C248" i="1"/>
  <c r="E247" i="1"/>
  <c r="E177" i="2" l="1"/>
  <c r="F177" i="2"/>
  <c r="C178" i="2"/>
  <c r="F183" i="19"/>
  <c r="C189" i="13"/>
  <c r="F188" i="13"/>
  <c r="E188" i="13"/>
  <c r="B193" i="12"/>
  <c r="E192" i="12"/>
  <c r="D192" i="12"/>
  <c r="C180" i="10"/>
  <c r="F179" i="10"/>
  <c r="E179" i="10"/>
  <c r="E246" i="9"/>
  <c r="C247" i="9"/>
  <c r="F246" i="9"/>
  <c r="C247" i="8"/>
  <c r="E246" i="8"/>
  <c r="F246" i="8"/>
  <c r="C343" i="7"/>
  <c r="F342" i="7"/>
  <c r="E342" i="7"/>
  <c r="F246" i="6"/>
  <c r="E246" i="6"/>
  <c r="C247" i="6"/>
  <c r="C190" i="5"/>
  <c r="F189" i="5"/>
  <c r="E189" i="5"/>
  <c r="C180" i="4"/>
  <c r="F179" i="4"/>
  <c r="E179" i="4"/>
  <c r="E188" i="3"/>
  <c r="C189" i="3"/>
  <c r="F188" i="3"/>
  <c r="C249" i="1"/>
  <c r="F248" i="1"/>
  <c r="E248" i="1"/>
  <c r="F178" i="2" l="1"/>
  <c r="C179" i="2"/>
  <c r="E178" i="2"/>
  <c r="F184" i="19"/>
  <c r="E189" i="13"/>
  <c r="C190" i="13"/>
  <c r="F189" i="13"/>
  <c r="B194" i="12"/>
  <c r="E193" i="12"/>
  <c r="D193" i="12"/>
  <c r="E180" i="10"/>
  <c r="C181" i="10"/>
  <c r="F180" i="10"/>
  <c r="F247" i="9"/>
  <c r="E247" i="9"/>
  <c r="C248" i="9"/>
  <c r="E247" i="8"/>
  <c r="C248" i="8"/>
  <c r="F247" i="8"/>
  <c r="C344" i="7"/>
  <c r="F343" i="7"/>
  <c r="E343" i="7"/>
  <c r="C248" i="6"/>
  <c r="F247" i="6"/>
  <c r="E247" i="6"/>
  <c r="F190" i="5"/>
  <c r="C191" i="5"/>
  <c r="E190" i="5"/>
  <c r="C181" i="4"/>
  <c r="F180" i="4"/>
  <c r="E180" i="4"/>
  <c r="F189" i="3"/>
  <c r="E189" i="3"/>
  <c r="C190" i="3"/>
  <c r="F249" i="1"/>
  <c r="C250" i="1"/>
  <c r="E249" i="1"/>
  <c r="E179" i="2" l="1"/>
  <c r="C180" i="2"/>
  <c r="F179" i="2"/>
  <c r="F185" i="19"/>
  <c r="C191" i="13"/>
  <c r="F190" i="13"/>
  <c r="E190" i="13"/>
  <c r="B195" i="12"/>
  <c r="E194" i="12"/>
  <c r="D194" i="12"/>
  <c r="F181" i="10"/>
  <c r="E181" i="10"/>
  <c r="C182" i="10"/>
  <c r="C249" i="9"/>
  <c r="F248" i="9"/>
  <c r="E248" i="9"/>
  <c r="F248" i="8"/>
  <c r="C249" i="8"/>
  <c r="E248" i="8"/>
  <c r="F344" i="7"/>
  <c r="E344" i="7"/>
  <c r="C345" i="7"/>
  <c r="C249" i="6"/>
  <c r="F248" i="6"/>
  <c r="E248" i="6"/>
  <c r="C192" i="5"/>
  <c r="F191" i="5"/>
  <c r="E191" i="5"/>
  <c r="F181" i="4"/>
  <c r="C182" i="4"/>
  <c r="E181" i="4"/>
  <c r="E190" i="3"/>
  <c r="F190" i="3"/>
  <c r="C191" i="3"/>
  <c r="F250" i="1"/>
  <c r="E250" i="1"/>
  <c r="C251" i="1"/>
  <c r="E180" i="2" l="1"/>
  <c r="F180" i="2"/>
  <c r="C181" i="2"/>
  <c r="F186" i="19"/>
  <c r="E191" i="13"/>
  <c r="F191" i="13"/>
  <c r="C192" i="13"/>
  <c r="B196" i="12"/>
  <c r="E195" i="12"/>
  <c r="D195" i="12"/>
  <c r="C183" i="10"/>
  <c r="E182" i="10"/>
  <c r="F182" i="10"/>
  <c r="F249" i="9"/>
  <c r="E249" i="9"/>
  <c r="C250" i="9"/>
  <c r="C250" i="8"/>
  <c r="F249" i="8"/>
  <c r="E249" i="8"/>
  <c r="C346" i="7"/>
  <c r="F345" i="7"/>
  <c r="E345" i="7"/>
  <c r="F249" i="6"/>
  <c r="E249" i="6"/>
  <c r="C250" i="6"/>
  <c r="F192" i="5"/>
  <c r="E192" i="5"/>
  <c r="C193" i="5"/>
  <c r="C183" i="4"/>
  <c r="F182" i="4"/>
  <c r="E182" i="4"/>
  <c r="F191" i="3"/>
  <c r="E191" i="3"/>
  <c r="C192" i="3"/>
  <c r="E251" i="1"/>
  <c r="F251" i="1"/>
  <c r="C252" i="1"/>
  <c r="E181" i="2" l="1"/>
  <c r="F181" i="2"/>
  <c r="C182" i="2"/>
  <c r="F187" i="19"/>
  <c r="C193" i="13"/>
  <c r="F192" i="13"/>
  <c r="E192" i="13"/>
  <c r="E196" i="12"/>
  <c r="D196" i="12"/>
  <c r="B197" i="12"/>
  <c r="F183" i="10"/>
  <c r="E183" i="10"/>
  <c r="C184" i="10"/>
  <c r="C251" i="9"/>
  <c r="F250" i="9"/>
  <c r="E250" i="9"/>
  <c r="F250" i="8"/>
  <c r="E250" i="8"/>
  <c r="C251" i="8"/>
  <c r="E346" i="7"/>
  <c r="C347" i="7"/>
  <c r="F346" i="7"/>
  <c r="C251" i="6"/>
  <c r="F250" i="6"/>
  <c r="E250" i="6"/>
  <c r="C194" i="5"/>
  <c r="F193" i="5"/>
  <c r="E193" i="5"/>
  <c r="E183" i="4"/>
  <c r="C184" i="4"/>
  <c r="F183" i="4"/>
  <c r="E192" i="3"/>
  <c r="C193" i="3"/>
  <c r="F192" i="3"/>
  <c r="E252" i="1"/>
  <c r="C253" i="1"/>
  <c r="F252" i="1"/>
  <c r="F182" i="2" l="1"/>
  <c r="E182" i="2"/>
  <c r="C183" i="2"/>
  <c r="F188" i="19"/>
  <c r="E193" i="13"/>
  <c r="C194" i="13"/>
  <c r="F193" i="13"/>
  <c r="B198" i="12"/>
  <c r="E197" i="12"/>
  <c r="D197" i="12"/>
  <c r="C185" i="10"/>
  <c r="F184" i="10"/>
  <c r="E184" i="10"/>
  <c r="C252" i="9"/>
  <c r="F251" i="9"/>
  <c r="E251" i="9"/>
  <c r="C252" i="8"/>
  <c r="E251" i="8"/>
  <c r="F251" i="8"/>
  <c r="F347" i="7"/>
  <c r="E347" i="7"/>
  <c r="C348" i="7"/>
  <c r="E251" i="6"/>
  <c r="C252" i="6"/>
  <c r="F251" i="6"/>
  <c r="F194" i="5"/>
  <c r="C195" i="5"/>
  <c r="E194" i="5"/>
  <c r="E184" i="4"/>
  <c r="C185" i="4"/>
  <c r="F184" i="4"/>
  <c r="F193" i="3"/>
  <c r="E193" i="3"/>
  <c r="C194" i="3"/>
  <c r="F253" i="1"/>
  <c r="C254" i="1"/>
  <c r="E253" i="1"/>
  <c r="E183" i="2" l="1"/>
  <c r="C184" i="2"/>
  <c r="F183" i="2"/>
  <c r="F189" i="19"/>
  <c r="C195" i="13"/>
  <c r="F194" i="13"/>
  <c r="E194" i="13"/>
  <c r="B199" i="12"/>
  <c r="E198" i="12"/>
  <c r="D198" i="12"/>
  <c r="C186" i="10"/>
  <c r="F185" i="10"/>
  <c r="E185" i="10"/>
  <c r="F252" i="9"/>
  <c r="E252" i="9"/>
  <c r="C253" i="9"/>
  <c r="F252" i="8"/>
  <c r="E252" i="8"/>
  <c r="C253" i="8"/>
  <c r="C349" i="7"/>
  <c r="E348" i="7"/>
  <c r="F348" i="7"/>
  <c r="F252" i="6"/>
  <c r="E252" i="6"/>
  <c r="C253" i="6"/>
  <c r="C196" i="5"/>
  <c r="F195" i="5"/>
  <c r="E195" i="5"/>
  <c r="C186" i="4"/>
  <c r="F185" i="4"/>
  <c r="E185" i="4"/>
  <c r="E194" i="3"/>
  <c r="F194" i="3"/>
  <c r="C195" i="3"/>
  <c r="C255" i="1"/>
  <c r="F254" i="1"/>
  <c r="E254" i="1"/>
  <c r="F184" i="2" l="1"/>
  <c r="C185" i="2"/>
  <c r="E184" i="2"/>
  <c r="F190" i="19"/>
  <c r="E195" i="13"/>
  <c r="C196" i="13"/>
  <c r="F195" i="13"/>
  <c r="D199" i="12"/>
  <c r="E199" i="12"/>
  <c r="B200" i="12"/>
  <c r="F186" i="10"/>
  <c r="E186" i="10"/>
  <c r="C187" i="10"/>
  <c r="C254" i="9"/>
  <c r="F253" i="9"/>
  <c r="E253" i="9"/>
  <c r="E253" i="8"/>
  <c r="C254" i="8"/>
  <c r="F253" i="8"/>
  <c r="F349" i="7"/>
  <c r="E349" i="7"/>
  <c r="C350" i="7"/>
  <c r="C254" i="6"/>
  <c r="F253" i="6"/>
  <c r="E253" i="6"/>
  <c r="F196" i="5"/>
  <c r="C197" i="5"/>
  <c r="E196" i="5"/>
  <c r="F186" i="4"/>
  <c r="E186" i="4"/>
  <c r="C187" i="4"/>
  <c r="F195" i="3"/>
  <c r="E195" i="3"/>
  <c r="C196" i="3"/>
  <c r="F255" i="1"/>
  <c r="E255" i="1"/>
  <c r="C256" i="1"/>
  <c r="E185" i="2" l="1"/>
  <c r="F185" i="2"/>
  <c r="C186" i="2"/>
  <c r="F191" i="19"/>
  <c r="C197" i="13"/>
  <c r="F196" i="13"/>
  <c r="E196" i="13"/>
  <c r="B201" i="12"/>
  <c r="E200" i="12"/>
  <c r="D200" i="12"/>
  <c r="C188" i="10"/>
  <c r="F187" i="10"/>
  <c r="E187" i="10"/>
  <c r="E254" i="9"/>
  <c r="F254" i="9"/>
  <c r="C255" i="9"/>
  <c r="E254" i="8"/>
  <c r="F254" i="8"/>
  <c r="C255" i="8"/>
  <c r="C351" i="7"/>
  <c r="F350" i="7"/>
  <c r="E350" i="7"/>
  <c r="F254" i="6"/>
  <c r="E254" i="6"/>
  <c r="C255" i="6"/>
  <c r="C198" i="5"/>
  <c r="F197" i="5"/>
  <c r="E197" i="5"/>
  <c r="C188" i="4"/>
  <c r="F187" i="4"/>
  <c r="E187" i="4"/>
  <c r="E196" i="3"/>
  <c r="C197" i="3"/>
  <c r="F196" i="3"/>
  <c r="C257" i="1"/>
  <c r="F256" i="1"/>
  <c r="E256" i="1"/>
  <c r="F186" i="2" l="1"/>
  <c r="E186" i="2"/>
  <c r="C187" i="2"/>
  <c r="F192" i="19"/>
  <c r="E197" i="13"/>
  <c r="F197" i="13"/>
  <c r="C198" i="13"/>
  <c r="B202" i="12"/>
  <c r="E201" i="12"/>
  <c r="D201" i="12"/>
  <c r="E188" i="10"/>
  <c r="C189" i="10"/>
  <c r="F188" i="10"/>
  <c r="F255" i="9"/>
  <c r="C256" i="9"/>
  <c r="E255" i="9"/>
  <c r="E255" i="8"/>
  <c r="C256" i="8"/>
  <c r="F255" i="8"/>
  <c r="C352" i="7"/>
  <c r="F351" i="7"/>
  <c r="E351" i="7"/>
  <c r="C256" i="6"/>
  <c r="F255" i="6"/>
  <c r="E255" i="6"/>
  <c r="F198" i="5"/>
  <c r="C199" i="5"/>
  <c r="E198" i="5"/>
  <c r="C189" i="4"/>
  <c r="F188" i="4"/>
  <c r="E188" i="4"/>
  <c r="F197" i="3"/>
  <c r="E197" i="3"/>
  <c r="C198" i="3"/>
  <c r="F257" i="1"/>
  <c r="E257" i="1"/>
  <c r="C258" i="1"/>
  <c r="E187" i="2" l="1"/>
  <c r="C188" i="2"/>
  <c r="F187" i="2"/>
  <c r="F193" i="19"/>
  <c r="C199" i="13"/>
  <c r="F198" i="13"/>
  <c r="E198" i="13"/>
  <c r="D202" i="12"/>
  <c r="B203" i="12"/>
  <c r="E202" i="12"/>
  <c r="F189" i="10"/>
  <c r="E189" i="10"/>
  <c r="C190" i="10"/>
  <c r="C257" i="9"/>
  <c r="F256" i="9"/>
  <c r="E256" i="9"/>
  <c r="E256" i="8"/>
  <c r="C257" i="8"/>
  <c r="F256" i="8"/>
  <c r="F352" i="7"/>
  <c r="E352" i="7"/>
  <c r="C353" i="7"/>
  <c r="C257" i="6"/>
  <c r="F256" i="6"/>
  <c r="E256" i="6"/>
  <c r="C200" i="5"/>
  <c r="F199" i="5"/>
  <c r="E199" i="5"/>
  <c r="F189" i="4"/>
  <c r="C190" i="4"/>
  <c r="E189" i="4"/>
  <c r="E198" i="3"/>
  <c r="C199" i="3"/>
  <c r="F198" i="3"/>
  <c r="E258" i="1"/>
  <c r="C259" i="1"/>
  <c r="F258" i="1"/>
  <c r="F188" i="2" l="1"/>
  <c r="E188" i="2"/>
  <c r="C189" i="2"/>
  <c r="F194" i="19"/>
  <c r="E199" i="13"/>
  <c r="C200" i="13"/>
  <c r="F199" i="13"/>
  <c r="B204" i="12"/>
  <c r="E203" i="12"/>
  <c r="D203" i="12"/>
  <c r="C191" i="10"/>
  <c r="E190" i="10"/>
  <c r="F190" i="10"/>
  <c r="F257" i="9"/>
  <c r="E257" i="9"/>
  <c r="C258" i="9"/>
  <c r="E257" i="8"/>
  <c r="C258" i="8"/>
  <c r="F257" i="8"/>
  <c r="C354" i="7"/>
  <c r="F353" i="7"/>
  <c r="E353" i="7"/>
  <c r="F257" i="6"/>
  <c r="E257" i="6"/>
  <c r="C258" i="6"/>
  <c r="F200" i="5"/>
  <c r="C201" i="5"/>
  <c r="E200" i="5"/>
  <c r="C191" i="4"/>
  <c r="F190" i="4"/>
  <c r="E190" i="4"/>
  <c r="F199" i="3"/>
  <c r="E199" i="3"/>
  <c r="C200" i="3"/>
  <c r="C260" i="1"/>
  <c r="F259" i="1"/>
  <c r="E259" i="1"/>
  <c r="E189" i="2" l="1"/>
  <c r="F189" i="2"/>
  <c r="C190" i="2"/>
  <c r="F195" i="19"/>
  <c r="C201" i="13"/>
  <c r="F200" i="13"/>
  <c r="E200" i="13"/>
  <c r="E204" i="12"/>
  <c r="B205" i="12"/>
  <c r="D204" i="12"/>
  <c r="F191" i="10"/>
  <c r="E191" i="10"/>
  <c r="C192" i="10"/>
  <c r="C259" i="9"/>
  <c r="E258" i="9"/>
  <c r="F258" i="9"/>
  <c r="F258" i="8"/>
  <c r="C259" i="8"/>
  <c r="E258" i="8"/>
  <c r="E354" i="7"/>
  <c r="C355" i="7"/>
  <c r="F354" i="7"/>
  <c r="C259" i="6"/>
  <c r="F258" i="6"/>
  <c r="E258" i="6"/>
  <c r="C202" i="5"/>
  <c r="F201" i="5"/>
  <c r="E201" i="5"/>
  <c r="E191" i="4"/>
  <c r="C192" i="4"/>
  <c r="F191" i="4"/>
  <c r="E200" i="3"/>
  <c r="C201" i="3"/>
  <c r="F200" i="3"/>
  <c r="E260" i="1"/>
  <c r="F260" i="1"/>
  <c r="C261" i="1"/>
  <c r="F190" i="2" l="1"/>
  <c r="C191" i="2"/>
  <c r="E190" i="2"/>
  <c r="F196" i="19"/>
  <c r="E201" i="13"/>
  <c r="C202" i="13"/>
  <c r="F201" i="13"/>
  <c r="B206" i="12"/>
  <c r="E205" i="12"/>
  <c r="D205" i="12"/>
  <c r="C193" i="10"/>
  <c r="F192" i="10"/>
  <c r="E192" i="10"/>
  <c r="F259" i="9"/>
  <c r="E259" i="9"/>
  <c r="C260" i="9"/>
  <c r="C260" i="8"/>
  <c r="F259" i="8"/>
  <c r="E259" i="8"/>
  <c r="F355" i="7"/>
  <c r="E355" i="7"/>
  <c r="C356" i="7"/>
  <c r="E259" i="6"/>
  <c r="C260" i="6"/>
  <c r="F259" i="6"/>
  <c r="F202" i="5"/>
  <c r="E202" i="5"/>
  <c r="C203" i="5"/>
  <c r="E192" i="4"/>
  <c r="C193" i="4"/>
  <c r="F192" i="4"/>
  <c r="F201" i="3"/>
  <c r="E201" i="3"/>
  <c r="C202" i="3"/>
  <c r="F261" i="1"/>
  <c r="E261" i="1"/>
  <c r="C262" i="1"/>
  <c r="E191" i="2" l="1"/>
  <c r="C192" i="2"/>
  <c r="F191" i="2"/>
  <c r="F197" i="19"/>
  <c r="C203" i="13"/>
  <c r="F202" i="13"/>
  <c r="E202" i="13"/>
  <c r="B207" i="12"/>
  <c r="E206" i="12"/>
  <c r="D206" i="12"/>
  <c r="C194" i="10"/>
  <c r="F193" i="10"/>
  <c r="E193" i="10"/>
  <c r="F260" i="9"/>
  <c r="E260" i="9"/>
  <c r="C261" i="9"/>
  <c r="E260" i="8"/>
  <c r="C261" i="8"/>
  <c r="F260" i="8"/>
  <c r="C357" i="7"/>
  <c r="E356" i="7"/>
  <c r="F356" i="7"/>
  <c r="F260" i="6"/>
  <c r="E260" i="6"/>
  <c r="C261" i="6"/>
  <c r="C204" i="5"/>
  <c r="F203" i="5"/>
  <c r="E203" i="5"/>
  <c r="C194" i="4"/>
  <c r="F193" i="4"/>
  <c r="E193" i="4"/>
  <c r="E202" i="3"/>
  <c r="C203" i="3"/>
  <c r="F202" i="3"/>
  <c r="E262" i="1"/>
  <c r="C263" i="1"/>
  <c r="F262" i="1"/>
  <c r="F192" i="2" l="1"/>
  <c r="E192" i="2"/>
  <c r="C193" i="2"/>
  <c r="F198" i="19"/>
  <c r="E203" i="13"/>
  <c r="C204" i="13"/>
  <c r="F203" i="13"/>
  <c r="D207" i="12"/>
  <c r="E207" i="12"/>
  <c r="B208" i="12"/>
  <c r="F194" i="10"/>
  <c r="E194" i="10"/>
  <c r="C195" i="10"/>
  <c r="C262" i="9"/>
  <c r="F261" i="9"/>
  <c r="E261" i="9"/>
  <c r="E261" i="8"/>
  <c r="F261" i="8"/>
  <c r="C262" i="8"/>
  <c r="F357" i="7"/>
  <c r="E357" i="7"/>
  <c r="C358" i="7"/>
  <c r="C262" i="6"/>
  <c r="F261" i="6"/>
  <c r="E261" i="6"/>
  <c r="F204" i="5"/>
  <c r="E204" i="5"/>
  <c r="C205" i="5"/>
  <c r="F194" i="4"/>
  <c r="E194" i="4"/>
  <c r="C195" i="4"/>
  <c r="F203" i="3"/>
  <c r="E203" i="3"/>
  <c r="C204" i="3"/>
  <c r="F263" i="1"/>
  <c r="C264" i="1"/>
  <c r="E263" i="1"/>
  <c r="E193" i="2" l="1"/>
  <c r="C194" i="2"/>
  <c r="F193" i="2"/>
  <c r="F199" i="19"/>
  <c r="C205" i="13"/>
  <c r="F204" i="13"/>
  <c r="E204" i="13"/>
  <c r="B209" i="12"/>
  <c r="E208" i="12"/>
  <c r="D208" i="12"/>
  <c r="C196" i="10"/>
  <c r="F195" i="10"/>
  <c r="E195" i="10"/>
  <c r="E262" i="9"/>
  <c r="C263" i="9"/>
  <c r="F262" i="9"/>
  <c r="C263" i="8"/>
  <c r="E262" i="8"/>
  <c r="F262" i="8"/>
  <c r="C359" i="7"/>
  <c r="F358" i="7"/>
  <c r="E358" i="7"/>
  <c r="F262" i="6"/>
  <c r="E262" i="6"/>
  <c r="C263" i="6"/>
  <c r="C206" i="5"/>
  <c r="F205" i="5"/>
  <c r="E205" i="5"/>
  <c r="C196" i="4"/>
  <c r="F195" i="4"/>
  <c r="E195" i="4"/>
  <c r="E204" i="3"/>
  <c r="C205" i="3"/>
  <c r="F204" i="3"/>
  <c r="C265" i="1"/>
  <c r="F264" i="1"/>
  <c r="E264" i="1"/>
  <c r="F194" i="2" l="1"/>
  <c r="C195" i="2"/>
  <c r="E194" i="2"/>
  <c r="F200" i="19"/>
  <c r="E205" i="13"/>
  <c r="C206" i="13"/>
  <c r="F205" i="13"/>
  <c r="B210" i="12"/>
  <c r="E209" i="12"/>
  <c r="D209" i="12"/>
  <c r="E196" i="10"/>
  <c r="C197" i="10"/>
  <c r="F196" i="10"/>
  <c r="F263" i="9"/>
  <c r="C264" i="9"/>
  <c r="E263" i="9"/>
  <c r="E263" i="8"/>
  <c r="C264" i="8"/>
  <c r="F263" i="8"/>
  <c r="C360" i="7"/>
  <c r="F359" i="7"/>
  <c r="E359" i="7"/>
  <c r="C264" i="6"/>
  <c r="F263" i="6"/>
  <c r="E263" i="6"/>
  <c r="F206" i="5"/>
  <c r="C207" i="5"/>
  <c r="E206" i="5"/>
  <c r="C197" i="4"/>
  <c r="F196" i="4"/>
  <c r="E196" i="4"/>
  <c r="F205" i="3"/>
  <c r="E205" i="3"/>
  <c r="C206" i="3"/>
  <c r="F265" i="1"/>
  <c r="C266" i="1"/>
  <c r="E265" i="1"/>
  <c r="E195" i="2" l="1"/>
  <c r="C196" i="2"/>
  <c r="F195" i="2"/>
  <c r="F201" i="19"/>
  <c r="C207" i="13"/>
  <c r="F206" i="13"/>
  <c r="E206" i="13"/>
  <c r="D210" i="12"/>
  <c r="B211" i="12"/>
  <c r="E210" i="12"/>
  <c r="F197" i="10"/>
  <c r="E197" i="10"/>
  <c r="C198" i="10"/>
  <c r="C265" i="9"/>
  <c r="F264" i="9"/>
  <c r="E264" i="9"/>
  <c r="F264" i="8"/>
  <c r="C265" i="8"/>
  <c r="E264" i="8"/>
  <c r="F360" i="7"/>
  <c r="E360" i="7"/>
  <c r="C361" i="7"/>
  <c r="C265" i="6"/>
  <c r="F264" i="6"/>
  <c r="E264" i="6"/>
  <c r="C208" i="5"/>
  <c r="F207" i="5"/>
  <c r="E207" i="5"/>
  <c r="F197" i="4"/>
  <c r="C198" i="4"/>
  <c r="E197" i="4"/>
  <c r="E206" i="3"/>
  <c r="F206" i="3"/>
  <c r="C207" i="3"/>
  <c r="C267" i="1"/>
  <c r="F266" i="1"/>
  <c r="E266" i="1"/>
  <c r="F196" i="2" l="1"/>
  <c r="E196" i="2"/>
  <c r="C197" i="2"/>
  <c r="F202" i="19"/>
  <c r="E207" i="13"/>
  <c r="F207" i="13"/>
  <c r="C208" i="13"/>
  <c r="B212" i="12"/>
  <c r="E211" i="12"/>
  <c r="D211" i="12"/>
  <c r="C199" i="10"/>
  <c r="E198" i="10"/>
  <c r="F198" i="10"/>
  <c r="F265" i="9"/>
  <c r="E265" i="9"/>
  <c r="C266" i="9"/>
  <c r="C266" i="8"/>
  <c r="F265" i="8"/>
  <c r="E265" i="8"/>
  <c r="C362" i="7"/>
  <c r="F361" i="7"/>
  <c r="E361" i="7"/>
  <c r="F265" i="6"/>
  <c r="E265" i="6"/>
  <c r="C266" i="6"/>
  <c r="F208" i="5"/>
  <c r="E208" i="5"/>
  <c r="C209" i="5"/>
  <c r="C199" i="4"/>
  <c r="F198" i="4"/>
  <c r="E198" i="4"/>
  <c r="F207" i="3"/>
  <c r="E207" i="3"/>
  <c r="C208" i="3"/>
  <c r="E267" i="1"/>
  <c r="C268" i="1"/>
  <c r="F267" i="1"/>
  <c r="E197" i="2" l="1"/>
  <c r="F197" i="2"/>
  <c r="C198" i="2"/>
  <c r="F203" i="19"/>
  <c r="C209" i="13"/>
  <c r="F208" i="13"/>
  <c r="E208" i="13"/>
  <c r="E212" i="12"/>
  <c r="D212" i="12"/>
  <c r="B213" i="12"/>
  <c r="F199" i="10"/>
  <c r="E199" i="10"/>
  <c r="C200" i="10"/>
  <c r="C267" i="9"/>
  <c r="E266" i="9"/>
  <c r="F266" i="9"/>
  <c r="F266" i="8"/>
  <c r="E266" i="8"/>
  <c r="C267" i="8"/>
  <c r="E362" i="7"/>
  <c r="C363" i="7"/>
  <c r="F362" i="7"/>
  <c r="C267" i="6"/>
  <c r="F266" i="6"/>
  <c r="E266" i="6"/>
  <c r="C210" i="5"/>
  <c r="F209" i="5"/>
  <c r="E209" i="5"/>
  <c r="E199" i="4"/>
  <c r="C200" i="4"/>
  <c r="F199" i="4"/>
  <c r="E208" i="3"/>
  <c r="C209" i="3"/>
  <c r="F208" i="3"/>
  <c r="E268" i="1"/>
  <c r="C269" i="1"/>
  <c r="F268" i="1"/>
  <c r="F198" i="2" l="1"/>
  <c r="C199" i="2"/>
  <c r="E198" i="2"/>
  <c r="F204" i="19"/>
  <c r="E209" i="13"/>
  <c r="C210" i="13"/>
  <c r="F209" i="13"/>
  <c r="B214" i="12"/>
  <c r="E213" i="12"/>
  <c r="D213" i="12"/>
  <c r="C201" i="10"/>
  <c r="F200" i="10"/>
  <c r="E200" i="10"/>
  <c r="F267" i="9"/>
  <c r="E267" i="9"/>
  <c r="C268" i="9"/>
  <c r="C268" i="8"/>
  <c r="F267" i="8"/>
  <c r="E267" i="8"/>
  <c r="F363" i="7"/>
  <c r="E363" i="7"/>
  <c r="C364" i="7"/>
  <c r="E267" i="6"/>
  <c r="C268" i="6"/>
  <c r="F267" i="6"/>
  <c r="F210" i="5"/>
  <c r="C211" i="5"/>
  <c r="E210" i="5"/>
  <c r="E200" i="4"/>
  <c r="C201" i="4"/>
  <c r="F200" i="4"/>
  <c r="F209" i="3"/>
  <c r="E209" i="3"/>
  <c r="C210" i="3"/>
  <c r="F269" i="1"/>
  <c r="C270" i="1"/>
  <c r="E269" i="1"/>
  <c r="E199" i="2" l="1"/>
  <c r="F199" i="2"/>
  <c r="C200" i="2"/>
  <c r="F205" i="19"/>
  <c r="C211" i="13"/>
  <c r="F210" i="13"/>
  <c r="E210" i="13"/>
  <c r="B215" i="12"/>
  <c r="E214" i="12"/>
  <c r="D214" i="12"/>
  <c r="C202" i="10"/>
  <c r="F201" i="10"/>
  <c r="E201" i="10"/>
  <c r="F268" i="9"/>
  <c r="E268" i="9"/>
  <c r="C269" i="9"/>
  <c r="F268" i="8"/>
  <c r="C269" i="8"/>
  <c r="E268" i="8"/>
  <c r="C365" i="7"/>
  <c r="E364" i="7"/>
  <c r="F364" i="7"/>
  <c r="F268" i="6"/>
  <c r="E268" i="6"/>
  <c r="C269" i="6"/>
  <c r="C212" i="5"/>
  <c r="F211" i="5"/>
  <c r="E211" i="5"/>
  <c r="C202" i="4"/>
  <c r="F201" i="4"/>
  <c r="E201" i="4"/>
  <c r="C211" i="3"/>
  <c r="E210" i="3"/>
  <c r="F210" i="3"/>
  <c r="C271" i="1"/>
  <c r="F270" i="1"/>
  <c r="E270" i="1"/>
  <c r="F200" i="2" l="1"/>
  <c r="C201" i="2"/>
  <c r="E200" i="2"/>
  <c r="F206" i="19"/>
  <c r="E211" i="13"/>
  <c r="C212" i="13"/>
  <c r="F211" i="13"/>
  <c r="D215" i="12"/>
  <c r="E215" i="12"/>
  <c r="B216" i="12"/>
  <c r="F202" i="10"/>
  <c r="E202" i="10"/>
  <c r="C203" i="10"/>
  <c r="C270" i="9"/>
  <c r="F269" i="9"/>
  <c r="E269" i="9"/>
  <c r="E269" i="8"/>
  <c r="C270" i="8"/>
  <c r="F269" i="8"/>
  <c r="F365" i="7"/>
  <c r="E365" i="7"/>
  <c r="C366" i="7"/>
  <c r="C270" i="6"/>
  <c r="F269" i="6"/>
  <c r="E269" i="6"/>
  <c r="E212" i="5"/>
  <c r="C213" i="5"/>
  <c r="F212" i="5"/>
  <c r="F202" i="4"/>
  <c r="E202" i="4"/>
  <c r="C203" i="4"/>
  <c r="C212" i="3"/>
  <c r="F211" i="3"/>
  <c r="E211" i="3"/>
  <c r="F271" i="1"/>
  <c r="E271" i="1"/>
  <c r="C272" i="1"/>
  <c r="E201" i="2" l="1"/>
  <c r="F201" i="2"/>
  <c r="C202" i="2"/>
  <c r="F207" i="19"/>
  <c r="C213" i="13"/>
  <c r="F212" i="13"/>
  <c r="E212" i="13"/>
  <c r="B217" i="12"/>
  <c r="E216" i="12"/>
  <c r="D216" i="12"/>
  <c r="C204" i="10"/>
  <c r="F203" i="10"/>
  <c r="E203" i="10"/>
  <c r="E270" i="9"/>
  <c r="C271" i="9"/>
  <c r="F270" i="9"/>
  <c r="E270" i="8"/>
  <c r="C271" i="8"/>
  <c r="F270" i="8"/>
  <c r="C367" i="7"/>
  <c r="F366" i="7"/>
  <c r="E366" i="7"/>
  <c r="F270" i="6"/>
  <c r="E270" i="6"/>
  <c r="C271" i="6"/>
  <c r="C214" i="5"/>
  <c r="F213" i="5"/>
  <c r="E213" i="5"/>
  <c r="C204" i="4"/>
  <c r="F203" i="4"/>
  <c r="E203" i="4"/>
  <c r="C213" i="3"/>
  <c r="F212" i="3"/>
  <c r="E212" i="3"/>
  <c r="C273" i="1"/>
  <c r="F272" i="1"/>
  <c r="E272" i="1"/>
  <c r="F202" i="2" l="1"/>
  <c r="C203" i="2"/>
  <c r="E202" i="2"/>
  <c r="F208" i="19"/>
  <c r="E213" i="13"/>
  <c r="F213" i="13"/>
  <c r="C214" i="13"/>
  <c r="B218" i="12"/>
  <c r="E217" i="12"/>
  <c r="D217" i="12"/>
  <c r="E204" i="10"/>
  <c r="C205" i="10"/>
  <c r="F204" i="10"/>
  <c r="F271" i="9"/>
  <c r="C272" i="9"/>
  <c r="E271" i="9"/>
  <c r="E271" i="8"/>
  <c r="C272" i="8"/>
  <c r="F271" i="8"/>
  <c r="C368" i="7"/>
  <c r="F367" i="7"/>
  <c r="E367" i="7"/>
  <c r="C272" i="6"/>
  <c r="F271" i="6"/>
  <c r="E271" i="6"/>
  <c r="F214" i="5"/>
  <c r="E214" i="5"/>
  <c r="C215" i="5"/>
  <c r="C205" i="4"/>
  <c r="F204" i="4"/>
  <c r="E204" i="4"/>
  <c r="F213" i="3"/>
  <c r="C214" i="3"/>
  <c r="E213" i="3"/>
  <c r="F273" i="1"/>
  <c r="C274" i="1"/>
  <c r="E273" i="1"/>
  <c r="C204" i="2" l="1"/>
  <c r="E203" i="2"/>
  <c r="F203" i="2"/>
  <c r="F209" i="19"/>
  <c r="C215" i="13"/>
  <c r="F214" i="13"/>
  <c r="E214" i="13"/>
  <c r="B219" i="12"/>
  <c r="E218" i="12"/>
  <c r="D218" i="12"/>
  <c r="F205" i="10"/>
  <c r="E205" i="10"/>
  <c r="C206" i="10"/>
  <c r="C273" i="9"/>
  <c r="F272" i="9"/>
  <c r="E272" i="9"/>
  <c r="F272" i="8"/>
  <c r="C273" i="8"/>
  <c r="E272" i="8"/>
  <c r="F368" i="7"/>
  <c r="E368" i="7"/>
  <c r="C369" i="7"/>
  <c r="C273" i="6"/>
  <c r="F272" i="6"/>
  <c r="E272" i="6"/>
  <c r="C216" i="5"/>
  <c r="E215" i="5"/>
  <c r="F215" i="5"/>
  <c r="F205" i="4"/>
  <c r="C206" i="4"/>
  <c r="E205" i="4"/>
  <c r="C215" i="3"/>
  <c r="F214" i="3"/>
  <c r="E214" i="3"/>
  <c r="E274" i="1"/>
  <c r="C275" i="1"/>
  <c r="F274" i="1"/>
  <c r="E204" i="2" l="1"/>
  <c r="C205" i="2"/>
  <c r="F204" i="2"/>
  <c r="F210" i="19"/>
  <c r="E215" i="13"/>
  <c r="C216" i="13"/>
  <c r="F215" i="13"/>
  <c r="B220" i="12"/>
  <c r="E219" i="12"/>
  <c r="D219" i="12"/>
  <c r="C207" i="10"/>
  <c r="E206" i="10"/>
  <c r="F206" i="10"/>
  <c r="F273" i="9"/>
  <c r="E273" i="9"/>
  <c r="C274" i="9"/>
  <c r="E273" i="8"/>
  <c r="C274" i="8"/>
  <c r="F273" i="8"/>
  <c r="C370" i="7"/>
  <c r="F369" i="7"/>
  <c r="E369" i="7"/>
  <c r="F273" i="6"/>
  <c r="E273" i="6"/>
  <c r="C274" i="6"/>
  <c r="F216" i="5"/>
  <c r="E216" i="5"/>
  <c r="C217" i="5"/>
  <c r="C207" i="4"/>
  <c r="F206" i="4"/>
  <c r="E206" i="4"/>
  <c r="F215" i="3"/>
  <c r="E215" i="3"/>
  <c r="C216" i="3"/>
  <c r="C276" i="1"/>
  <c r="F275" i="1"/>
  <c r="E275" i="1"/>
  <c r="F205" i="2" l="1"/>
  <c r="E205" i="2"/>
  <c r="C206" i="2"/>
  <c r="F211" i="19"/>
  <c r="C217" i="13"/>
  <c r="F216" i="13"/>
  <c r="E216" i="13"/>
  <c r="E220" i="12"/>
  <c r="D220" i="12"/>
  <c r="B221" i="12"/>
  <c r="F207" i="10"/>
  <c r="E207" i="10"/>
  <c r="C208" i="10"/>
  <c r="C275" i="9"/>
  <c r="E274" i="9"/>
  <c r="F274" i="9"/>
  <c r="F274" i="8"/>
  <c r="C275" i="8"/>
  <c r="E274" i="8"/>
  <c r="E370" i="7"/>
  <c r="C371" i="7"/>
  <c r="F370" i="7"/>
  <c r="C275" i="6"/>
  <c r="F274" i="6"/>
  <c r="E274" i="6"/>
  <c r="C218" i="5"/>
  <c r="E217" i="5"/>
  <c r="F217" i="5"/>
  <c r="F207" i="4"/>
  <c r="E207" i="4"/>
  <c r="C208" i="4"/>
  <c r="C217" i="3"/>
  <c r="E216" i="3"/>
  <c r="F216" i="3"/>
  <c r="E276" i="1"/>
  <c r="C277" i="1"/>
  <c r="F276" i="1"/>
  <c r="C207" i="2" l="1"/>
  <c r="F206" i="2"/>
  <c r="E206" i="2"/>
  <c r="F212" i="19"/>
  <c r="E217" i="13"/>
  <c r="C218" i="13"/>
  <c r="F217" i="13"/>
  <c r="B222" i="12"/>
  <c r="E221" i="12"/>
  <c r="D221" i="12"/>
  <c r="C209" i="10"/>
  <c r="F208" i="10"/>
  <c r="E208" i="10"/>
  <c r="F275" i="9"/>
  <c r="E275" i="9"/>
  <c r="C276" i="9"/>
  <c r="C276" i="8"/>
  <c r="F275" i="8"/>
  <c r="E275" i="8"/>
  <c r="F371" i="7"/>
  <c r="E371" i="7"/>
  <c r="C372" i="7"/>
  <c r="E275" i="6"/>
  <c r="C276" i="6"/>
  <c r="F275" i="6"/>
  <c r="C219" i="5"/>
  <c r="F218" i="5"/>
  <c r="E218" i="5"/>
  <c r="C209" i="4"/>
  <c r="E208" i="4"/>
  <c r="F208" i="4"/>
  <c r="C218" i="3"/>
  <c r="E217" i="3"/>
  <c r="F217" i="3"/>
  <c r="E277" i="1"/>
  <c r="C278" i="1"/>
  <c r="F277" i="1"/>
  <c r="C208" i="2" l="1"/>
  <c r="E207" i="2"/>
  <c r="F207" i="2"/>
  <c r="F213" i="19"/>
  <c r="C219" i="13"/>
  <c r="F218" i="13"/>
  <c r="E218" i="13"/>
  <c r="B223" i="12"/>
  <c r="E222" i="12"/>
  <c r="D222" i="12"/>
  <c r="C210" i="10"/>
  <c r="F209" i="10"/>
  <c r="E209" i="10"/>
  <c r="F276" i="9"/>
  <c r="E276" i="9"/>
  <c r="C277" i="9"/>
  <c r="F276" i="8"/>
  <c r="E276" i="8"/>
  <c r="C277" i="8"/>
  <c r="C373" i="7"/>
  <c r="E372" i="7"/>
  <c r="F372" i="7"/>
  <c r="F276" i="6"/>
  <c r="E276" i="6"/>
  <c r="C277" i="6"/>
  <c r="C220" i="5"/>
  <c r="F219" i="5"/>
  <c r="E219" i="5"/>
  <c r="C210" i="4"/>
  <c r="F209" i="4"/>
  <c r="E209" i="4"/>
  <c r="C219" i="3"/>
  <c r="E218" i="3"/>
  <c r="F218" i="3"/>
  <c r="E278" i="1"/>
  <c r="C279" i="1"/>
  <c r="F278" i="1"/>
  <c r="E208" i="2" l="1"/>
  <c r="C209" i="2"/>
  <c r="F208" i="2"/>
  <c r="F214" i="19"/>
  <c r="E219" i="13"/>
  <c r="C220" i="13"/>
  <c r="F219" i="13"/>
  <c r="D223" i="12"/>
  <c r="E223" i="12"/>
  <c r="B224" i="12"/>
  <c r="F210" i="10"/>
  <c r="E210" i="10"/>
  <c r="C211" i="10"/>
  <c r="C278" i="9"/>
  <c r="F277" i="9"/>
  <c r="E277" i="9"/>
  <c r="E277" i="8"/>
  <c r="F277" i="8"/>
  <c r="C278" i="8"/>
  <c r="F373" i="7"/>
  <c r="E373" i="7"/>
  <c r="C374" i="7"/>
  <c r="C278" i="6"/>
  <c r="F277" i="6"/>
  <c r="E277" i="6"/>
  <c r="C221" i="5"/>
  <c r="F220" i="5"/>
  <c r="E220" i="5"/>
  <c r="F210" i="4"/>
  <c r="E210" i="4"/>
  <c r="C211" i="4"/>
  <c r="C220" i="3"/>
  <c r="F219" i="3"/>
  <c r="E219" i="3"/>
  <c r="F279" i="1"/>
  <c r="C280" i="1"/>
  <c r="E279" i="1"/>
  <c r="C210" i="2" l="1"/>
  <c r="E209" i="2"/>
  <c r="F209" i="2"/>
  <c r="F215" i="19"/>
  <c r="C221" i="13"/>
  <c r="F220" i="13"/>
  <c r="E220" i="13"/>
  <c r="B225" i="12"/>
  <c r="E224" i="12"/>
  <c r="D224" i="12"/>
  <c r="C212" i="10"/>
  <c r="F211" i="10"/>
  <c r="E211" i="10"/>
  <c r="E278" i="9"/>
  <c r="C279" i="9"/>
  <c r="F278" i="9"/>
  <c r="C279" i="8"/>
  <c r="E278" i="8"/>
  <c r="F278" i="8"/>
  <c r="C375" i="7"/>
  <c r="F374" i="7"/>
  <c r="E374" i="7"/>
  <c r="F278" i="6"/>
  <c r="E278" i="6"/>
  <c r="C279" i="6"/>
  <c r="C222" i="5"/>
  <c r="E221" i="5"/>
  <c r="F221" i="5"/>
  <c r="C212" i="4"/>
  <c r="F211" i="4"/>
  <c r="E211" i="4"/>
  <c r="C221" i="3"/>
  <c r="F220" i="3"/>
  <c r="E220" i="3"/>
  <c r="C281" i="1"/>
  <c r="F280" i="1"/>
  <c r="E280" i="1"/>
  <c r="E210" i="2" l="1"/>
  <c r="C211" i="2"/>
  <c r="F210" i="2"/>
  <c r="F216" i="19"/>
  <c r="C222" i="13"/>
  <c r="E221" i="13"/>
  <c r="F221" i="13"/>
  <c r="B226" i="12"/>
  <c r="E225" i="12"/>
  <c r="D225" i="12"/>
  <c r="E212" i="10"/>
  <c r="C213" i="10"/>
  <c r="F212" i="10"/>
  <c r="F279" i="9"/>
  <c r="C280" i="9"/>
  <c r="E279" i="9"/>
  <c r="E279" i="8"/>
  <c r="C280" i="8"/>
  <c r="F279" i="8"/>
  <c r="C376" i="7"/>
  <c r="F375" i="7"/>
  <c r="E375" i="7"/>
  <c r="C280" i="6"/>
  <c r="F279" i="6"/>
  <c r="E279" i="6"/>
  <c r="C223" i="5"/>
  <c r="F222" i="5"/>
  <c r="E222" i="5"/>
  <c r="E212" i="4"/>
  <c r="C213" i="4"/>
  <c r="F212" i="4"/>
  <c r="F221" i="3"/>
  <c r="C222" i="3"/>
  <c r="E221" i="3"/>
  <c r="F281" i="1"/>
  <c r="E281" i="1"/>
  <c r="C282" i="1"/>
  <c r="C212" i="2" l="1"/>
  <c r="E211" i="2"/>
  <c r="F211" i="2"/>
  <c r="F217" i="19"/>
  <c r="C223" i="13"/>
  <c r="F222" i="13"/>
  <c r="E222" i="13"/>
  <c r="D226" i="12"/>
  <c r="B227" i="12"/>
  <c r="E226" i="12"/>
  <c r="F213" i="10"/>
  <c r="E213" i="10"/>
  <c r="C214" i="10"/>
  <c r="C281" i="9"/>
  <c r="F280" i="9"/>
  <c r="E280" i="9"/>
  <c r="F280" i="8"/>
  <c r="E280" i="8"/>
  <c r="C281" i="8"/>
  <c r="F376" i="7"/>
  <c r="E376" i="7"/>
  <c r="C377" i="7"/>
  <c r="C281" i="6"/>
  <c r="F280" i="6"/>
  <c r="E280" i="6"/>
  <c r="F223" i="5"/>
  <c r="E223" i="5"/>
  <c r="C224" i="5"/>
  <c r="F213" i="4"/>
  <c r="C214" i="4"/>
  <c r="E213" i="4"/>
  <c r="C223" i="3"/>
  <c r="F222" i="3"/>
  <c r="E222" i="3"/>
  <c r="C283" i="1"/>
  <c r="F282" i="1"/>
  <c r="E282" i="1"/>
  <c r="E212" i="2" l="1"/>
  <c r="C213" i="2"/>
  <c r="F212" i="2"/>
  <c r="F218" i="19"/>
  <c r="C224" i="13"/>
  <c r="E223" i="13"/>
  <c r="F223" i="13"/>
  <c r="B228" i="12"/>
  <c r="E227" i="12"/>
  <c r="D227" i="12"/>
  <c r="C215" i="10"/>
  <c r="E214" i="10"/>
  <c r="F214" i="10"/>
  <c r="F281" i="9"/>
  <c r="E281" i="9"/>
  <c r="C282" i="9"/>
  <c r="C282" i="8"/>
  <c r="E281" i="8"/>
  <c r="F281" i="8"/>
  <c r="C378" i="7"/>
  <c r="F377" i="7"/>
  <c r="E377" i="7"/>
  <c r="F281" i="6"/>
  <c r="E281" i="6"/>
  <c r="C282" i="6"/>
  <c r="C225" i="5"/>
  <c r="F224" i="5"/>
  <c r="E224" i="5"/>
  <c r="C215" i="4"/>
  <c r="F214" i="4"/>
  <c r="E214" i="4"/>
  <c r="F223" i="3"/>
  <c r="E223" i="3"/>
  <c r="C224" i="3"/>
  <c r="E283" i="1"/>
  <c r="F283" i="1"/>
  <c r="C284" i="1"/>
  <c r="C214" i="2" l="1"/>
  <c r="E213" i="2"/>
  <c r="F213" i="2"/>
  <c r="F219" i="19"/>
  <c r="E224" i="13"/>
  <c r="F224" i="13"/>
  <c r="C225" i="13"/>
  <c r="E228" i="12"/>
  <c r="D228" i="12"/>
  <c r="B229" i="12"/>
  <c r="F215" i="10"/>
  <c r="E215" i="10"/>
  <c r="C216" i="10"/>
  <c r="C283" i="9"/>
  <c r="E282" i="9"/>
  <c r="F282" i="9"/>
  <c r="F282" i="8"/>
  <c r="C283" i="8"/>
  <c r="E282" i="8"/>
  <c r="E378" i="7"/>
  <c r="C379" i="7"/>
  <c r="F378" i="7"/>
  <c r="C283" i="6"/>
  <c r="F282" i="6"/>
  <c r="E282" i="6"/>
  <c r="F225" i="5"/>
  <c r="E225" i="5"/>
  <c r="C226" i="5"/>
  <c r="F215" i="4"/>
  <c r="E215" i="4"/>
  <c r="C216" i="4"/>
  <c r="F224" i="3"/>
  <c r="C225" i="3"/>
  <c r="E224" i="3"/>
  <c r="E284" i="1"/>
  <c r="C285" i="1"/>
  <c r="F284" i="1"/>
  <c r="F214" i="2" l="1"/>
  <c r="E214" i="2"/>
  <c r="C215" i="2"/>
  <c r="F220" i="19"/>
  <c r="C226" i="13"/>
  <c r="E225" i="13"/>
  <c r="F225" i="13"/>
  <c r="B230" i="12"/>
  <c r="E229" i="12"/>
  <c r="D229" i="12"/>
  <c r="C217" i="10"/>
  <c r="F216" i="10"/>
  <c r="E216" i="10"/>
  <c r="F283" i="9"/>
  <c r="E283" i="9"/>
  <c r="C284" i="9"/>
  <c r="C284" i="8"/>
  <c r="F283" i="8"/>
  <c r="E283" i="8"/>
  <c r="F379" i="7"/>
  <c r="E379" i="7"/>
  <c r="C380" i="7"/>
  <c r="E283" i="6"/>
  <c r="C284" i="6"/>
  <c r="F283" i="6"/>
  <c r="C227" i="5"/>
  <c r="F226" i="5"/>
  <c r="E226" i="5"/>
  <c r="C217" i="4"/>
  <c r="E216" i="4"/>
  <c r="F216" i="4"/>
  <c r="F225" i="3"/>
  <c r="E225" i="3"/>
  <c r="C226" i="3"/>
  <c r="F285" i="1"/>
  <c r="C286" i="1"/>
  <c r="E285" i="1"/>
  <c r="C216" i="2" l="1"/>
  <c r="F215" i="2"/>
  <c r="E215" i="2"/>
  <c r="F221" i="19"/>
  <c r="E226" i="13"/>
  <c r="C227" i="13"/>
  <c r="F226" i="13"/>
  <c r="B231" i="12"/>
  <c r="E230" i="12"/>
  <c r="D230" i="12"/>
  <c r="C218" i="10"/>
  <c r="F217" i="10"/>
  <c r="E217" i="10"/>
  <c r="F284" i="9"/>
  <c r="E284" i="9"/>
  <c r="C285" i="9"/>
  <c r="F284" i="8"/>
  <c r="C285" i="8"/>
  <c r="E284" i="8"/>
  <c r="C381" i="7"/>
  <c r="E380" i="7"/>
  <c r="F380" i="7"/>
  <c r="F284" i="6"/>
  <c r="E284" i="6"/>
  <c r="C285" i="6"/>
  <c r="C228" i="5"/>
  <c r="F227" i="5"/>
  <c r="E227" i="5"/>
  <c r="F217" i="4"/>
  <c r="E217" i="4"/>
  <c r="C218" i="4"/>
  <c r="C227" i="3"/>
  <c r="E226" i="3"/>
  <c r="F226" i="3"/>
  <c r="C287" i="1"/>
  <c r="F286" i="1"/>
  <c r="E286" i="1"/>
  <c r="E231" i="12" l="1"/>
  <c r="E216" i="2"/>
  <c r="F216" i="2"/>
  <c r="C217" i="2"/>
  <c r="F222" i="19"/>
  <c r="C228" i="13"/>
  <c r="E227" i="13"/>
  <c r="F227" i="13"/>
  <c r="D231" i="12"/>
  <c r="B232" i="12"/>
  <c r="F218" i="10"/>
  <c r="E218" i="10"/>
  <c r="C219" i="10"/>
  <c r="C286" i="9"/>
  <c r="F285" i="9"/>
  <c r="E285" i="9"/>
  <c r="E285" i="8"/>
  <c r="C286" i="8"/>
  <c r="F285" i="8"/>
  <c r="F381" i="7"/>
  <c r="E381" i="7"/>
  <c r="C382" i="7"/>
  <c r="C286" i="6"/>
  <c r="F285" i="6"/>
  <c r="E285" i="6"/>
  <c r="F228" i="5"/>
  <c r="E228" i="5"/>
  <c r="C229" i="5"/>
  <c r="F218" i="4"/>
  <c r="E218" i="4"/>
  <c r="C219" i="4"/>
  <c r="E227" i="3"/>
  <c r="C228" i="3"/>
  <c r="F227" i="3"/>
  <c r="F287" i="1"/>
  <c r="C288" i="1"/>
  <c r="E287" i="1"/>
  <c r="C218" i="2" l="1"/>
  <c r="E217" i="2"/>
  <c r="F217" i="2"/>
  <c r="F223" i="19"/>
  <c r="E228" i="13"/>
  <c r="F228" i="13"/>
  <c r="C229" i="13"/>
  <c r="B233" i="12"/>
  <c r="E232" i="12"/>
  <c r="D232" i="12"/>
  <c r="C220" i="10"/>
  <c r="F219" i="10"/>
  <c r="E219" i="10"/>
  <c r="E286" i="9"/>
  <c r="C287" i="9"/>
  <c r="F286" i="9"/>
  <c r="E286" i="8"/>
  <c r="C287" i="8"/>
  <c r="F286" i="8"/>
  <c r="C383" i="7"/>
  <c r="F382" i="7"/>
  <c r="E382" i="7"/>
  <c r="F286" i="6"/>
  <c r="E286" i="6"/>
  <c r="C287" i="6"/>
  <c r="C230" i="5"/>
  <c r="E229" i="5"/>
  <c r="F229" i="5"/>
  <c r="C220" i="4"/>
  <c r="F219" i="4"/>
  <c r="E219" i="4"/>
  <c r="F228" i="3"/>
  <c r="C229" i="3"/>
  <c r="E228" i="3"/>
  <c r="C289" i="1"/>
  <c r="F288" i="1"/>
  <c r="E288" i="1"/>
  <c r="E218" i="2" l="1"/>
  <c r="C219" i="2"/>
  <c r="F218" i="2"/>
  <c r="F224" i="19"/>
  <c r="C230" i="13"/>
  <c r="E229" i="13"/>
  <c r="F229" i="13"/>
  <c r="B234" i="12"/>
  <c r="E233" i="12"/>
  <c r="D233" i="12"/>
  <c r="E220" i="10"/>
  <c r="C221" i="10"/>
  <c r="F220" i="10"/>
  <c r="F287" i="9"/>
  <c r="C288" i="9"/>
  <c r="E287" i="9"/>
  <c r="E287" i="8"/>
  <c r="C288" i="8"/>
  <c r="F287" i="8"/>
  <c r="C384" i="7"/>
  <c r="F383" i="7"/>
  <c r="E383" i="7"/>
  <c r="C288" i="6"/>
  <c r="F287" i="6"/>
  <c r="E287" i="6"/>
  <c r="E230" i="5"/>
  <c r="F230" i="5"/>
  <c r="C231" i="5"/>
  <c r="E220" i="4"/>
  <c r="C221" i="4"/>
  <c r="F220" i="4"/>
  <c r="C230" i="3"/>
  <c r="F229" i="3"/>
  <c r="E229" i="3"/>
  <c r="C290" i="1"/>
  <c r="F289" i="1"/>
  <c r="E289" i="1"/>
  <c r="E219" i="2" l="1"/>
  <c r="C220" i="2"/>
  <c r="F219" i="2"/>
  <c r="C385" i="7"/>
  <c r="F225" i="19"/>
  <c r="E230" i="13"/>
  <c r="C231" i="13"/>
  <c r="F230" i="13"/>
  <c r="B235" i="12"/>
  <c r="E234" i="12"/>
  <c r="D234" i="12"/>
  <c r="F221" i="10"/>
  <c r="E221" i="10"/>
  <c r="C222" i="10"/>
  <c r="C289" i="9"/>
  <c r="F288" i="9"/>
  <c r="E288" i="9"/>
  <c r="F288" i="8"/>
  <c r="C289" i="8"/>
  <c r="E288" i="8"/>
  <c r="F384" i="7"/>
  <c r="E384" i="7"/>
  <c r="C289" i="6"/>
  <c r="F288" i="6"/>
  <c r="E288" i="6"/>
  <c r="C232" i="5"/>
  <c r="F231" i="5"/>
  <c r="E231" i="5"/>
  <c r="F221" i="4"/>
  <c r="C222" i="4"/>
  <c r="E221" i="4"/>
  <c r="E230" i="3"/>
  <c r="C231" i="3"/>
  <c r="F230" i="3"/>
  <c r="E290" i="1"/>
  <c r="F290" i="1"/>
  <c r="C291" i="1"/>
  <c r="F220" i="2" l="1"/>
  <c r="E220" i="2"/>
  <c r="C221" i="2"/>
  <c r="C386" i="7"/>
  <c r="F385" i="7"/>
  <c r="E385" i="7"/>
  <c r="F226" i="19"/>
  <c r="C232" i="13"/>
  <c r="E231" i="13"/>
  <c r="F231" i="13"/>
  <c r="B236" i="12"/>
  <c r="E235" i="12"/>
  <c r="D235" i="12"/>
  <c r="C223" i="10"/>
  <c r="E222" i="10"/>
  <c r="F222" i="10"/>
  <c r="F289" i="9"/>
  <c r="E289" i="9"/>
  <c r="C290" i="9"/>
  <c r="E289" i="8"/>
  <c r="C290" i="8"/>
  <c r="F289" i="8"/>
  <c r="F289" i="6"/>
  <c r="E289" i="6"/>
  <c r="C290" i="6"/>
  <c r="E232" i="5"/>
  <c r="F232" i="5"/>
  <c r="C233" i="5"/>
  <c r="C223" i="4"/>
  <c r="F222" i="4"/>
  <c r="E222" i="4"/>
  <c r="F231" i="3"/>
  <c r="E231" i="3"/>
  <c r="C232" i="3"/>
  <c r="C292" i="1"/>
  <c r="F291" i="1"/>
  <c r="E291" i="1"/>
  <c r="C222" i="2" l="1"/>
  <c r="F221" i="2"/>
  <c r="E221" i="2"/>
  <c r="C387" i="7"/>
  <c r="F386" i="7"/>
  <c r="E386" i="7"/>
  <c r="B237" i="12"/>
  <c r="F227" i="19"/>
  <c r="E232" i="13"/>
  <c r="F232" i="13"/>
  <c r="C233" i="13"/>
  <c r="E236" i="12"/>
  <c r="D236" i="12"/>
  <c r="F223" i="10"/>
  <c r="E223" i="10"/>
  <c r="C224" i="10"/>
  <c r="C291" i="9"/>
  <c r="E290" i="9"/>
  <c r="F290" i="9"/>
  <c r="F290" i="8"/>
  <c r="C291" i="8"/>
  <c r="E290" i="8"/>
  <c r="C291" i="6"/>
  <c r="F290" i="6"/>
  <c r="E290" i="6"/>
  <c r="F233" i="5"/>
  <c r="C234" i="5"/>
  <c r="E233" i="5"/>
  <c r="F223" i="4"/>
  <c r="E223" i="4"/>
  <c r="C224" i="4"/>
  <c r="F232" i="3"/>
  <c r="E232" i="3"/>
  <c r="C233" i="3"/>
  <c r="E292" i="1"/>
  <c r="F292" i="1"/>
  <c r="C293" i="1"/>
  <c r="E222" i="2" l="1"/>
  <c r="C223" i="2"/>
  <c r="F222" i="2"/>
  <c r="C388" i="7"/>
  <c r="F387" i="7"/>
  <c r="E387" i="7"/>
  <c r="B238" i="12"/>
  <c r="D237" i="12"/>
  <c r="E237" i="12"/>
  <c r="F228" i="19"/>
  <c r="C234" i="13"/>
  <c r="E233" i="13"/>
  <c r="F233" i="13"/>
  <c r="C225" i="10"/>
  <c r="F224" i="10"/>
  <c r="E224" i="10"/>
  <c r="F291" i="9"/>
  <c r="E291" i="9"/>
  <c r="C292" i="9"/>
  <c r="C292" i="8"/>
  <c r="F291" i="8"/>
  <c r="E291" i="8"/>
  <c r="E291" i="6"/>
  <c r="C292" i="6"/>
  <c r="F291" i="6"/>
  <c r="C235" i="5"/>
  <c r="F234" i="5"/>
  <c r="E234" i="5"/>
  <c r="C225" i="4"/>
  <c r="E224" i="4"/>
  <c r="F224" i="4"/>
  <c r="F233" i="3"/>
  <c r="E233" i="3"/>
  <c r="C234" i="3"/>
  <c r="C294" i="1"/>
  <c r="F293" i="1"/>
  <c r="E293" i="1"/>
  <c r="C224" i="2" l="1"/>
  <c r="F223" i="2"/>
  <c r="E223" i="2"/>
  <c r="C389" i="7"/>
  <c r="E388" i="7"/>
  <c r="F388" i="7"/>
  <c r="B239" i="12"/>
  <c r="D238" i="12"/>
  <c r="E238" i="12"/>
  <c r="F229" i="19"/>
  <c r="E234" i="13"/>
  <c r="C235" i="13"/>
  <c r="F234" i="13"/>
  <c r="C226" i="10"/>
  <c r="F225" i="10"/>
  <c r="E225" i="10"/>
  <c r="F292" i="9"/>
  <c r="E292" i="9"/>
  <c r="C293" i="9"/>
  <c r="F292" i="8"/>
  <c r="E292" i="8"/>
  <c r="C293" i="8"/>
  <c r="F292" i="6"/>
  <c r="E292" i="6"/>
  <c r="C293" i="6"/>
  <c r="F235" i="5"/>
  <c r="E235" i="5"/>
  <c r="C236" i="5"/>
  <c r="C226" i="4"/>
  <c r="F225" i="4"/>
  <c r="E225" i="4"/>
  <c r="C235" i="3"/>
  <c r="E234" i="3"/>
  <c r="F234" i="3"/>
  <c r="E294" i="1"/>
  <c r="F294" i="1"/>
  <c r="C295" i="1"/>
  <c r="E224" i="2" l="1"/>
  <c r="F224" i="2"/>
  <c r="C225" i="2"/>
  <c r="C390" i="7"/>
  <c r="C391" i="7" s="1"/>
  <c r="C392" i="7" s="1"/>
  <c r="E389" i="7"/>
  <c r="F389" i="7"/>
  <c r="B240" i="12"/>
  <c r="E239" i="12"/>
  <c r="D239" i="12"/>
  <c r="F230" i="19"/>
  <c r="C236" i="13"/>
  <c r="E235" i="13"/>
  <c r="F235" i="13"/>
  <c r="F226" i="10"/>
  <c r="E226" i="10"/>
  <c r="C227" i="10"/>
  <c r="C294" i="9"/>
  <c r="F293" i="9"/>
  <c r="E293" i="9"/>
  <c r="E293" i="8"/>
  <c r="C294" i="8"/>
  <c r="F293" i="8"/>
  <c r="C294" i="6"/>
  <c r="F293" i="6"/>
  <c r="E293" i="6"/>
  <c r="C237" i="5"/>
  <c r="E236" i="5"/>
  <c r="F236" i="5"/>
  <c r="F226" i="4"/>
  <c r="E226" i="4"/>
  <c r="C227" i="4"/>
  <c r="C236" i="3"/>
  <c r="F235" i="3"/>
  <c r="E235" i="3"/>
  <c r="F295" i="1"/>
  <c r="C296" i="1"/>
  <c r="E295" i="1"/>
  <c r="C393" i="7" l="1"/>
  <c r="F392" i="7"/>
  <c r="E392" i="7"/>
  <c r="E391" i="7"/>
  <c r="F391" i="7"/>
  <c r="C226" i="2"/>
  <c r="E225" i="2"/>
  <c r="F225" i="2"/>
  <c r="F390" i="7"/>
  <c r="E390" i="7"/>
  <c r="B241" i="12"/>
  <c r="E240" i="12"/>
  <c r="D240" i="12"/>
  <c r="F231" i="19"/>
  <c r="E236" i="13"/>
  <c r="C237" i="13"/>
  <c r="F236" i="13"/>
  <c r="C228" i="10"/>
  <c r="F227" i="10"/>
  <c r="E227" i="10"/>
  <c r="E294" i="9"/>
  <c r="C295" i="9"/>
  <c r="F294" i="9"/>
  <c r="C295" i="8"/>
  <c r="E294" i="8"/>
  <c r="F294" i="8"/>
  <c r="F294" i="6"/>
  <c r="E294" i="6"/>
  <c r="C295" i="6"/>
  <c r="F237" i="5"/>
  <c r="E237" i="5"/>
  <c r="C238" i="5"/>
  <c r="C228" i="4"/>
  <c r="F227" i="4"/>
  <c r="E227" i="4"/>
  <c r="F236" i="3"/>
  <c r="C237" i="3"/>
  <c r="E236" i="3"/>
  <c r="C297" i="1"/>
  <c r="F296" i="1"/>
  <c r="E296" i="1"/>
  <c r="F393" i="7" l="1"/>
  <c r="E393" i="7"/>
  <c r="C394" i="7"/>
  <c r="E226" i="2"/>
  <c r="F226" i="2"/>
  <c r="C227" i="2"/>
  <c r="B242" i="12"/>
  <c r="D241" i="12"/>
  <c r="E241" i="12"/>
  <c r="F232" i="19"/>
  <c r="F237" i="13"/>
  <c r="E237" i="13"/>
  <c r="C238" i="13"/>
  <c r="E228" i="10"/>
  <c r="C229" i="10"/>
  <c r="F228" i="10"/>
  <c r="F295" i="9"/>
  <c r="C296" i="9"/>
  <c r="E295" i="9"/>
  <c r="E295" i="8"/>
  <c r="C296" i="8"/>
  <c r="F295" i="8"/>
  <c r="C296" i="6"/>
  <c r="F295" i="6"/>
  <c r="E295" i="6"/>
  <c r="E238" i="5"/>
  <c r="C239" i="5"/>
  <c r="F238" i="5"/>
  <c r="E228" i="4"/>
  <c r="C229" i="4"/>
  <c r="F228" i="4"/>
  <c r="C238" i="3"/>
  <c r="F237" i="3"/>
  <c r="E237" i="3"/>
  <c r="F297" i="1"/>
  <c r="C298" i="1"/>
  <c r="E297" i="1"/>
  <c r="C395" i="7" l="1"/>
  <c r="F394" i="7"/>
  <c r="E394" i="7"/>
  <c r="B243" i="12"/>
  <c r="B244" i="12" s="1"/>
  <c r="B245" i="12" s="1"/>
  <c r="E242" i="12"/>
  <c r="F227" i="2"/>
  <c r="C228" i="2"/>
  <c r="E227" i="2"/>
  <c r="D242" i="12"/>
  <c r="F233" i="19"/>
  <c r="C239" i="13"/>
  <c r="F238" i="13"/>
  <c r="E238" i="13"/>
  <c r="F229" i="10"/>
  <c r="E229" i="10"/>
  <c r="C230" i="10"/>
  <c r="C297" i="9"/>
  <c r="F296" i="9"/>
  <c r="E296" i="9"/>
  <c r="F296" i="8"/>
  <c r="E296" i="8"/>
  <c r="C297" i="8"/>
  <c r="C297" i="6"/>
  <c r="F296" i="6"/>
  <c r="E296" i="6"/>
  <c r="F239" i="5"/>
  <c r="E239" i="5"/>
  <c r="C240" i="5"/>
  <c r="F229" i="4"/>
  <c r="C230" i="4"/>
  <c r="E229" i="4"/>
  <c r="E238" i="3"/>
  <c r="C239" i="3"/>
  <c r="F238" i="3"/>
  <c r="C299" i="1"/>
  <c r="F298" i="1"/>
  <c r="E298" i="1"/>
  <c r="C396" i="7" l="1"/>
  <c r="E395" i="7"/>
  <c r="F395" i="7"/>
  <c r="D243" i="12"/>
  <c r="E245" i="12"/>
  <c r="D245" i="12"/>
  <c r="B246" i="12"/>
  <c r="E244" i="12"/>
  <c r="E243" i="12"/>
  <c r="D244" i="12"/>
  <c r="E228" i="2"/>
  <c r="C229" i="2"/>
  <c r="F228" i="2"/>
  <c r="F234" i="19"/>
  <c r="E239" i="13"/>
  <c r="C240" i="13"/>
  <c r="F239" i="13"/>
  <c r="C231" i="10"/>
  <c r="E230" i="10"/>
  <c r="F230" i="10"/>
  <c r="F297" i="9"/>
  <c r="E297" i="9"/>
  <c r="C298" i="9"/>
  <c r="C298" i="8"/>
  <c r="E297" i="8"/>
  <c r="F297" i="8"/>
  <c r="F297" i="6"/>
  <c r="E297" i="6"/>
  <c r="C298" i="6"/>
  <c r="C241" i="5"/>
  <c r="F240" i="5"/>
  <c r="E240" i="5"/>
  <c r="C231" i="4"/>
  <c r="F230" i="4"/>
  <c r="E230" i="4"/>
  <c r="F239" i="3"/>
  <c r="E239" i="3"/>
  <c r="C240" i="3"/>
  <c r="E299" i="1"/>
  <c r="C300" i="1"/>
  <c r="F299" i="1"/>
  <c r="C397" i="7" l="1"/>
  <c r="F396" i="7"/>
  <c r="E396" i="7"/>
  <c r="B247" i="12"/>
  <c r="E246" i="12"/>
  <c r="D246" i="12"/>
  <c r="E229" i="2"/>
  <c r="F229" i="2"/>
  <c r="C230" i="2"/>
  <c r="F235" i="19"/>
  <c r="F240" i="13"/>
  <c r="C241" i="13"/>
  <c r="E240" i="13"/>
  <c r="F231" i="10"/>
  <c r="E231" i="10"/>
  <c r="C232" i="10"/>
  <c r="C299" i="9"/>
  <c r="E298" i="9"/>
  <c r="F298" i="9"/>
  <c r="F298" i="8"/>
  <c r="C299" i="8"/>
  <c r="E298" i="8"/>
  <c r="C299" i="6"/>
  <c r="F298" i="6"/>
  <c r="E298" i="6"/>
  <c r="F241" i="5"/>
  <c r="C242" i="5"/>
  <c r="E241" i="5"/>
  <c r="F231" i="4"/>
  <c r="E231" i="4"/>
  <c r="C232" i="4"/>
  <c r="F240" i="3"/>
  <c r="E240" i="3"/>
  <c r="C241" i="3"/>
  <c r="E300" i="1"/>
  <c r="C301" i="1"/>
  <c r="F300" i="1"/>
  <c r="C398" i="7" l="1"/>
  <c r="E397" i="7"/>
  <c r="F397" i="7"/>
  <c r="B248" i="12"/>
  <c r="B249" i="12" s="1"/>
  <c r="B250" i="12" s="1"/>
  <c r="D247" i="12"/>
  <c r="E247" i="12"/>
  <c r="C231" i="2"/>
  <c r="E230" i="2"/>
  <c r="F230" i="2"/>
  <c r="F236" i="19"/>
  <c r="C242" i="13"/>
  <c r="E241" i="13"/>
  <c r="F241" i="13"/>
  <c r="C233" i="10"/>
  <c r="F232" i="10"/>
  <c r="E232" i="10"/>
  <c r="F299" i="9"/>
  <c r="E299" i="9"/>
  <c r="C300" i="9"/>
  <c r="C300" i="8"/>
  <c r="F299" i="8"/>
  <c r="E299" i="8"/>
  <c r="E299" i="6"/>
  <c r="C300" i="6"/>
  <c r="F299" i="6"/>
  <c r="C243" i="5"/>
  <c r="F242" i="5"/>
  <c r="E242" i="5"/>
  <c r="C233" i="4"/>
  <c r="E232" i="4"/>
  <c r="F232" i="4"/>
  <c r="F241" i="3"/>
  <c r="E241" i="3"/>
  <c r="C242" i="3"/>
  <c r="F301" i="1"/>
  <c r="E301" i="1"/>
  <c r="C302" i="1"/>
  <c r="B251" i="12" l="1"/>
  <c r="D250" i="12"/>
  <c r="E250" i="12"/>
  <c r="E249" i="12"/>
  <c r="D249" i="12"/>
  <c r="E398" i="7"/>
  <c r="F398" i="7"/>
  <c r="C399" i="7"/>
  <c r="E248" i="12"/>
  <c r="D248" i="12"/>
  <c r="C232" i="2"/>
  <c r="E231" i="2"/>
  <c r="F231" i="2"/>
  <c r="F237" i="19"/>
  <c r="F242" i="13"/>
  <c r="E242" i="13"/>
  <c r="C243" i="13"/>
  <c r="C234" i="10"/>
  <c r="F233" i="10"/>
  <c r="E233" i="10"/>
  <c r="F300" i="9"/>
  <c r="E300" i="9"/>
  <c r="C301" i="9"/>
  <c r="F300" i="8"/>
  <c r="C301" i="8"/>
  <c r="E300" i="8"/>
  <c r="F300" i="6"/>
  <c r="E300" i="6"/>
  <c r="C301" i="6"/>
  <c r="C244" i="5"/>
  <c r="F243" i="5"/>
  <c r="E243" i="5"/>
  <c r="F233" i="4"/>
  <c r="E233" i="4"/>
  <c r="C234" i="4"/>
  <c r="C243" i="3"/>
  <c r="E242" i="3"/>
  <c r="F242" i="3"/>
  <c r="C303" i="1"/>
  <c r="F302" i="1"/>
  <c r="E302" i="1"/>
  <c r="B252" i="12" l="1"/>
  <c r="C400" i="7"/>
  <c r="E251" i="12"/>
  <c r="D251" i="12"/>
  <c r="F399" i="7"/>
  <c r="E399" i="7"/>
  <c r="E232" i="2"/>
  <c r="C233" i="2"/>
  <c r="F232" i="2"/>
  <c r="F238" i="19"/>
  <c r="C244" i="13"/>
  <c r="E243" i="13"/>
  <c r="F243" i="13"/>
  <c r="F234" i="10"/>
  <c r="E234" i="10"/>
  <c r="C235" i="10"/>
  <c r="C302" i="9"/>
  <c r="F301" i="9"/>
  <c r="E301" i="9"/>
  <c r="E301" i="8"/>
  <c r="F301" i="8"/>
  <c r="C302" i="8"/>
  <c r="C302" i="6"/>
  <c r="F301" i="6"/>
  <c r="E301" i="6"/>
  <c r="F244" i="5"/>
  <c r="E244" i="5"/>
  <c r="C245" i="5"/>
  <c r="F234" i="4"/>
  <c r="E234" i="4"/>
  <c r="C235" i="4"/>
  <c r="E243" i="3"/>
  <c r="C244" i="3"/>
  <c r="F243" i="3"/>
  <c r="F303" i="1"/>
  <c r="E303" i="1"/>
  <c r="C304" i="1"/>
  <c r="E252" i="12" l="1"/>
  <c r="D252" i="12"/>
  <c r="G7" i="7"/>
  <c r="G8" i="7"/>
  <c r="G9" i="7"/>
  <c r="G10" i="7"/>
  <c r="G11" i="7"/>
  <c r="G12" i="7"/>
  <c r="G13" i="7"/>
  <c r="G15" i="7"/>
  <c r="G16" i="7"/>
  <c r="G17" i="7"/>
  <c r="G18" i="7"/>
  <c r="G19" i="7"/>
  <c r="G20" i="7"/>
  <c r="G21" i="7"/>
  <c r="G22" i="7"/>
  <c r="G23" i="7"/>
  <c r="G24" i="7"/>
  <c r="G25" i="7"/>
  <c r="G26" i="7"/>
  <c r="G28" i="7"/>
  <c r="G29" i="7"/>
  <c r="G30" i="7"/>
  <c r="G31" i="7"/>
  <c r="G32" i="7"/>
  <c r="G33" i="7"/>
  <c r="G34" i="7"/>
  <c r="G35" i="7"/>
  <c r="G36" i="7"/>
  <c r="G37" i="7"/>
  <c r="G38" i="7"/>
  <c r="G39" i="7"/>
  <c r="G41" i="7"/>
  <c r="G42" i="7"/>
  <c r="G43" i="7"/>
  <c r="G44" i="7"/>
  <c r="G45" i="7"/>
  <c r="G46" i="7"/>
  <c r="G47" i="7"/>
  <c r="G48" i="7"/>
  <c r="G49" i="7"/>
  <c r="G50" i="7"/>
  <c r="G51" i="7"/>
  <c r="G52" i="7"/>
  <c r="G54" i="7"/>
  <c r="G55" i="7"/>
  <c r="G56" i="7"/>
  <c r="G57" i="7"/>
  <c r="G58" i="7"/>
  <c r="G59" i="7"/>
  <c r="G60" i="7"/>
  <c r="G61" i="7"/>
  <c r="G62" i="7"/>
  <c r="G63" i="7"/>
  <c r="G64" i="7"/>
  <c r="G65" i="7"/>
  <c r="G67" i="7"/>
  <c r="G68" i="7"/>
  <c r="G69" i="7"/>
  <c r="G70" i="7"/>
  <c r="G71" i="7"/>
  <c r="G72" i="7"/>
  <c r="G73" i="7"/>
  <c r="G74" i="7"/>
  <c r="G75" i="7"/>
  <c r="G76" i="7"/>
  <c r="G77" i="7"/>
  <c r="G78" i="7"/>
  <c r="G80" i="7"/>
  <c r="G81" i="7"/>
  <c r="G82" i="7"/>
  <c r="G83" i="7"/>
  <c r="G84" i="7"/>
  <c r="G85" i="7"/>
  <c r="G86" i="7"/>
  <c r="G87" i="7"/>
  <c r="G88" i="7"/>
  <c r="G89" i="7"/>
  <c r="G90" i="7"/>
  <c r="G91" i="7"/>
  <c r="G93" i="7"/>
  <c r="G94" i="7"/>
  <c r="G95" i="7"/>
  <c r="G96" i="7"/>
  <c r="G97" i="7"/>
  <c r="G98" i="7"/>
  <c r="G99" i="7"/>
  <c r="G100" i="7"/>
  <c r="G101" i="7"/>
  <c r="G102" i="7"/>
  <c r="G103" i="7"/>
  <c r="G104" i="7"/>
  <c r="G106" i="7"/>
  <c r="G107" i="7"/>
  <c r="G108" i="7"/>
  <c r="G109" i="7"/>
  <c r="G110" i="7"/>
  <c r="G111" i="7"/>
  <c r="G112" i="7"/>
  <c r="G113" i="7"/>
  <c r="G116" i="7"/>
  <c r="G119" i="7"/>
  <c r="G121" i="7"/>
  <c r="G123" i="7"/>
  <c r="G125" i="7"/>
  <c r="G130" i="7"/>
  <c r="G135" i="7"/>
  <c r="G137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365" i="7"/>
  <c r="G114" i="7"/>
  <c r="G115" i="7"/>
  <c r="G117" i="7"/>
  <c r="G120" i="7"/>
  <c r="G122" i="7"/>
  <c r="G124" i="7"/>
  <c r="G127" i="7"/>
  <c r="G128" i="7"/>
  <c r="G132" i="7"/>
  <c r="G134" i="7"/>
  <c r="G138" i="7"/>
  <c r="G241" i="7"/>
  <c r="G244" i="7"/>
  <c r="G246" i="7"/>
  <c r="G248" i="7"/>
  <c r="G250" i="7"/>
  <c r="G253" i="7"/>
  <c r="G255" i="7"/>
  <c r="G257" i="7"/>
  <c r="G259" i="7"/>
  <c r="G261" i="7"/>
  <c r="G263" i="7"/>
  <c r="G266" i="7"/>
  <c r="G268" i="7"/>
  <c r="G269" i="7"/>
  <c r="G271" i="7"/>
  <c r="G273" i="7"/>
  <c r="G275" i="7"/>
  <c r="G277" i="7"/>
  <c r="G278" i="7"/>
  <c r="G281" i="7"/>
  <c r="G283" i="7"/>
  <c r="G285" i="7"/>
  <c r="G288" i="7"/>
  <c r="G290" i="7"/>
  <c r="G291" i="7"/>
  <c r="G293" i="7"/>
  <c r="G295" i="7"/>
  <c r="G297" i="7"/>
  <c r="G299" i="7"/>
  <c r="G301" i="7"/>
  <c r="G302" i="7"/>
  <c r="G304" i="7"/>
  <c r="G307" i="7"/>
  <c r="G309" i="7"/>
  <c r="G310" i="7"/>
  <c r="G311" i="7"/>
  <c r="G313" i="7"/>
  <c r="G315" i="7"/>
  <c r="G317" i="7"/>
  <c r="G319" i="7"/>
  <c r="G320" i="7"/>
  <c r="G322" i="7"/>
  <c r="G325" i="7"/>
  <c r="G327" i="7"/>
  <c r="G329" i="7"/>
  <c r="G331" i="7"/>
  <c r="G333" i="7"/>
  <c r="G335" i="7"/>
  <c r="G338" i="7"/>
  <c r="G340" i="7"/>
  <c r="G342" i="7"/>
  <c r="G344" i="7"/>
  <c r="G346" i="7"/>
  <c r="G349" i="7"/>
  <c r="G351" i="7"/>
  <c r="G353" i="7"/>
  <c r="G355" i="7"/>
  <c r="G357" i="7"/>
  <c r="G359" i="7"/>
  <c r="G361" i="7"/>
  <c r="G364" i="7"/>
  <c r="G367" i="7"/>
  <c r="G370" i="7"/>
  <c r="G374" i="7"/>
  <c r="G375" i="7"/>
  <c r="G378" i="7"/>
  <c r="G380" i="7"/>
  <c r="G382" i="7"/>
  <c r="G385" i="7"/>
  <c r="G386" i="7"/>
  <c r="G388" i="7"/>
  <c r="G390" i="7"/>
  <c r="G392" i="7"/>
  <c r="G394" i="7"/>
  <c r="G400" i="7"/>
  <c r="G398" i="7"/>
  <c r="G397" i="7"/>
  <c r="G126" i="7"/>
  <c r="G129" i="7"/>
  <c r="G133" i="7"/>
  <c r="G136" i="7"/>
  <c r="G139" i="7"/>
  <c r="G242" i="7"/>
  <c r="G243" i="7"/>
  <c r="G245" i="7"/>
  <c r="G247" i="7"/>
  <c r="G249" i="7"/>
  <c r="G251" i="7"/>
  <c r="G252" i="7"/>
  <c r="G254" i="7"/>
  <c r="G256" i="7"/>
  <c r="G258" i="7"/>
  <c r="G260" i="7"/>
  <c r="G262" i="7"/>
  <c r="G264" i="7"/>
  <c r="G265" i="7"/>
  <c r="G267" i="7"/>
  <c r="G270" i="7"/>
  <c r="G272" i="7"/>
  <c r="G274" i="7"/>
  <c r="G276" i="7"/>
  <c r="G279" i="7"/>
  <c r="G280" i="7"/>
  <c r="G282" i="7"/>
  <c r="G284" i="7"/>
  <c r="G286" i="7"/>
  <c r="G287" i="7"/>
  <c r="G289" i="7"/>
  <c r="G292" i="7"/>
  <c r="G294" i="7"/>
  <c r="G296" i="7"/>
  <c r="G298" i="7"/>
  <c r="G300" i="7"/>
  <c r="G303" i="7"/>
  <c r="G305" i="7"/>
  <c r="G306" i="7"/>
  <c r="G308" i="7"/>
  <c r="G312" i="7"/>
  <c r="G314" i="7"/>
  <c r="G316" i="7"/>
  <c r="G318" i="7"/>
  <c r="G321" i="7"/>
  <c r="G323" i="7"/>
  <c r="G324" i="7"/>
  <c r="G326" i="7"/>
  <c r="G328" i="7"/>
  <c r="G330" i="7"/>
  <c r="G332" i="7"/>
  <c r="G334" i="7"/>
  <c r="G336" i="7"/>
  <c r="G337" i="7"/>
  <c r="G339" i="7"/>
  <c r="G341" i="7"/>
  <c r="G343" i="7"/>
  <c r="G345" i="7"/>
  <c r="G347" i="7"/>
  <c r="G348" i="7"/>
  <c r="G350" i="7"/>
  <c r="G352" i="7"/>
  <c r="G354" i="7"/>
  <c r="G356" i="7"/>
  <c r="G358" i="7"/>
  <c r="G360" i="7"/>
  <c r="G362" i="7"/>
  <c r="G363" i="7"/>
  <c r="G366" i="7"/>
  <c r="G368" i="7"/>
  <c r="G369" i="7"/>
  <c r="G371" i="7"/>
  <c r="G372" i="7"/>
  <c r="G373" i="7"/>
  <c r="G376" i="7"/>
  <c r="G377" i="7"/>
  <c r="G379" i="7"/>
  <c r="G381" i="7"/>
  <c r="G383" i="7"/>
  <c r="G384" i="7"/>
  <c r="G387" i="7"/>
  <c r="G389" i="7"/>
  <c r="G391" i="7"/>
  <c r="G393" i="7"/>
  <c r="G395" i="7"/>
  <c r="G399" i="7"/>
  <c r="G396" i="7"/>
  <c r="F400" i="7"/>
  <c r="E400" i="7"/>
  <c r="E233" i="2"/>
  <c r="F233" i="2"/>
  <c r="C234" i="2"/>
  <c r="F239" i="19"/>
  <c r="E244" i="13"/>
  <c r="C245" i="13"/>
  <c r="F244" i="13"/>
  <c r="C236" i="10"/>
  <c r="F235" i="10"/>
  <c r="E235" i="10"/>
  <c r="E302" i="9"/>
  <c r="C303" i="9"/>
  <c r="F302" i="9"/>
  <c r="E302" i="8"/>
  <c r="C303" i="8"/>
  <c r="F302" i="8"/>
  <c r="F302" i="6"/>
  <c r="E302" i="6"/>
  <c r="C303" i="6"/>
  <c r="C246" i="5"/>
  <c r="E245" i="5"/>
  <c r="F245" i="5"/>
  <c r="C236" i="4"/>
  <c r="F235" i="4"/>
  <c r="E235" i="4"/>
  <c r="F244" i="3"/>
  <c r="C245" i="3"/>
  <c r="E244" i="3"/>
  <c r="C305" i="1"/>
  <c r="F304" i="1"/>
  <c r="E304" i="1"/>
  <c r="E234" i="2" l="1"/>
  <c r="C235" i="2"/>
  <c r="F234" i="2"/>
  <c r="F240" i="19"/>
  <c r="F245" i="13"/>
  <c r="E245" i="13"/>
  <c r="C246" i="13"/>
  <c r="E236" i="10"/>
  <c r="C237" i="10"/>
  <c r="F236" i="10"/>
  <c r="F303" i="9"/>
  <c r="C304" i="9"/>
  <c r="E303" i="9"/>
  <c r="E303" i="8"/>
  <c r="C304" i="8"/>
  <c r="F303" i="8"/>
  <c r="C304" i="6"/>
  <c r="F303" i="6"/>
  <c r="E303" i="6"/>
  <c r="E246" i="5"/>
  <c r="F246" i="5"/>
  <c r="C247" i="5"/>
  <c r="E236" i="4"/>
  <c r="C237" i="4"/>
  <c r="F236" i="4"/>
  <c r="C246" i="3"/>
  <c r="F245" i="3"/>
  <c r="E245" i="3"/>
  <c r="F305" i="1"/>
  <c r="E305" i="1"/>
  <c r="C306" i="1"/>
  <c r="C236" i="2" l="1"/>
  <c r="F235" i="2"/>
  <c r="E235" i="2"/>
  <c r="F241" i="19"/>
  <c r="C247" i="13"/>
  <c r="F246" i="13"/>
  <c r="E246" i="13"/>
  <c r="F237" i="10"/>
  <c r="E237" i="10"/>
  <c r="C238" i="10"/>
  <c r="C305" i="9"/>
  <c r="F304" i="9"/>
  <c r="E304" i="9"/>
  <c r="C305" i="8"/>
  <c r="F304" i="8"/>
  <c r="E304" i="8"/>
  <c r="C305" i="6"/>
  <c r="F304" i="6"/>
  <c r="E304" i="6"/>
  <c r="C248" i="5"/>
  <c r="F247" i="5"/>
  <c r="E247" i="5"/>
  <c r="F237" i="4"/>
  <c r="C238" i="4"/>
  <c r="E237" i="4"/>
  <c r="E246" i="3"/>
  <c r="C247" i="3"/>
  <c r="F246" i="3"/>
  <c r="E306" i="1"/>
  <c r="C307" i="1"/>
  <c r="F306" i="1"/>
  <c r="F236" i="2" l="1"/>
  <c r="E236" i="2"/>
  <c r="C237" i="2"/>
  <c r="F242" i="19"/>
  <c r="E247" i="13"/>
  <c r="C248" i="13"/>
  <c r="F247" i="13"/>
  <c r="C239" i="10"/>
  <c r="E238" i="10"/>
  <c r="F238" i="10"/>
  <c r="F305" i="9"/>
  <c r="E305" i="9"/>
  <c r="C306" i="9"/>
  <c r="E305" i="8"/>
  <c r="F305" i="8"/>
  <c r="C306" i="8"/>
  <c r="F305" i="6"/>
  <c r="E305" i="6"/>
  <c r="C306" i="6"/>
  <c r="E248" i="5"/>
  <c r="C249" i="5"/>
  <c r="F248" i="5"/>
  <c r="C239" i="4"/>
  <c r="F238" i="4"/>
  <c r="E238" i="4"/>
  <c r="F247" i="3"/>
  <c r="C248" i="3"/>
  <c r="E247" i="3"/>
  <c r="C308" i="1"/>
  <c r="F307" i="1"/>
  <c r="E307" i="1"/>
  <c r="C238" i="2" l="1"/>
  <c r="E237" i="2"/>
  <c r="F237" i="2"/>
  <c r="F243" i="19"/>
  <c r="F248" i="13"/>
  <c r="C249" i="13"/>
  <c r="E248" i="13"/>
  <c r="F239" i="10"/>
  <c r="E239" i="10"/>
  <c r="C240" i="10"/>
  <c r="C307" i="9"/>
  <c r="E306" i="9"/>
  <c r="F306" i="9"/>
  <c r="F306" i="8"/>
  <c r="C307" i="8"/>
  <c r="E306" i="8"/>
  <c r="C307" i="6"/>
  <c r="F306" i="6"/>
  <c r="E306" i="6"/>
  <c r="F249" i="5"/>
  <c r="C250" i="5"/>
  <c r="E249" i="5"/>
  <c r="F239" i="4"/>
  <c r="E239" i="4"/>
  <c r="C240" i="4"/>
  <c r="F248" i="3"/>
  <c r="E248" i="3"/>
  <c r="C249" i="3"/>
  <c r="E308" i="1"/>
  <c r="C309" i="1"/>
  <c r="F308" i="1"/>
  <c r="E238" i="2" l="1"/>
  <c r="F238" i="2"/>
  <c r="C239" i="2"/>
  <c r="F244" i="19"/>
  <c r="C250" i="13"/>
  <c r="E249" i="13"/>
  <c r="F249" i="13"/>
  <c r="C241" i="10"/>
  <c r="F240" i="10"/>
  <c r="E240" i="10"/>
  <c r="F307" i="9"/>
  <c r="E307" i="9"/>
  <c r="C308" i="9"/>
  <c r="C308" i="8"/>
  <c r="F307" i="8"/>
  <c r="E307" i="8"/>
  <c r="E307" i="6"/>
  <c r="C308" i="6"/>
  <c r="F307" i="6"/>
  <c r="C251" i="5"/>
  <c r="F250" i="5"/>
  <c r="E250" i="5"/>
  <c r="C241" i="4"/>
  <c r="E240" i="4"/>
  <c r="F240" i="4"/>
  <c r="F249" i="3"/>
  <c r="E249" i="3"/>
  <c r="C250" i="3"/>
  <c r="C310" i="1"/>
  <c r="F309" i="1"/>
  <c r="E309" i="1"/>
  <c r="C240" i="2" l="1"/>
  <c r="F239" i="2"/>
  <c r="E239" i="2"/>
  <c r="F245" i="19"/>
  <c r="F250" i="13"/>
  <c r="E250" i="13"/>
  <c r="C251" i="13"/>
  <c r="C242" i="10"/>
  <c r="F241" i="10"/>
  <c r="E241" i="10"/>
  <c r="F308" i="9"/>
  <c r="E308" i="9"/>
  <c r="C309" i="9"/>
  <c r="F308" i="8"/>
  <c r="E308" i="8"/>
  <c r="C309" i="8"/>
  <c r="F308" i="6"/>
  <c r="E308" i="6"/>
  <c r="C309" i="6"/>
  <c r="F251" i="5"/>
  <c r="E251" i="5"/>
  <c r="C252" i="5"/>
  <c r="C242" i="4"/>
  <c r="F241" i="4"/>
  <c r="E241" i="4"/>
  <c r="C251" i="3"/>
  <c r="E250" i="3"/>
  <c r="F250" i="3"/>
  <c r="E310" i="1"/>
  <c r="C311" i="1"/>
  <c r="F310" i="1"/>
  <c r="C241" i="2" l="1"/>
  <c r="E240" i="2"/>
  <c r="F240" i="2"/>
  <c r="F246" i="19"/>
  <c r="C252" i="13"/>
  <c r="E251" i="13"/>
  <c r="F251" i="13"/>
  <c r="F242" i="10"/>
  <c r="E242" i="10"/>
  <c r="C243" i="10"/>
  <c r="C310" i="9"/>
  <c r="F309" i="9"/>
  <c r="E309" i="9"/>
  <c r="E309" i="8"/>
  <c r="C310" i="8"/>
  <c r="F309" i="8"/>
  <c r="C310" i="6"/>
  <c r="F309" i="6"/>
  <c r="E309" i="6"/>
  <c r="E252" i="5"/>
  <c r="F252" i="5"/>
  <c r="C253" i="5"/>
  <c r="F242" i="4"/>
  <c r="E242" i="4"/>
  <c r="C243" i="4"/>
  <c r="C252" i="3"/>
  <c r="F251" i="3"/>
  <c r="E251" i="3"/>
  <c r="F311" i="1"/>
  <c r="C312" i="1"/>
  <c r="E311" i="1"/>
  <c r="C242" i="2" l="1"/>
  <c r="E241" i="2"/>
  <c r="F241" i="2"/>
  <c r="F247" i="19"/>
  <c r="E252" i="13"/>
  <c r="C253" i="13"/>
  <c r="F252" i="13"/>
  <c r="C244" i="10"/>
  <c r="F243" i="10"/>
  <c r="E243" i="10"/>
  <c r="E310" i="9"/>
  <c r="C311" i="9"/>
  <c r="F310" i="9"/>
  <c r="C311" i="8"/>
  <c r="E310" i="8"/>
  <c r="F310" i="8"/>
  <c r="F310" i="6"/>
  <c r="E310" i="6"/>
  <c r="C311" i="6"/>
  <c r="F253" i="5"/>
  <c r="E253" i="5"/>
  <c r="C254" i="5"/>
  <c r="C244" i="4"/>
  <c r="F243" i="4"/>
  <c r="E243" i="4"/>
  <c r="F252" i="3"/>
  <c r="C253" i="3"/>
  <c r="E252" i="3"/>
  <c r="C313" i="1"/>
  <c r="F312" i="1"/>
  <c r="E312" i="1"/>
  <c r="C243" i="2" l="1"/>
  <c r="E242" i="2"/>
  <c r="F242" i="2"/>
  <c r="F248" i="19"/>
  <c r="F253" i="13"/>
  <c r="E253" i="13"/>
  <c r="C254" i="13"/>
  <c r="E244" i="10"/>
  <c r="C245" i="10"/>
  <c r="F244" i="10"/>
  <c r="F311" i="9"/>
  <c r="C312" i="9"/>
  <c r="E311" i="9"/>
  <c r="E311" i="8"/>
  <c r="C312" i="8"/>
  <c r="F311" i="8"/>
  <c r="C312" i="6"/>
  <c r="F311" i="6"/>
  <c r="E311" i="6"/>
  <c r="E254" i="5"/>
  <c r="C255" i="5"/>
  <c r="F254" i="5"/>
  <c r="E244" i="4"/>
  <c r="C245" i="4"/>
  <c r="F244" i="4"/>
  <c r="C254" i="3"/>
  <c r="F253" i="3"/>
  <c r="E253" i="3"/>
  <c r="F313" i="1"/>
  <c r="C314" i="1"/>
  <c r="E313" i="1"/>
  <c r="C244" i="2" l="1"/>
  <c r="E243" i="2"/>
  <c r="F243" i="2"/>
  <c r="F249" i="19"/>
  <c r="C255" i="13"/>
  <c r="F254" i="13"/>
  <c r="E254" i="13"/>
  <c r="F245" i="10"/>
  <c r="E245" i="10"/>
  <c r="C246" i="10"/>
  <c r="C313" i="9"/>
  <c r="F312" i="9"/>
  <c r="E312" i="9"/>
  <c r="F312" i="8"/>
  <c r="C313" i="8"/>
  <c r="E312" i="8"/>
  <c r="C313" i="6"/>
  <c r="F312" i="6"/>
  <c r="E312" i="6"/>
  <c r="F255" i="5"/>
  <c r="E255" i="5"/>
  <c r="C256" i="5"/>
  <c r="F245" i="4"/>
  <c r="C246" i="4"/>
  <c r="E245" i="4"/>
  <c r="E254" i="3"/>
  <c r="C255" i="3"/>
  <c r="F254" i="3"/>
  <c r="F314" i="1"/>
  <c r="E314" i="1"/>
  <c r="C315" i="1"/>
  <c r="E244" i="2" l="1"/>
  <c r="C245" i="2"/>
  <c r="F244" i="2"/>
  <c r="F250" i="19"/>
  <c r="E255" i="13"/>
  <c r="C256" i="13"/>
  <c r="F255" i="13"/>
  <c r="C247" i="10"/>
  <c r="E246" i="10"/>
  <c r="F246" i="10"/>
  <c r="F313" i="9"/>
  <c r="E313" i="9"/>
  <c r="C314" i="9"/>
  <c r="C314" i="8"/>
  <c r="F313" i="8"/>
  <c r="E313" i="8"/>
  <c r="F313" i="6"/>
  <c r="E313" i="6"/>
  <c r="C314" i="6"/>
  <c r="C257" i="5"/>
  <c r="E256" i="5"/>
  <c r="F256" i="5"/>
  <c r="C247" i="4"/>
  <c r="F246" i="4"/>
  <c r="E246" i="4"/>
  <c r="F255" i="3"/>
  <c r="E255" i="3"/>
  <c r="C256" i="3"/>
  <c r="E315" i="1"/>
  <c r="C316" i="1"/>
  <c r="F315" i="1"/>
  <c r="C246" i="2" l="1"/>
  <c r="E245" i="2"/>
  <c r="F245" i="2"/>
  <c r="F251" i="19"/>
  <c r="F256" i="13"/>
  <c r="C257" i="13"/>
  <c r="E256" i="13"/>
  <c r="F247" i="10"/>
  <c r="E247" i="10"/>
  <c r="C248" i="10"/>
  <c r="C315" i="9"/>
  <c r="E314" i="9"/>
  <c r="F314" i="9"/>
  <c r="F314" i="8"/>
  <c r="C315" i="8"/>
  <c r="E314" i="8"/>
  <c r="C315" i="6"/>
  <c r="F314" i="6"/>
  <c r="E314" i="6"/>
  <c r="F257" i="5"/>
  <c r="C258" i="5"/>
  <c r="E257" i="5"/>
  <c r="F247" i="4"/>
  <c r="E247" i="4"/>
  <c r="C248" i="4"/>
  <c r="F256" i="3"/>
  <c r="C257" i="3"/>
  <c r="E256" i="3"/>
  <c r="E316" i="1"/>
  <c r="C317" i="1"/>
  <c r="F316" i="1"/>
  <c r="E246" i="2" l="1"/>
  <c r="F246" i="2"/>
  <c r="C247" i="2"/>
  <c r="F252" i="19"/>
  <c r="C258" i="13"/>
  <c r="E257" i="13"/>
  <c r="F257" i="13"/>
  <c r="C249" i="10"/>
  <c r="F248" i="10"/>
  <c r="E248" i="10"/>
  <c r="F315" i="9"/>
  <c r="E315" i="9"/>
  <c r="C316" i="9"/>
  <c r="C316" i="8"/>
  <c r="F315" i="8"/>
  <c r="E315" i="8"/>
  <c r="E315" i="6"/>
  <c r="C316" i="6"/>
  <c r="F315" i="6"/>
  <c r="C259" i="5"/>
  <c r="F258" i="5"/>
  <c r="E258" i="5"/>
  <c r="C249" i="4"/>
  <c r="E248" i="4"/>
  <c r="F248" i="4"/>
  <c r="F257" i="3"/>
  <c r="E257" i="3"/>
  <c r="C258" i="3"/>
  <c r="F317" i="1"/>
  <c r="C318" i="1"/>
  <c r="E317" i="1"/>
  <c r="C248" i="2" l="1"/>
  <c r="F247" i="2"/>
  <c r="E247" i="2"/>
  <c r="F253" i="19"/>
  <c r="F258" i="13"/>
  <c r="E258" i="13"/>
  <c r="C259" i="13"/>
  <c r="C250" i="10"/>
  <c r="F249" i="10"/>
  <c r="E249" i="10"/>
  <c r="F316" i="9"/>
  <c r="E316" i="9"/>
  <c r="C317" i="9"/>
  <c r="F316" i="8"/>
  <c r="C317" i="8"/>
  <c r="E316" i="8"/>
  <c r="F316" i="6"/>
  <c r="E316" i="6"/>
  <c r="C317" i="6"/>
  <c r="C260" i="5"/>
  <c r="F259" i="5"/>
  <c r="E259" i="5"/>
  <c r="C250" i="4"/>
  <c r="F249" i="4"/>
  <c r="E249" i="4"/>
  <c r="C259" i="3"/>
  <c r="E258" i="3"/>
  <c r="F258" i="3"/>
  <c r="C319" i="1"/>
  <c r="F318" i="1"/>
  <c r="E318" i="1"/>
  <c r="F248" i="2" l="1"/>
  <c r="E248" i="2"/>
  <c r="C249" i="2"/>
  <c r="F254" i="19"/>
  <c r="C260" i="13"/>
  <c r="E259" i="13"/>
  <c r="F259" i="13"/>
  <c r="F250" i="10"/>
  <c r="E250" i="10"/>
  <c r="C251" i="10"/>
  <c r="C318" i="9"/>
  <c r="F317" i="9"/>
  <c r="E317" i="9"/>
  <c r="E317" i="8"/>
  <c r="F317" i="8"/>
  <c r="C318" i="8"/>
  <c r="C318" i="6"/>
  <c r="F317" i="6"/>
  <c r="E317" i="6"/>
  <c r="F260" i="5"/>
  <c r="E260" i="5"/>
  <c r="C261" i="5"/>
  <c r="F250" i="4"/>
  <c r="E250" i="4"/>
  <c r="C251" i="4"/>
  <c r="E259" i="3"/>
  <c r="F259" i="3"/>
  <c r="C260" i="3"/>
  <c r="F319" i="1"/>
  <c r="E319" i="1"/>
  <c r="C320" i="1"/>
  <c r="C250" i="2" l="1"/>
  <c r="E249" i="2"/>
  <c r="F249" i="2"/>
  <c r="F255" i="19"/>
  <c r="E260" i="13"/>
  <c r="C261" i="13"/>
  <c r="F260" i="13"/>
  <c r="C252" i="10"/>
  <c r="F251" i="10"/>
  <c r="E251" i="10"/>
  <c r="E318" i="9"/>
  <c r="C319" i="9"/>
  <c r="F318" i="9"/>
  <c r="E318" i="8"/>
  <c r="C319" i="8"/>
  <c r="F318" i="8"/>
  <c r="F318" i="6"/>
  <c r="E318" i="6"/>
  <c r="C319" i="6"/>
  <c r="C262" i="5"/>
  <c r="F261" i="5"/>
  <c r="E261" i="5"/>
  <c r="C252" i="4"/>
  <c r="F251" i="4"/>
  <c r="E251" i="4"/>
  <c r="F260" i="3"/>
  <c r="C261" i="3"/>
  <c r="E260" i="3"/>
  <c r="C321" i="1"/>
  <c r="F320" i="1"/>
  <c r="E320" i="1"/>
  <c r="E250" i="2" l="1"/>
  <c r="C251" i="2"/>
  <c r="F250" i="2"/>
  <c r="F256" i="19"/>
  <c r="F261" i="13"/>
  <c r="E261" i="13"/>
  <c r="C262" i="13"/>
  <c r="E252" i="10"/>
  <c r="C253" i="10"/>
  <c r="F252" i="10"/>
  <c r="F319" i="9"/>
  <c r="C320" i="9"/>
  <c r="E319" i="9"/>
  <c r="E319" i="8"/>
  <c r="C320" i="8"/>
  <c r="F319" i="8"/>
  <c r="C320" i="6"/>
  <c r="F319" i="6"/>
  <c r="E319" i="6"/>
  <c r="E262" i="5"/>
  <c r="F262" i="5"/>
  <c r="C263" i="5"/>
  <c r="E252" i="4"/>
  <c r="C253" i="4"/>
  <c r="F252" i="4"/>
  <c r="C262" i="3"/>
  <c r="F261" i="3"/>
  <c r="E261" i="3"/>
  <c r="F321" i="1"/>
  <c r="E321" i="1"/>
  <c r="C322" i="1"/>
  <c r="C252" i="2" l="1"/>
  <c r="E251" i="2"/>
  <c r="F251" i="2"/>
  <c r="F257" i="19"/>
  <c r="C263" i="13"/>
  <c r="F262" i="13"/>
  <c r="E262" i="13"/>
  <c r="F253" i="10"/>
  <c r="E253" i="10"/>
  <c r="C254" i="10"/>
  <c r="C321" i="9"/>
  <c r="F320" i="9"/>
  <c r="E320" i="9"/>
  <c r="F320" i="8"/>
  <c r="E320" i="8"/>
  <c r="C321" i="8"/>
  <c r="C321" i="6"/>
  <c r="C13" i="20" s="1"/>
  <c r="F320" i="6"/>
  <c r="E320" i="6"/>
  <c r="F263" i="5"/>
  <c r="E263" i="5"/>
  <c r="C264" i="5"/>
  <c r="F253" i="4"/>
  <c r="E253" i="4"/>
  <c r="C254" i="4"/>
  <c r="E262" i="3"/>
  <c r="C263" i="3"/>
  <c r="F262" i="3"/>
  <c r="E322" i="1"/>
  <c r="C323" i="1"/>
  <c r="F322" i="1"/>
  <c r="E252" i="2" l="1"/>
  <c r="F252" i="2"/>
  <c r="C253" i="2"/>
  <c r="F258" i="19"/>
  <c r="E263" i="13"/>
  <c r="C264" i="13"/>
  <c r="F263" i="13"/>
  <c r="C255" i="10"/>
  <c r="E254" i="10"/>
  <c r="F254" i="10"/>
  <c r="F321" i="9"/>
  <c r="E321" i="9"/>
  <c r="C322" i="9"/>
  <c r="E321" i="8"/>
  <c r="C322" i="8"/>
  <c r="F321" i="8"/>
  <c r="F321" i="6"/>
  <c r="F13" i="20" s="1"/>
  <c r="E321" i="6"/>
  <c r="E13" i="20" s="1"/>
  <c r="C265" i="5"/>
  <c r="E264" i="5"/>
  <c r="F264" i="5"/>
  <c r="C255" i="4"/>
  <c r="F254" i="4"/>
  <c r="E254" i="4"/>
  <c r="F263" i="3"/>
  <c r="C264" i="3"/>
  <c r="E263" i="3"/>
  <c r="C324" i="1"/>
  <c r="F323" i="1"/>
  <c r="E323" i="1"/>
  <c r="C254" i="2" l="1"/>
  <c r="E253" i="2"/>
  <c r="F253" i="2"/>
  <c r="F259" i="19"/>
  <c r="F264" i="13"/>
  <c r="C265" i="13"/>
  <c r="E264" i="13"/>
  <c r="F255" i="10"/>
  <c r="E255" i="10"/>
  <c r="C256" i="10"/>
  <c r="C323" i="9"/>
  <c r="E322" i="9"/>
  <c r="F322" i="9"/>
  <c r="F322" i="8"/>
  <c r="C323" i="8"/>
  <c r="E322" i="8"/>
  <c r="F265" i="5"/>
  <c r="E265" i="5"/>
  <c r="C266" i="5"/>
  <c r="F255" i="4"/>
  <c r="E255" i="4"/>
  <c r="C256" i="4"/>
  <c r="F264" i="3"/>
  <c r="E264" i="3"/>
  <c r="C265" i="3"/>
  <c r="E324" i="1"/>
  <c r="C325" i="1"/>
  <c r="F324" i="1"/>
  <c r="F254" i="2" l="1"/>
  <c r="C255" i="2"/>
  <c r="E254" i="2"/>
  <c r="F260" i="19"/>
  <c r="C266" i="13"/>
  <c r="E265" i="13"/>
  <c r="F265" i="13"/>
  <c r="C257" i="10"/>
  <c r="F256" i="10"/>
  <c r="E256" i="10"/>
  <c r="F323" i="9"/>
  <c r="E323" i="9"/>
  <c r="C324" i="9"/>
  <c r="C324" i="8"/>
  <c r="F323" i="8"/>
  <c r="E323" i="8"/>
  <c r="C267" i="5"/>
  <c r="F266" i="5"/>
  <c r="E266" i="5"/>
  <c r="C257" i="4"/>
  <c r="F256" i="4"/>
  <c r="E256" i="4"/>
  <c r="F265" i="3"/>
  <c r="E265" i="3"/>
  <c r="C266" i="3"/>
  <c r="F325" i="1"/>
  <c r="E325" i="1"/>
  <c r="C326" i="1"/>
  <c r="C256" i="2" l="1"/>
  <c r="E255" i="2"/>
  <c r="F255" i="2"/>
  <c r="F261" i="19"/>
  <c r="F266" i="13"/>
  <c r="E266" i="13"/>
  <c r="C267" i="13"/>
  <c r="C258" i="10"/>
  <c r="F257" i="10"/>
  <c r="E257" i="10"/>
  <c r="F324" i="9"/>
  <c r="E324" i="9"/>
  <c r="C325" i="9"/>
  <c r="F324" i="8"/>
  <c r="E324" i="8"/>
  <c r="C325" i="8"/>
  <c r="C268" i="5"/>
  <c r="F267" i="5"/>
  <c r="E267" i="5"/>
  <c r="C258" i="4"/>
  <c r="F257" i="4"/>
  <c r="E257" i="4"/>
  <c r="C267" i="3"/>
  <c r="E266" i="3"/>
  <c r="F266" i="3"/>
  <c r="C327" i="1"/>
  <c r="E326" i="1"/>
  <c r="F326" i="1"/>
  <c r="E256" i="2" l="1"/>
  <c r="C257" i="2"/>
  <c r="F256" i="2"/>
  <c r="F262" i="19"/>
  <c r="C268" i="13"/>
  <c r="E267" i="13"/>
  <c r="F267" i="13"/>
  <c r="F258" i="10"/>
  <c r="E258" i="10"/>
  <c r="C259" i="10"/>
  <c r="C326" i="9"/>
  <c r="F325" i="9"/>
  <c r="E325" i="9"/>
  <c r="E325" i="8"/>
  <c r="C326" i="8"/>
  <c r="F325" i="8"/>
  <c r="F268" i="5"/>
  <c r="E268" i="5"/>
  <c r="C269" i="5"/>
  <c r="F258" i="4"/>
  <c r="E258" i="4"/>
  <c r="C259" i="4"/>
  <c r="C268" i="3"/>
  <c r="F267" i="3"/>
  <c r="E267" i="3"/>
  <c r="F327" i="1"/>
  <c r="C328" i="1"/>
  <c r="E327" i="1"/>
  <c r="F257" i="2" l="1"/>
  <c r="C258" i="2"/>
  <c r="E257" i="2"/>
  <c r="F263" i="19"/>
  <c r="E268" i="13"/>
  <c r="C269" i="13"/>
  <c r="F268" i="13"/>
  <c r="C260" i="10"/>
  <c r="F259" i="10"/>
  <c r="E259" i="10"/>
  <c r="E326" i="9"/>
  <c r="C327" i="9"/>
  <c r="F326" i="9"/>
  <c r="C327" i="8"/>
  <c r="E326" i="8"/>
  <c r="F326" i="8"/>
  <c r="C270" i="5"/>
  <c r="E269" i="5"/>
  <c r="F269" i="5"/>
  <c r="C260" i="4"/>
  <c r="F259" i="4"/>
  <c r="E259" i="4"/>
  <c r="F268" i="3"/>
  <c r="C269" i="3"/>
  <c r="E268" i="3"/>
  <c r="C329" i="1"/>
  <c r="F328" i="1"/>
  <c r="E328" i="1"/>
  <c r="E258" i="2" l="1"/>
  <c r="F258" i="2"/>
  <c r="C259" i="2"/>
  <c r="F264" i="19"/>
  <c r="F269" i="13"/>
  <c r="E269" i="13"/>
  <c r="C270" i="13"/>
  <c r="E260" i="10"/>
  <c r="C261" i="10"/>
  <c r="F260" i="10"/>
  <c r="F327" i="9"/>
  <c r="C328" i="9"/>
  <c r="E327" i="9"/>
  <c r="E327" i="8"/>
  <c r="C328" i="8"/>
  <c r="F327" i="8"/>
  <c r="E270" i="5"/>
  <c r="C271" i="5"/>
  <c r="F270" i="5"/>
  <c r="E260" i="4"/>
  <c r="C261" i="4"/>
  <c r="F260" i="4"/>
  <c r="C270" i="3"/>
  <c r="F269" i="3"/>
  <c r="E269" i="3"/>
  <c r="F329" i="1"/>
  <c r="C330" i="1"/>
  <c r="E329" i="1"/>
  <c r="E259" i="2" l="1"/>
  <c r="F259" i="2"/>
  <c r="C260" i="2"/>
  <c r="F265" i="19"/>
  <c r="C271" i="13"/>
  <c r="F270" i="13"/>
  <c r="E270" i="13"/>
  <c r="F261" i="10"/>
  <c r="E261" i="10"/>
  <c r="C262" i="10"/>
  <c r="C329" i="9"/>
  <c r="F328" i="9"/>
  <c r="E328" i="9"/>
  <c r="F328" i="8"/>
  <c r="C329" i="8"/>
  <c r="E328" i="8"/>
  <c r="F271" i="5"/>
  <c r="E271" i="5"/>
  <c r="C272" i="5"/>
  <c r="F261" i="4"/>
  <c r="E261" i="4"/>
  <c r="C262" i="4"/>
  <c r="E270" i="3"/>
  <c r="C271" i="3"/>
  <c r="F270" i="3"/>
  <c r="F330" i="1"/>
  <c r="E330" i="1"/>
  <c r="C331" i="1"/>
  <c r="E260" i="2" l="1"/>
  <c r="C261" i="2"/>
  <c r="F260" i="2"/>
  <c r="F266" i="19"/>
  <c r="E271" i="13"/>
  <c r="C272" i="13"/>
  <c r="F271" i="13"/>
  <c r="C263" i="10"/>
  <c r="E262" i="10"/>
  <c r="F262" i="10"/>
  <c r="F329" i="9"/>
  <c r="E329" i="9"/>
  <c r="C330" i="9"/>
  <c r="C330" i="8"/>
  <c r="F329" i="8"/>
  <c r="E329" i="8"/>
  <c r="C273" i="5"/>
  <c r="E272" i="5"/>
  <c r="F272" i="5"/>
  <c r="C263" i="4"/>
  <c r="F262" i="4"/>
  <c r="E262" i="4"/>
  <c r="F271" i="3"/>
  <c r="E271" i="3"/>
  <c r="C272" i="3"/>
  <c r="E331" i="1"/>
  <c r="C332" i="1"/>
  <c r="F331" i="1"/>
  <c r="C262" i="2" l="1"/>
  <c r="E261" i="2"/>
  <c r="F261" i="2"/>
  <c r="F267" i="19"/>
  <c r="F272" i="13"/>
  <c r="C273" i="13"/>
  <c r="E272" i="13"/>
  <c r="F263" i="10"/>
  <c r="E263" i="10"/>
  <c r="C264" i="10"/>
  <c r="C331" i="9"/>
  <c r="E330" i="9"/>
  <c r="F330" i="9"/>
  <c r="F330" i="8"/>
  <c r="C331" i="8"/>
  <c r="E330" i="8"/>
  <c r="F273" i="5"/>
  <c r="E273" i="5"/>
  <c r="C274" i="5"/>
  <c r="F263" i="4"/>
  <c r="E263" i="4"/>
  <c r="C264" i="4"/>
  <c r="F272" i="3"/>
  <c r="C273" i="3"/>
  <c r="E272" i="3"/>
  <c r="E332" i="1"/>
  <c r="C333" i="1"/>
  <c r="F332" i="1"/>
  <c r="E262" i="2" l="1"/>
  <c r="F262" i="2"/>
  <c r="C263" i="2"/>
  <c r="F268" i="19"/>
  <c r="C274" i="13"/>
  <c r="E273" i="13"/>
  <c r="F273" i="13"/>
  <c r="C265" i="10"/>
  <c r="F264" i="10"/>
  <c r="E264" i="10"/>
  <c r="F331" i="9"/>
  <c r="E331" i="9"/>
  <c r="C332" i="9"/>
  <c r="C332" i="8"/>
  <c r="F331" i="8"/>
  <c r="E331" i="8"/>
  <c r="C275" i="5"/>
  <c r="F274" i="5"/>
  <c r="E274" i="5"/>
  <c r="C265" i="4"/>
  <c r="F264" i="4"/>
  <c r="E264" i="4"/>
  <c r="F273" i="3"/>
  <c r="E273" i="3"/>
  <c r="C274" i="3"/>
  <c r="F333" i="1"/>
  <c r="E333" i="1"/>
  <c r="C334" i="1"/>
  <c r="C264" i="2" l="1"/>
  <c r="E263" i="2"/>
  <c r="F263" i="2"/>
  <c r="F269" i="19"/>
  <c r="F274" i="13"/>
  <c r="E274" i="13"/>
  <c r="C275" i="13"/>
  <c r="C266" i="10"/>
  <c r="F265" i="10"/>
  <c r="E265" i="10"/>
  <c r="F332" i="9"/>
  <c r="E332" i="9"/>
  <c r="C333" i="9"/>
  <c r="F332" i="8"/>
  <c r="C333" i="8"/>
  <c r="E332" i="8"/>
  <c r="C276" i="5"/>
  <c r="F275" i="5"/>
  <c r="E275" i="5"/>
  <c r="C266" i="4"/>
  <c r="F265" i="4"/>
  <c r="E265" i="4"/>
  <c r="C275" i="3"/>
  <c r="E274" i="3"/>
  <c r="F274" i="3"/>
  <c r="E334" i="1"/>
  <c r="C335" i="1"/>
  <c r="F334" i="1"/>
  <c r="F264" i="2" l="1"/>
  <c r="C265" i="2"/>
  <c r="E264" i="2"/>
  <c r="F270" i="19"/>
  <c r="C276" i="13"/>
  <c r="E275" i="13"/>
  <c r="F275" i="13"/>
  <c r="F266" i="10"/>
  <c r="E266" i="10"/>
  <c r="C267" i="10"/>
  <c r="C334" i="9"/>
  <c r="F333" i="9"/>
  <c r="E333" i="9"/>
  <c r="E333" i="8"/>
  <c r="C334" i="8"/>
  <c r="F333" i="8"/>
  <c r="F276" i="5"/>
  <c r="E276" i="5"/>
  <c r="C277" i="5"/>
  <c r="F266" i="4"/>
  <c r="E266" i="4"/>
  <c r="C267" i="4"/>
  <c r="E275" i="3"/>
  <c r="C276" i="3"/>
  <c r="F275" i="3"/>
  <c r="F335" i="1"/>
  <c r="C336" i="1"/>
  <c r="E335" i="1"/>
  <c r="F265" i="2" l="1"/>
  <c r="C266" i="2"/>
  <c r="E265" i="2"/>
  <c r="F271" i="19"/>
  <c r="E276" i="13"/>
  <c r="C277" i="13"/>
  <c r="F276" i="13"/>
  <c r="C268" i="10"/>
  <c r="F267" i="10"/>
  <c r="E267" i="10"/>
  <c r="E334" i="9"/>
  <c r="C335" i="9"/>
  <c r="F334" i="9"/>
  <c r="E334" i="8"/>
  <c r="C335" i="8"/>
  <c r="F334" i="8"/>
  <c r="C278" i="5"/>
  <c r="F277" i="5"/>
  <c r="E277" i="5"/>
  <c r="C268" i="4"/>
  <c r="F267" i="4"/>
  <c r="E267" i="4"/>
  <c r="F276" i="3"/>
  <c r="E276" i="3"/>
  <c r="C277" i="3"/>
  <c r="C337" i="1"/>
  <c r="F336" i="1"/>
  <c r="E336" i="1"/>
  <c r="F266" i="2" l="1"/>
  <c r="E266" i="2"/>
  <c r="C267" i="2"/>
  <c r="F272" i="19"/>
  <c r="F277" i="13"/>
  <c r="E277" i="13"/>
  <c r="C278" i="13"/>
  <c r="E268" i="10"/>
  <c r="C269" i="10"/>
  <c r="F268" i="10"/>
  <c r="F335" i="9"/>
  <c r="C336" i="9"/>
  <c r="E335" i="9"/>
  <c r="E335" i="8"/>
  <c r="C336" i="8"/>
  <c r="F335" i="8"/>
  <c r="E278" i="5"/>
  <c r="F278" i="5"/>
  <c r="C279" i="5"/>
  <c r="E268" i="4"/>
  <c r="C269" i="4"/>
  <c r="F268" i="4"/>
  <c r="C278" i="3"/>
  <c r="F277" i="3"/>
  <c r="E277" i="3"/>
  <c r="C338" i="1"/>
  <c r="F337" i="1"/>
  <c r="E337" i="1"/>
  <c r="C268" i="2" l="1"/>
  <c r="F267" i="2"/>
  <c r="E267" i="2"/>
  <c r="F273" i="19"/>
  <c r="C279" i="13"/>
  <c r="F278" i="13"/>
  <c r="E278" i="13"/>
  <c r="F269" i="10"/>
  <c r="E269" i="10"/>
  <c r="C270" i="10"/>
  <c r="C337" i="9"/>
  <c r="F336" i="9"/>
  <c r="E336" i="9"/>
  <c r="F336" i="8"/>
  <c r="C337" i="8"/>
  <c r="E336" i="8"/>
  <c r="F279" i="5"/>
  <c r="E279" i="5"/>
  <c r="C280" i="5"/>
  <c r="F269" i="4"/>
  <c r="E269" i="4"/>
  <c r="C270" i="4"/>
  <c r="E278" i="3"/>
  <c r="C279" i="3"/>
  <c r="F278" i="3"/>
  <c r="E338" i="1"/>
  <c r="C339" i="1"/>
  <c r="F338" i="1"/>
  <c r="C269" i="2" l="1"/>
  <c r="F268" i="2"/>
  <c r="E268" i="2"/>
  <c r="F274" i="19"/>
  <c r="E279" i="13"/>
  <c r="C280" i="13"/>
  <c r="F279" i="13"/>
  <c r="C271" i="10"/>
  <c r="E270" i="10"/>
  <c r="F270" i="10"/>
  <c r="F337" i="9"/>
  <c r="E337" i="9"/>
  <c r="C338" i="9"/>
  <c r="E337" i="8"/>
  <c r="C338" i="8"/>
  <c r="F337" i="8"/>
  <c r="C281" i="5"/>
  <c r="E280" i="5"/>
  <c r="F280" i="5"/>
  <c r="C271" i="4"/>
  <c r="F270" i="4"/>
  <c r="E270" i="4"/>
  <c r="F279" i="3"/>
  <c r="C280" i="3"/>
  <c r="E279" i="3"/>
  <c r="C340" i="1"/>
  <c r="F339" i="1"/>
  <c r="E339" i="1"/>
  <c r="C270" i="2" l="1"/>
  <c r="F269" i="2"/>
  <c r="E269" i="2"/>
  <c r="F275" i="19"/>
  <c r="F280" i="13"/>
  <c r="C281" i="13"/>
  <c r="E280" i="13"/>
  <c r="F271" i="10"/>
  <c r="E271" i="10"/>
  <c r="C272" i="10"/>
  <c r="C339" i="9"/>
  <c r="E338" i="9"/>
  <c r="F338" i="9"/>
  <c r="F338" i="8"/>
  <c r="C339" i="8"/>
  <c r="E338" i="8"/>
  <c r="F281" i="5"/>
  <c r="E281" i="5"/>
  <c r="C282" i="5"/>
  <c r="F271" i="4"/>
  <c r="E271" i="4"/>
  <c r="C272" i="4"/>
  <c r="C281" i="3"/>
  <c r="E280" i="3"/>
  <c r="F280" i="3"/>
  <c r="E340" i="1"/>
  <c r="F340" i="1"/>
  <c r="C341" i="1"/>
  <c r="E270" i="2" l="1"/>
  <c r="C271" i="2"/>
  <c r="F270" i="2"/>
  <c r="F276" i="19"/>
  <c r="C282" i="13"/>
  <c r="E281" i="13"/>
  <c r="F281" i="13"/>
  <c r="C273" i="10"/>
  <c r="F272" i="10"/>
  <c r="E272" i="10"/>
  <c r="F339" i="9"/>
  <c r="E339" i="9"/>
  <c r="C340" i="9"/>
  <c r="C340" i="8"/>
  <c r="F339" i="8"/>
  <c r="E339" i="8"/>
  <c r="C283" i="5"/>
  <c r="F282" i="5"/>
  <c r="E282" i="5"/>
  <c r="C273" i="4"/>
  <c r="F272" i="4"/>
  <c r="E272" i="4"/>
  <c r="F281" i="3"/>
  <c r="E281" i="3"/>
  <c r="C282" i="3"/>
  <c r="F341" i="1"/>
  <c r="C342" i="1"/>
  <c r="E341" i="1"/>
  <c r="C272" i="2" l="1"/>
  <c r="F271" i="2"/>
  <c r="E271" i="2"/>
  <c r="F277" i="19"/>
  <c r="F282" i="13"/>
  <c r="E282" i="13"/>
  <c r="C283" i="13"/>
  <c r="C274" i="10"/>
  <c r="F273" i="10"/>
  <c r="E273" i="10"/>
  <c r="F340" i="9"/>
  <c r="E340" i="9"/>
  <c r="C341" i="9"/>
  <c r="F340" i="8"/>
  <c r="E340" i="8"/>
  <c r="C341" i="8"/>
  <c r="C284" i="5"/>
  <c r="F283" i="5"/>
  <c r="E283" i="5"/>
  <c r="C274" i="4"/>
  <c r="F273" i="4"/>
  <c r="E273" i="4"/>
  <c r="C283" i="3"/>
  <c r="E282" i="3"/>
  <c r="F282" i="3"/>
  <c r="C343" i="1"/>
  <c r="E342" i="1"/>
  <c r="F342" i="1"/>
  <c r="E272" i="2" l="1"/>
  <c r="C273" i="2"/>
  <c r="F272" i="2"/>
  <c r="F278" i="19"/>
  <c r="C284" i="13"/>
  <c r="E283" i="13"/>
  <c r="F283" i="13"/>
  <c r="F274" i="10"/>
  <c r="E274" i="10"/>
  <c r="C275" i="10"/>
  <c r="C342" i="9"/>
  <c r="F341" i="9"/>
  <c r="E341" i="9"/>
  <c r="E341" i="8"/>
  <c r="C342" i="8"/>
  <c r="F341" i="8"/>
  <c r="F284" i="5"/>
  <c r="E284" i="5"/>
  <c r="C285" i="5"/>
  <c r="F274" i="4"/>
  <c r="E274" i="4"/>
  <c r="C275" i="4"/>
  <c r="C284" i="3"/>
  <c r="E283" i="3"/>
  <c r="F283" i="3"/>
  <c r="F343" i="1"/>
  <c r="C344" i="1"/>
  <c r="E343" i="1"/>
  <c r="C274" i="2" l="1"/>
  <c r="F273" i="2"/>
  <c r="E273" i="2"/>
  <c r="F279" i="19"/>
  <c r="E284" i="13"/>
  <c r="C285" i="13"/>
  <c r="F284" i="13"/>
  <c r="C276" i="10"/>
  <c r="F275" i="10"/>
  <c r="E275" i="10"/>
  <c r="E342" i="9"/>
  <c r="C343" i="9"/>
  <c r="F342" i="9"/>
  <c r="C343" i="8"/>
  <c r="E342" i="8"/>
  <c r="F342" i="8"/>
  <c r="C286" i="5"/>
  <c r="E285" i="5"/>
  <c r="F285" i="5"/>
  <c r="C276" i="4"/>
  <c r="F275" i="4"/>
  <c r="E275" i="4"/>
  <c r="F284" i="3"/>
  <c r="E284" i="3"/>
  <c r="C285" i="3"/>
  <c r="C345" i="1"/>
  <c r="F344" i="1"/>
  <c r="E344" i="1"/>
  <c r="F274" i="2" l="1"/>
  <c r="E274" i="2"/>
  <c r="C275" i="2"/>
  <c r="F280" i="19"/>
  <c r="C286" i="13"/>
  <c r="F285" i="13"/>
  <c r="E285" i="13"/>
  <c r="E276" i="10"/>
  <c r="C277" i="10"/>
  <c r="F276" i="10"/>
  <c r="F343" i="9"/>
  <c r="C344" i="9"/>
  <c r="E343" i="9"/>
  <c r="E343" i="8"/>
  <c r="C344" i="8"/>
  <c r="F343" i="8"/>
  <c r="E286" i="5"/>
  <c r="C287" i="5"/>
  <c r="F286" i="5"/>
  <c r="E276" i="4"/>
  <c r="C277" i="4"/>
  <c r="F276" i="4"/>
  <c r="C286" i="3"/>
  <c r="F285" i="3"/>
  <c r="E285" i="3"/>
  <c r="F345" i="1"/>
  <c r="E345" i="1"/>
  <c r="C346" i="1"/>
  <c r="C276" i="2" l="1"/>
  <c r="F275" i="2"/>
  <c r="E275" i="2"/>
  <c r="F281" i="19"/>
  <c r="C287" i="13"/>
  <c r="F286" i="13"/>
  <c r="E286" i="13"/>
  <c r="F277" i="10"/>
  <c r="E277" i="10"/>
  <c r="C278" i="10"/>
  <c r="C345" i="9"/>
  <c r="F344" i="9"/>
  <c r="E344" i="9"/>
  <c r="F344" i="8"/>
  <c r="E344" i="8"/>
  <c r="C345" i="8"/>
  <c r="F287" i="5"/>
  <c r="E287" i="5"/>
  <c r="C288" i="5"/>
  <c r="F277" i="4"/>
  <c r="E277" i="4"/>
  <c r="C278" i="4"/>
  <c r="E286" i="3"/>
  <c r="C287" i="3"/>
  <c r="F286" i="3"/>
  <c r="C347" i="1"/>
  <c r="F346" i="1"/>
  <c r="E346" i="1"/>
  <c r="E276" i="2" l="1"/>
  <c r="C277" i="2"/>
  <c r="F276" i="2"/>
  <c r="F282" i="19"/>
  <c r="F287" i="13"/>
  <c r="E287" i="13"/>
  <c r="C288" i="13"/>
  <c r="C279" i="10"/>
  <c r="E278" i="10"/>
  <c r="F278" i="10"/>
  <c r="F345" i="9"/>
  <c r="E345" i="9"/>
  <c r="C346" i="9"/>
  <c r="C346" i="8"/>
  <c r="F345" i="8"/>
  <c r="E345" i="8"/>
  <c r="C289" i="5"/>
  <c r="E288" i="5"/>
  <c r="F288" i="5"/>
  <c r="C279" i="4"/>
  <c r="F278" i="4"/>
  <c r="E278" i="4"/>
  <c r="F287" i="3"/>
  <c r="E287" i="3"/>
  <c r="C288" i="3"/>
  <c r="E347" i="1"/>
  <c r="F347" i="1"/>
  <c r="C348" i="1"/>
  <c r="C278" i="2" l="1"/>
  <c r="F277" i="2"/>
  <c r="E277" i="2"/>
  <c r="F283" i="19"/>
  <c r="C289" i="13"/>
  <c r="F288" i="13"/>
  <c r="E288" i="13"/>
  <c r="F279" i="10"/>
  <c r="E279" i="10"/>
  <c r="C280" i="10"/>
  <c r="C347" i="9"/>
  <c r="E346" i="9"/>
  <c r="F346" i="9"/>
  <c r="F346" i="8"/>
  <c r="C347" i="8"/>
  <c r="E346" i="8"/>
  <c r="F289" i="5"/>
  <c r="E289" i="5"/>
  <c r="C290" i="5"/>
  <c r="F279" i="4"/>
  <c r="E279" i="4"/>
  <c r="C280" i="4"/>
  <c r="C289" i="3"/>
  <c r="E288" i="3"/>
  <c r="F288" i="3"/>
  <c r="E348" i="1"/>
  <c r="C349" i="1"/>
  <c r="F348" i="1"/>
  <c r="E278" i="2" l="1"/>
  <c r="C279" i="2"/>
  <c r="F278" i="2"/>
  <c r="F284" i="19"/>
  <c r="E289" i="13"/>
  <c r="C290" i="13"/>
  <c r="F289" i="13"/>
  <c r="C281" i="10"/>
  <c r="F280" i="10"/>
  <c r="E280" i="10"/>
  <c r="F347" i="9"/>
  <c r="E347" i="9"/>
  <c r="C348" i="9"/>
  <c r="C348" i="8"/>
  <c r="F347" i="8"/>
  <c r="E347" i="8"/>
  <c r="C291" i="5"/>
  <c r="F290" i="5"/>
  <c r="E290" i="5"/>
  <c r="C281" i="4"/>
  <c r="F280" i="4"/>
  <c r="E280" i="4"/>
  <c r="F289" i="3"/>
  <c r="E289" i="3"/>
  <c r="C290" i="3"/>
  <c r="F349" i="1"/>
  <c r="C350" i="1"/>
  <c r="E349" i="1"/>
  <c r="C280" i="2" l="1"/>
  <c r="F279" i="2"/>
  <c r="E279" i="2"/>
  <c r="F285" i="19"/>
  <c r="F290" i="13"/>
  <c r="E290" i="13"/>
  <c r="C291" i="13"/>
  <c r="C282" i="10"/>
  <c r="F281" i="10"/>
  <c r="E281" i="10"/>
  <c r="F348" i="9"/>
  <c r="E348" i="9"/>
  <c r="C349" i="9"/>
  <c r="F348" i="8"/>
  <c r="C349" i="8"/>
  <c r="E348" i="8"/>
  <c r="C292" i="5"/>
  <c r="F291" i="5"/>
  <c r="E291" i="5"/>
  <c r="C282" i="4"/>
  <c r="F281" i="4"/>
  <c r="E281" i="4"/>
  <c r="C291" i="3"/>
  <c r="F290" i="3"/>
  <c r="E290" i="3"/>
  <c r="E350" i="1"/>
  <c r="C351" i="1"/>
  <c r="F350" i="1"/>
  <c r="E280" i="2" l="1"/>
  <c r="F280" i="2"/>
  <c r="C281" i="2"/>
  <c r="F286" i="19"/>
  <c r="C292" i="13"/>
  <c r="E291" i="13"/>
  <c r="F291" i="13"/>
  <c r="F282" i="10"/>
  <c r="E282" i="10"/>
  <c r="C283" i="10"/>
  <c r="C350" i="9"/>
  <c r="F349" i="9"/>
  <c r="E349" i="9"/>
  <c r="E349" i="8"/>
  <c r="C350" i="8"/>
  <c r="F349" i="8"/>
  <c r="F292" i="5"/>
  <c r="E292" i="5"/>
  <c r="C293" i="5"/>
  <c r="F282" i="4"/>
  <c r="E282" i="4"/>
  <c r="C283" i="4"/>
  <c r="C292" i="3"/>
  <c r="F291" i="3"/>
  <c r="E291" i="3"/>
  <c r="F351" i="1"/>
  <c r="C352" i="1"/>
  <c r="E351" i="1"/>
  <c r="C282" i="2" l="1"/>
  <c r="F281" i="2"/>
  <c r="E281" i="2"/>
  <c r="F287" i="19"/>
  <c r="F292" i="13"/>
  <c r="E292" i="13"/>
  <c r="C293" i="13"/>
  <c r="C284" i="10"/>
  <c r="F283" i="10"/>
  <c r="E283" i="10"/>
  <c r="E350" i="9"/>
  <c r="C351" i="9"/>
  <c r="F350" i="9"/>
  <c r="E350" i="8"/>
  <c r="C351" i="8"/>
  <c r="F350" i="8"/>
  <c r="C294" i="5"/>
  <c r="F293" i="5"/>
  <c r="E293" i="5"/>
  <c r="C284" i="4"/>
  <c r="F283" i="4"/>
  <c r="E283" i="4"/>
  <c r="F292" i="3"/>
  <c r="E292" i="3"/>
  <c r="C293" i="3"/>
  <c r="C353" i="1"/>
  <c r="F352" i="1"/>
  <c r="E352" i="1"/>
  <c r="F282" i="2" l="1"/>
  <c r="E282" i="2"/>
  <c r="C283" i="2"/>
  <c r="F288" i="19"/>
  <c r="C294" i="13"/>
  <c r="F293" i="13"/>
  <c r="E293" i="13"/>
  <c r="E284" i="10"/>
  <c r="C285" i="10"/>
  <c r="F284" i="10"/>
  <c r="F351" i="9"/>
  <c r="C352" i="9"/>
  <c r="E351" i="9"/>
  <c r="E351" i="8"/>
  <c r="C352" i="8"/>
  <c r="F351" i="8"/>
  <c r="E294" i="5"/>
  <c r="F294" i="5"/>
  <c r="C295" i="5"/>
  <c r="E284" i="4"/>
  <c r="C285" i="4"/>
  <c r="F284" i="4"/>
  <c r="C294" i="3"/>
  <c r="F293" i="3"/>
  <c r="E293" i="3"/>
  <c r="E353" i="1"/>
  <c r="C354" i="1"/>
  <c r="F353" i="1"/>
  <c r="F283" i="2" l="1"/>
  <c r="C284" i="2"/>
  <c r="E283" i="2"/>
  <c r="F289" i="19"/>
  <c r="C295" i="13"/>
  <c r="F294" i="13"/>
  <c r="E294" i="13"/>
  <c r="F285" i="10"/>
  <c r="E285" i="10"/>
  <c r="C286" i="10"/>
  <c r="C353" i="9"/>
  <c r="F352" i="9"/>
  <c r="E352" i="9"/>
  <c r="F352" i="8"/>
  <c r="C353" i="8"/>
  <c r="E352" i="8"/>
  <c r="F295" i="5"/>
  <c r="E295" i="5"/>
  <c r="C296" i="5"/>
  <c r="F285" i="4"/>
  <c r="E285" i="4"/>
  <c r="C286" i="4"/>
  <c r="E294" i="3"/>
  <c r="C295" i="3"/>
  <c r="F294" i="3"/>
  <c r="E354" i="1"/>
  <c r="C355" i="1"/>
  <c r="F354" i="1"/>
  <c r="F284" i="2" l="1"/>
  <c r="E284" i="2"/>
  <c r="C285" i="2"/>
  <c r="F290" i="19"/>
  <c r="F295" i="13"/>
  <c r="E295" i="13"/>
  <c r="C296" i="13"/>
  <c r="C287" i="10"/>
  <c r="E286" i="10"/>
  <c r="F286" i="10"/>
  <c r="F353" i="9"/>
  <c r="E353" i="9"/>
  <c r="C354" i="9"/>
  <c r="E353" i="8"/>
  <c r="C354" i="8"/>
  <c r="F353" i="8"/>
  <c r="C297" i="5"/>
  <c r="E296" i="5"/>
  <c r="F296" i="5"/>
  <c r="C287" i="4"/>
  <c r="F286" i="4"/>
  <c r="E286" i="4"/>
  <c r="F295" i="3"/>
  <c r="E295" i="3"/>
  <c r="C296" i="3"/>
  <c r="C356" i="1"/>
  <c r="E355" i="1"/>
  <c r="F355" i="1"/>
  <c r="C286" i="2" l="1"/>
  <c r="F285" i="2"/>
  <c r="E285" i="2"/>
  <c r="F291" i="19"/>
  <c r="C297" i="13"/>
  <c r="F296" i="13"/>
  <c r="E296" i="13"/>
  <c r="F287" i="10"/>
  <c r="E287" i="10"/>
  <c r="C288" i="10"/>
  <c r="C355" i="9"/>
  <c r="E354" i="9"/>
  <c r="F354" i="9"/>
  <c r="F354" i="8"/>
  <c r="C355" i="8"/>
  <c r="E354" i="8"/>
  <c r="F297" i="5"/>
  <c r="E297" i="5"/>
  <c r="C298" i="5"/>
  <c r="F287" i="4"/>
  <c r="E287" i="4"/>
  <c r="C288" i="4"/>
  <c r="C297" i="3"/>
  <c r="F296" i="3"/>
  <c r="E296" i="3"/>
  <c r="E356" i="1"/>
  <c r="C357" i="1"/>
  <c r="F356" i="1"/>
  <c r="E286" i="2" l="1"/>
  <c r="C287" i="2"/>
  <c r="F286" i="2"/>
  <c r="F292" i="19"/>
  <c r="E297" i="13"/>
  <c r="C298" i="13"/>
  <c r="F297" i="13"/>
  <c r="C289" i="10"/>
  <c r="F288" i="10"/>
  <c r="E288" i="10"/>
  <c r="F355" i="9"/>
  <c r="E355" i="9"/>
  <c r="C356" i="9"/>
  <c r="C356" i="8"/>
  <c r="F355" i="8"/>
  <c r="E355" i="8"/>
  <c r="C299" i="5"/>
  <c r="F298" i="5"/>
  <c r="E298" i="5"/>
  <c r="C289" i="4"/>
  <c r="F288" i="4"/>
  <c r="E288" i="4"/>
  <c r="F297" i="3"/>
  <c r="E297" i="3"/>
  <c r="C298" i="3"/>
  <c r="F357" i="1"/>
  <c r="E357" i="1"/>
  <c r="C358" i="1"/>
  <c r="F287" i="2" l="1"/>
  <c r="E287" i="2"/>
  <c r="C288" i="2"/>
  <c r="F293" i="19"/>
  <c r="F298" i="13"/>
  <c r="E298" i="13"/>
  <c r="C299" i="13"/>
  <c r="C290" i="10"/>
  <c r="F289" i="10"/>
  <c r="E289" i="10"/>
  <c r="F356" i="9"/>
  <c r="E356" i="9"/>
  <c r="C357" i="9"/>
  <c r="F356" i="8"/>
  <c r="E356" i="8"/>
  <c r="C357" i="8"/>
  <c r="C300" i="5"/>
  <c r="F299" i="5"/>
  <c r="E299" i="5"/>
  <c r="C290" i="4"/>
  <c r="F289" i="4"/>
  <c r="E289" i="4"/>
  <c r="C299" i="3"/>
  <c r="F298" i="3"/>
  <c r="E298" i="3"/>
  <c r="C359" i="1"/>
  <c r="E358" i="1"/>
  <c r="F358" i="1"/>
  <c r="C289" i="2" l="1"/>
  <c r="F288" i="2"/>
  <c r="E288" i="2"/>
  <c r="F294" i="19"/>
  <c r="C300" i="13"/>
  <c r="E299" i="13"/>
  <c r="F299" i="13"/>
  <c r="F290" i="10"/>
  <c r="E290" i="10"/>
  <c r="C291" i="10"/>
  <c r="C358" i="9"/>
  <c r="F357" i="9"/>
  <c r="E357" i="9"/>
  <c r="E357" i="8"/>
  <c r="C358" i="8"/>
  <c r="F357" i="8"/>
  <c r="F300" i="5"/>
  <c r="E300" i="5"/>
  <c r="C301" i="5"/>
  <c r="F290" i="4"/>
  <c r="E290" i="4"/>
  <c r="C291" i="4"/>
  <c r="C300" i="3"/>
  <c r="E299" i="3"/>
  <c r="F299" i="3"/>
  <c r="F359" i="1"/>
  <c r="C360" i="1"/>
  <c r="E359" i="1"/>
  <c r="E289" i="2" l="1"/>
  <c r="C290" i="2"/>
  <c r="F289" i="2"/>
  <c r="F295" i="19"/>
  <c r="F300" i="13"/>
  <c r="E300" i="13"/>
  <c r="C301" i="13"/>
  <c r="C292" i="10"/>
  <c r="F291" i="10"/>
  <c r="E291" i="10"/>
  <c r="E358" i="9"/>
  <c r="C359" i="9"/>
  <c r="F358" i="9"/>
  <c r="C359" i="8"/>
  <c r="E358" i="8"/>
  <c r="F358" i="8"/>
  <c r="C302" i="5"/>
  <c r="E301" i="5"/>
  <c r="F301" i="5"/>
  <c r="C292" i="4"/>
  <c r="F291" i="4"/>
  <c r="E291" i="4"/>
  <c r="F300" i="3"/>
  <c r="E300" i="3"/>
  <c r="C301" i="3"/>
  <c r="C361" i="1"/>
  <c r="F360" i="1"/>
  <c r="E360" i="1"/>
  <c r="C291" i="2" l="1"/>
  <c r="F290" i="2"/>
  <c r="E290" i="2"/>
  <c r="F296" i="19"/>
  <c r="C302" i="13"/>
  <c r="F301" i="13"/>
  <c r="E301" i="13"/>
  <c r="E292" i="10"/>
  <c r="C293" i="10"/>
  <c r="F292" i="10"/>
  <c r="F359" i="9"/>
  <c r="C360" i="9"/>
  <c r="E359" i="9"/>
  <c r="E359" i="8"/>
  <c r="C360" i="8"/>
  <c r="F359" i="8"/>
  <c r="E302" i="5"/>
  <c r="C303" i="5"/>
  <c r="F302" i="5"/>
  <c r="E292" i="4"/>
  <c r="C293" i="4"/>
  <c r="F292" i="4"/>
  <c r="C302" i="3"/>
  <c r="F301" i="3"/>
  <c r="E301" i="3"/>
  <c r="F361" i="1"/>
  <c r="C362" i="1"/>
  <c r="E361" i="1"/>
  <c r="C292" i="2" l="1"/>
  <c r="F291" i="2"/>
  <c r="E291" i="2"/>
  <c r="F297" i="19"/>
  <c r="C303" i="13"/>
  <c r="F302" i="13"/>
  <c r="E302" i="13"/>
  <c r="F293" i="10"/>
  <c r="E293" i="10"/>
  <c r="C294" i="10"/>
  <c r="C361" i="9"/>
  <c r="F360" i="9"/>
  <c r="E360" i="9"/>
  <c r="F360" i="8"/>
  <c r="C361" i="8"/>
  <c r="E360" i="8"/>
  <c r="F303" i="5"/>
  <c r="E303" i="5"/>
  <c r="C304" i="5"/>
  <c r="F293" i="4"/>
  <c r="E293" i="4"/>
  <c r="C294" i="4"/>
  <c r="E302" i="3"/>
  <c r="C303" i="3"/>
  <c r="F302" i="3"/>
  <c r="F362" i="1"/>
  <c r="E362" i="1"/>
  <c r="C363" i="1"/>
  <c r="E292" i="2" l="1"/>
  <c r="C293" i="2"/>
  <c r="F292" i="2"/>
  <c r="F298" i="19"/>
  <c r="F303" i="13"/>
  <c r="E303" i="13"/>
  <c r="C304" i="13"/>
  <c r="C295" i="10"/>
  <c r="E294" i="10"/>
  <c r="F294" i="10"/>
  <c r="F361" i="9"/>
  <c r="E361" i="9"/>
  <c r="C362" i="9"/>
  <c r="C362" i="8"/>
  <c r="F361" i="8"/>
  <c r="E361" i="8"/>
  <c r="C305" i="5"/>
  <c r="E304" i="5"/>
  <c r="F304" i="5"/>
  <c r="C295" i="4"/>
  <c r="F294" i="4"/>
  <c r="E294" i="4"/>
  <c r="F303" i="3"/>
  <c r="E303" i="3"/>
  <c r="C304" i="3"/>
  <c r="E363" i="1"/>
  <c r="C364" i="1"/>
  <c r="F363" i="1"/>
  <c r="F293" i="2" l="1"/>
  <c r="E293" i="2"/>
  <c r="C294" i="2"/>
  <c r="F299" i="19"/>
  <c r="C305" i="13"/>
  <c r="F304" i="13"/>
  <c r="E304" i="13"/>
  <c r="F295" i="10"/>
  <c r="E295" i="10"/>
  <c r="C296" i="10"/>
  <c r="C363" i="9"/>
  <c r="E362" i="9"/>
  <c r="F362" i="9"/>
  <c r="F362" i="8"/>
  <c r="C363" i="8"/>
  <c r="E362" i="8"/>
  <c r="F305" i="5"/>
  <c r="E305" i="5"/>
  <c r="C306" i="5"/>
  <c r="F295" i="4"/>
  <c r="E295" i="4"/>
  <c r="C296" i="4"/>
  <c r="C305" i="3"/>
  <c r="E304" i="3"/>
  <c r="F304" i="3"/>
  <c r="E364" i="1"/>
  <c r="C365" i="1"/>
  <c r="F364" i="1"/>
  <c r="F294" i="2" l="1"/>
  <c r="E294" i="2"/>
  <c r="C295" i="2"/>
  <c r="F300" i="19"/>
  <c r="E305" i="13"/>
  <c r="C306" i="13"/>
  <c r="F305" i="13"/>
  <c r="C297" i="10"/>
  <c r="F296" i="10"/>
  <c r="E296" i="10"/>
  <c r="F363" i="9"/>
  <c r="E363" i="9"/>
  <c r="C364" i="9"/>
  <c r="C364" i="8"/>
  <c r="F363" i="8"/>
  <c r="E363" i="8"/>
  <c r="C307" i="5"/>
  <c r="F306" i="5"/>
  <c r="E306" i="5"/>
  <c r="C297" i="4"/>
  <c r="F296" i="4"/>
  <c r="E296" i="4"/>
  <c r="F305" i="3"/>
  <c r="E305" i="3"/>
  <c r="C306" i="3"/>
  <c r="F365" i="1"/>
  <c r="E365" i="1"/>
  <c r="C366" i="1"/>
  <c r="F295" i="2" l="1"/>
  <c r="C296" i="2"/>
  <c r="E295" i="2"/>
  <c r="F301" i="19"/>
  <c r="F306" i="13"/>
  <c r="E306" i="13"/>
  <c r="C307" i="13"/>
  <c r="C298" i="10"/>
  <c r="F297" i="10"/>
  <c r="E297" i="10"/>
  <c r="F364" i="9"/>
  <c r="E364" i="9"/>
  <c r="C365" i="9"/>
  <c r="F364" i="8"/>
  <c r="C365" i="8"/>
  <c r="E364" i="8"/>
  <c r="C308" i="5"/>
  <c r="F307" i="5"/>
  <c r="E307" i="5"/>
  <c r="C298" i="4"/>
  <c r="F297" i="4"/>
  <c r="E297" i="4"/>
  <c r="C307" i="3"/>
  <c r="F306" i="3"/>
  <c r="E306" i="3"/>
  <c r="E366" i="1"/>
  <c r="C367" i="1"/>
  <c r="F366" i="1"/>
  <c r="E296" i="2" l="1"/>
  <c r="F296" i="2"/>
  <c r="C297" i="2"/>
  <c r="C299" i="4"/>
  <c r="C300" i="4" s="1"/>
  <c r="C301" i="4" s="1"/>
  <c r="C302" i="4" s="1"/>
  <c r="C303" i="4" s="1"/>
  <c r="C299" i="10"/>
  <c r="F302" i="19"/>
  <c r="C308" i="13"/>
  <c r="E307" i="13"/>
  <c r="F307" i="13"/>
  <c r="F298" i="10"/>
  <c r="E298" i="10"/>
  <c r="C366" i="9"/>
  <c r="F365" i="9"/>
  <c r="E365" i="9"/>
  <c r="E365" i="8"/>
  <c r="F365" i="8"/>
  <c r="C366" i="8"/>
  <c r="F308" i="5"/>
  <c r="E308" i="5"/>
  <c r="C309" i="5"/>
  <c r="F298" i="4"/>
  <c r="E298" i="4"/>
  <c r="C308" i="3"/>
  <c r="F307" i="3"/>
  <c r="E307" i="3"/>
  <c r="F367" i="1"/>
  <c r="C368" i="1"/>
  <c r="E367" i="1"/>
  <c r="F297" i="2" l="1"/>
  <c r="C298" i="2"/>
  <c r="E297" i="2"/>
  <c r="C304" i="4"/>
  <c r="C305" i="4" s="1"/>
  <c r="C306" i="4" s="1"/>
  <c r="C307" i="4" s="1"/>
  <c r="E303" i="4"/>
  <c r="F303" i="4"/>
  <c r="E302" i="4"/>
  <c r="F302" i="4"/>
  <c r="E301" i="4"/>
  <c r="F301" i="4"/>
  <c r="E300" i="4"/>
  <c r="F300" i="4"/>
  <c r="C300" i="10"/>
  <c r="E299" i="4"/>
  <c r="F299" i="4"/>
  <c r="F299" i="10"/>
  <c r="E299" i="10"/>
  <c r="F303" i="19"/>
  <c r="F308" i="13"/>
  <c r="E308" i="13"/>
  <c r="C309" i="13"/>
  <c r="E366" i="9"/>
  <c r="C367" i="9"/>
  <c r="F366" i="9"/>
  <c r="E366" i="8"/>
  <c r="C367" i="8"/>
  <c r="F366" i="8"/>
  <c r="C310" i="5"/>
  <c r="F309" i="5"/>
  <c r="E309" i="5"/>
  <c r="F308" i="3"/>
  <c r="E308" i="3"/>
  <c r="C309" i="3"/>
  <c r="C369" i="1"/>
  <c r="F368" i="1"/>
  <c r="E368" i="1"/>
  <c r="E307" i="4" l="1"/>
  <c r="F307" i="4"/>
  <c r="C308" i="4"/>
  <c r="C309" i="4" s="1"/>
  <c r="E306" i="4"/>
  <c r="F306" i="4"/>
  <c r="E305" i="4"/>
  <c r="F305" i="4"/>
  <c r="E298" i="2"/>
  <c r="C299" i="2"/>
  <c r="F298" i="2"/>
  <c r="E304" i="4"/>
  <c r="F304" i="4"/>
  <c r="C301" i="10"/>
  <c r="E300" i="10"/>
  <c r="F300" i="10"/>
  <c r="F304" i="19"/>
  <c r="C310" i="13"/>
  <c r="F309" i="13"/>
  <c r="E309" i="13"/>
  <c r="F367" i="9"/>
  <c r="C368" i="9"/>
  <c r="E367" i="9"/>
  <c r="E367" i="8"/>
  <c r="C368" i="8"/>
  <c r="F367" i="8"/>
  <c r="E310" i="5"/>
  <c r="F310" i="5"/>
  <c r="C311" i="5"/>
  <c r="C310" i="3"/>
  <c r="F309" i="3"/>
  <c r="E309" i="3"/>
  <c r="C370" i="1"/>
  <c r="F369" i="1"/>
  <c r="E369" i="1"/>
  <c r="C310" i="4" l="1"/>
  <c r="E309" i="4"/>
  <c r="F309" i="4"/>
  <c r="F308" i="4"/>
  <c r="E308" i="4"/>
  <c r="C300" i="2"/>
  <c r="F299" i="2"/>
  <c r="E299" i="2"/>
  <c r="C302" i="10"/>
  <c r="E301" i="10"/>
  <c r="F301" i="10"/>
  <c r="F305" i="19"/>
  <c r="C311" i="13"/>
  <c r="F310" i="13"/>
  <c r="E310" i="13"/>
  <c r="C369" i="9"/>
  <c r="F368" i="9"/>
  <c r="E368" i="9"/>
  <c r="F368" i="8"/>
  <c r="C369" i="8"/>
  <c r="E368" i="8"/>
  <c r="F311" i="5"/>
  <c r="E311" i="5"/>
  <c r="C312" i="5"/>
  <c r="E310" i="3"/>
  <c r="C311" i="3"/>
  <c r="F310" i="3"/>
  <c r="E370" i="1"/>
  <c r="F370" i="1"/>
  <c r="C371" i="1"/>
  <c r="C311" i="4" l="1"/>
  <c r="E310" i="4"/>
  <c r="F310" i="4"/>
  <c r="E300" i="2"/>
  <c r="C301" i="2"/>
  <c r="F300" i="2"/>
  <c r="C303" i="10"/>
  <c r="E302" i="10"/>
  <c r="F302" i="10"/>
  <c r="F306" i="19"/>
  <c r="F311" i="13"/>
  <c r="E311" i="13"/>
  <c r="C312" i="13"/>
  <c r="F369" i="9"/>
  <c r="E369" i="9"/>
  <c r="C370" i="9"/>
  <c r="E369" i="8"/>
  <c r="C370" i="8"/>
  <c r="F369" i="8"/>
  <c r="C313" i="5"/>
  <c r="E312" i="5"/>
  <c r="F312" i="5"/>
  <c r="F311" i="3"/>
  <c r="E311" i="3"/>
  <c r="C312" i="3"/>
  <c r="C372" i="1"/>
  <c r="F371" i="1"/>
  <c r="E371" i="1"/>
  <c r="C312" i="4" l="1"/>
  <c r="E311" i="4"/>
  <c r="F311" i="4"/>
  <c r="F301" i="2"/>
  <c r="E301" i="2"/>
  <c r="C302" i="2"/>
  <c r="C304" i="10"/>
  <c r="C305" i="10" s="1"/>
  <c r="E303" i="10"/>
  <c r="F303" i="10"/>
  <c r="F307" i="19"/>
  <c r="C313" i="13"/>
  <c r="F312" i="13"/>
  <c r="E312" i="13"/>
  <c r="C371" i="9"/>
  <c r="E370" i="9"/>
  <c r="F370" i="9"/>
  <c r="F370" i="8"/>
  <c r="C371" i="8"/>
  <c r="E370" i="8"/>
  <c r="F313" i="5"/>
  <c r="E313" i="5"/>
  <c r="C314" i="5"/>
  <c r="C313" i="3"/>
  <c r="F312" i="3"/>
  <c r="E312" i="3"/>
  <c r="E372" i="1"/>
  <c r="C373" i="1"/>
  <c r="F372" i="1"/>
  <c r="E312" i="4" l="1"/>
  <c r="F312" i="4"/>
  <c r="C313" i="4"/>
  <c r="C314" i="4" s="1"/>
  <c r="C306" i="10"/>
  <c r="E305" i="10"/>
  <c r="F305" i="10"/>
  <c r="C303" i="2"/>
  <c r="F302" i="2"/>
  <c r="E302" i="2"/>
  <c r="E304" i="10"/>
  <c r="F304" i="10"/>
  <c r="F308" i="19"/>
  <c r="E313" i="13"/>
  <c r="C314" i="13"/>
  <c r="F313" i="13"/>
  <c r="F371" i="9"/>
  <c r="E371" i="9"/>
  <c r="C372" i="9"/>
  <c r="C372" i="8"/>
  <c r="F371" i="8"/>
  <c r="E371" i="8"/>
  <c r="C315" i="5"/>
  <c r="F314" i="5"/>
  <c r="E314" i="5"/>
  <c r="F313" i="3"/>
  <c r="E313" i="3"/>
  <c r="C314" i="3"/>
  <c r="F373" i="1"/>
  <c r="C374" i="1"/>
  <c r="E373" i="1"/>
  <c r="E314" i="4" l="1"/>
  <c r="G312" i="4"/>
  <c r="G306" i="4"/>
  <c r="G298" i="4"/>
  <c r="G290" i="4"/>
  <c r="G282" i="4"/>
  <c r="G274" i="4"/>
  <c r="G266" i="4"/>
  <c r="G258" i="4"/>
  <c r="G250" i="4"/>
  <c r="G242" i="4"/>
  <c r="G234" i="4"/>
  <c r="G226" i="4"/>
  <c r="G218" i="4"/>
  <c r="G210" i="4"/>
  <c r="G202" i="4"/>
  <c r="G194" i="4"/>
  <c r="G186" i="4"/>
  <c r="G178" i="4"/>
  <c r="G170" i="4"/>
  <c r="G162" i="4"/>
  <c r="G154" i="4"/>
  <c r="G146" i="4"/>
  <c r="G138" i="4"/>
  <c r="G130" i="4"/>
  <c r="G122" i="4"/>
  <c r="G114" i="4"/>
  <c r="G106" i="4"/>
  <c r="G98" i="4"/>
  <c r="G90" i="4"/>
  <c r="G82" i="4"/>
  <c r="G74" i="4"/>
  <c r="G66" i="4"/>
  <c r="G58" i="4"/>
  <c r="G50" i="4"/>
  <c r="G42" i="4"/>
  <c r="G34" i="4"/>
  <c r="G26" i="4"/>
  <c r="G18" i="4"/>
  <c r="G10" i="4"/>
  <c r="G277" i="4"/>
  <c r="G269" i="4"/>
  <c r="G245" i="4"/>
  <c r="G221" i="4"/>
  <c r="G189" i="4"/>
  <c r="G149" i="4"/>
  <c r="G117" i="4"/>
  <c r="G85" i="4"/>
  <c r="G45" i="4"/>
  <c r="G244" i="4"/>
  <c r="G132" i="4"/>
  <c r="G92" i="4"/>
  <c r="G60" i="4"/>
  <c r="G36" i="4"/>
  <c r="G12" i="4"/>
  <c r="G291" i="4"/>
  <c r="G243" i="4"/>
  <c r="G211" i="4"/>
  <c r="G179" i="4"/>
  <c r="G147" i="4"/>
  <c r="G123" i="4"/>
  <c r="G83" i="4"/>
  <c r="G51" i="4"/>
  <c r="G19" i="4"/>
  <c r="G313" i="4"/>
  <c r="G305" i="4"/>
  <c r="G297" i="4"/>
  <c r="G289" i="4"/>
  <c r="G281" i="4"/>
  <c r="G273" i="4"/>
  <c r="G265" i="4"/>
  <c r="G257" i="4"/>
  <c r="G249" i="4"/>
  <c r="G241" i="4"/>
  <c r="G233" i="4"/>
  <c r="G225" i="4"/>
  <c r="G217" i="4"/>
  <c r="G209" i="4"/>
  <c r="G201" i="4"/>
  <c r="G193" i="4"/>
  <c r="G185" i="4"/>
  <c r="G177" i="4"/>
  <c r="G169" i="4"/>
  <c r="G161" i="4"/>
  <c r="G153" i="4"/>
  <c r="G145" i="4"/>
  <c r="G137" i="4"/>
  <c r="G129" i="4"/>
  <c r="G121" i="4"/>
  <c r="G113" i="4"/>
  <c r="G105" i="4"/>
  <c r="G97" i="4"/>
  <c r="G89" i="4"/>
  <c r="G81" i="4"/>
  <c r="G73" i="4"/>
  <c r="G65" i="4"/>
  <c r="G57" i="4"/>
  <c r="G49" i="4"/>
  <c r="G41" i="4"/>
  <c r="G33" i="4"/>
  <c r="G25" i="4"/>
  <c r="G17" i="4"/>
  <c r="G9" i="4"/>
  <c r="G285" i="4"/>
  <c r="G261" i="4"/>
  <c r="G229" i="4"/>
  <c r="G197" i="4"/>
  <c r="G165" i="4"/>
  <c r="G157" i="4"/>
  <c r="G125" i="4"/>
  <c r="G93" i="4"/>
  <c r="G61" i="4"/>
  <c r="G29" i="4"/>
  <c r="G260" i="4"/>
  <c r="G108" i="4"/>
  <c r="G44" i="4"/>
  <c r="G299" i="4"/>
  <c r="G267" i="4"/>
  <c r="G235" i="4"/>
  <c r="G195" i="4"/>
  <c r="G155" i="4"/>
  <c r="G131" i="4"/>
  <c r="G99" i="4"/>
  <c r="G67" i="4"/>
  <c r="G35" i="4"/>
  <c r="G314" i="4"/>
  <c r="G304" i="4"/>
  <c r="G296" i="4"/>
  <c r="G288" i="4"/>
  <c r="G280" i="4"/>
  <c r="G272" i="4"/>
  <c r="G264" i="4"/>
  <c r="G256" i="4"/>
  <c r="G248" i="4"/>
  <c r="G240" i="4"/>
  <c r="G232" i="4"/>
  <c r="G224" i="4"/>
  <c r="G216" i="4"/>
  <c r="G208" i="4"/>
  <c r="G200" i="4"/>
  <c r="G192" i="4"/>
  <c r="G184" i="4"/>
  <c r="G176" i="4"/>
  <c r="G168" i="4"/>
  <c r="G160" i="4"/>
  <c r="G152" i="4"/>
  <c r="G144" i="4"/>
  <c r="G136" i="4"/>
  <c r="G128" i="4"/>
  <c r="G120" i="4"/>
  <c r="G112" i="4"/>
  <c r="G104" i="4"/>
  <c r="G96" i="4"/>
  <c r="G88" i="4"/>
  <c r="G80" i="4"/>
  <c r="G72" i="4"/>
  <c r="G64" i="4"/>
  <c r="G56" i="4"/>
  <c r="G48" i="4"/>
  <c r="G40" i="4"/>
  <c r="G32" i="4"/>
  <c r="G24" i="4"/>
  <c r="G16" i="4"/>
  <c r="G8" i="4"/>
  <c r="G301" i="4"/>
  <c r="G253" i="4"/>
  <c r="G213" i="4"/>
  <c r="G181" i="4"/>
  <c r="G133" i="4"/>
  <c r="G109" i="4"/>
  <c r="G77" i="4"/>
  <c r="G53" i="4"/>
  <c r="G13" i="4"/>
  <c r="G252" i="4"/>
  <c r="G124" i="4"/>
  <c r="G84" i="4"/>
  <c r="G52" i="4"/>
  <c r="G20" i="4"/>
  <c r="G283" i="4"/>
  <c r="G251" i="4"/>
  <c r="G219" i="4"/>
  <c r="G187" i="4"/>
  <c r="G171" i="4"/>
  <c r="G139" i="4"/>
  <c r="G107" i="4"/>
  <c r="G75" i="4"/>
  <c r="G43" i="4"/>
  <c r="G11" i="4"/>
  <c r="G311" i="4"/>
  <c r="G303" i="4"/>
  <c r="G295" i="4"/>
  <c r="G287" i="4"/>
  <c r="G279" i="4"/>
  <c r="G271" i="4"/>
  <c r="G263" i="4"/>
  <c r="G255" i="4"/>
  <c r="G247" i="4"/>
  <c r="G239" i="4"/>
  <c r="G231" i="4"/>
  <c r="G223" i="4"/>
  <c r="G215" i="4"/>
  <c r="G207" i="4"/>
  <c r="G199" i="4"/>
  <c r="G191" i="4"/>
  <c r="G183" i="4"/>
  <c r="G175" i="4"/>
  <c r="G167" i="4"/>
  <c r="G159" i="4"/>
  <c r="G151" i="4"/>
  <c r="G143" i="4"/>
  <c r="G135" i="4"/>
  <c r="G127" i="4"/>
  <c r="G119" i="4"/>
  <c r="G111" i="4"/>
  <c r="G103" i="4"/>
  <c r="G95" i="4"/>
  <c r="G87" i="4"/>
  <c r="G79" i="4"/>
  <c r="G71" i="4"/>
  <c r="G63" i="4"/>
  <c r="G55" i="4"/>
  <c r="G47" i="4"/>
  <c r="G39" i="4"/>
  <c r="G31" i="4"/>
  <c r="G23" i="4"/>
  <c r="G15" i="4"/>
  <c r="G7" i="4"/>
  <c r="G293" i="4"/>
  <c r="G21" i="4"/>
  <c r="G236" i="4"/>
  <c r="G275" i="4"/>
  <c r="G310" i="4"/>
  <c r="G302" i="4"/>
  <c r="G294" i="4"/>
  <c r="G286" i="4"/>
  <c r="G278" i="4"/>
  <c r="G270" i="4"/>
  <c r="G262" i="4"/>
  <c r="G254" i="4"/>
  <c r="G246" i="4"/>
  <c r="G238" i="4"/>
  <c r="G230" i="4"/>
  <c r="G222" i="4"/>
  <c r="G214" i="4"/>
  <c r="G206" i="4"/>
  <c r="G198" i="4"/>
  <c r="G190" i="4"/>
  <c r="G182" i="4"/>
  <c r="G174" i="4"/>
  <c r="G166" i="4"/>
  <c r="G158" i="4"/>
  <c r="G150" i="4"/>
  <c r="G142" i="4"/>
  <c r="G134" i="4"/>
  <c r="G126" i="4"/>
  <c r="G118" i="4"/>
  <c r="G110" i="4"/>
  <c r="G102" i="4"/>
  <c r="G94" i="4"/>
  <c r="G86" i="4"/>
  <c r="G78" i="4"/>
  <c r="G70" i="4"/>
  <c r="G62" i="4"/>
  <c r="G54" i="4"/>
  <c r="G46" i="4"/>
  <c r="G38" i="4"/>
  <c r="G30" i="4"/>
  <c r="G22" i="4"/>
  <c r="G14" i="4"/>
  <c r="G309" i="4"/>
  <c r="G237" i="4"/>
  <c r="G205" i="4"/>
  <c r="G173" i="4"/>
  <c r="G141" i="4"/>
  <c r="G101" i="4"/>
  <c r="G69" i="4"/>
  <c r="G37" i="4"/>
  <c r="G268" i="4"/>
  <c r="G116" i="4"/>
  <c r="G68" i="4"/>
  <c r="F314" i="4"/>
  <c r="G307" i="4"/>
  <c r="G259" i="4"/>
  <c r="G227" i="4"/>
  <c r="G203" i="4"/>
  <c r="G163" i="4"/>
  <c r="G115" i="4"/>
  <c r="G91" i="4"/>
  <c r="G59" i="4"/>
  <c r="G27" i="4"/>
  <c r="G308" i="4"/>
  <c r="G300" i="4"/>
  <c r="G292" i="4"/>
  <c r="G284" i="4"/>
  <c r="G276" i="4"/>
  <c r="G228" i="4"/>
  <c r="G220" i="4"/>
  <c r="G212" i="4"/>
  <c r="G204" i="4"/>
  <c r="G196" i="4"/>
  <c r="G188" i="4"/>
  <c r="G180" i="4"/>
  <c r="G172" i="4"/>
  <c r="G164" i="4"/>
  <c r="G156" i="4"/>
  <c r="G148" i="4"/>
  <c r="G140" i="4"/>
  <c r="G100" i="4"/>
  <c r="G76" i="4"/>
  <c r="G28" i="4"/>
  <c r="F313" i="4"/>
  <c r="E313" i="4"/>
  <c r="C307" i="10"/>
  <c r="E306" i="10"/>
  <c r="F306" i="10"/>
  <c r="F303" i="2"/>
  <c r="E303" i="2"/>
  <c r="C304" i="2"/>
  <c r="F309" i="19"/>
  <c r="F314" i="13"/>
  <c r="E314" i="13"/>
  <c r="C315" i="13"/>
  <c r="F372" i="9"/>
  <c r="E372" i="9"/>
  <c r="C373" i="9"/>
  <c r="F372" i="8"/>
  <c r="E372" i="8"/>
  <c r="C373" i="8"/>
  <c r="C316" i="5"/>
  <c r="F315" i="5"/>
  <c r="E315" i="5"/>
  <c r="C315" i="3"/>
  <c r="F314" i="3"/>
  <c r="E314" i="3"/>
  <c r="C375" i="1"/>
  <c r="E374" i="1"/>
  <c r="F374" i="1"/>
  <c r="F307" i="10" l="1"/>
  <c r="E307" i="10"/>
  <c r="C308" i="10"/>
  <c r="F304" i="2"/>
  <c r="C305" i="2"/>
  <c r="E304" i="2"/>
  <c r="F310" i="19"/>
  <c r="C316" i="13"/>
  <c r="E315" i="13"/>
  <c r="F315" i="13"/>
  <c r="C374" i="9"/>
  <c r="F373" i="9"/>
  <c r="E373" i="9"/>
  <c r="E373" i="8"/>
  <c r="C374" i="8"/>
  <c r="F373" i="8"/>
  <c r="F316" i="5"/>
  <c r="E316" i="5"/>
  <c r="C317" i="5"/>
  <c r="C316" i="3"/>
  <c r="E315" i="3"/>
  <c r="F315" i="3"/>
  <c r="F375" i="1"/>
  <c r="E375" i="1"/>
  <c r="C376" i="1"/>
  <c r="C309" i="10" l="1"/>
  <c r="F308" i="10"/>
  <c r="E308" i="10"/>
  <c r="C306" i="2"/>
  <c r="F305" i="2"/>
  <c r="E305" i="2"/>
  <c r="F311" i="19"/>
  <c r="F316" i="13"/>
  <c r="E316" i="13"/>
  <c r="C317" i="13"/>
  <c r="E374" i="9"/>
  <c r="C375" i="9"/>
  <c r="F374" i="9"/>
  <c r="C375" i="8"/>
  <c r="E374" i="8"/>
  <c r="F374" i="8"/>
  <c r="C318" i="5"/>
  <c r="E317" i="5"/>
  <c r="F317" i="5"/>
  <c r="F316" i="3"/>
  <c r="E316" i="3"/>
  <c r="C317" i="3"/>
  <c r="C377" i="1"/>
  <c r="E376" i="1"/>
  <c r="F376" i="1"/>
  <c r="C310" i="10" l="1"/>
  <c r="E309" i="10"/>
  <c r="F309" i="10"/>
  <c r="E306" i="2"/>
  <c r="C307" i="2"/>
  <c r="F306" i="2"/>
  <c r="F312" i="19"/>
  <c r="C318" i="13"/>
  <c r="F317" i="13"/>
  <c r="E317" i="13"/>
  <c r="F375" i="9"/>
  <c r="C376" i="9"/>
  <c r="E375" i="9"/>
  <c r="E375" i="8"/>
  <c r="C376" i="8"/>
  <c r="F375" i="8"/>
  <c r="E318" i="5"/>
  <c r="C319" i="5"/>
  <c r="F318" i="5"/>
  <c r="C318" i="3"/>
  <c r="F317" i="3"/>
  <c r="E317" i="3"/>
  <c r="E377" i="1"/>
  <c r="F377" i="1"/>
  <c r="C378" i="1"/>
  <c r="C311" i="10" l="1"/>
  <c r="E310" i="10"/>
  <c r="F310" i="10"/>
  <c r="C308" i="2"/>
  <c r="F307" i="2"/>
  <c r="E307" i="2"/>
  <c r="F313" i="19"/>
  <c r="C319" i="13"/>
  <c r="F318" i="13"/>
  <c r="E318" i="13"/>
  <c r="C377" i="9"/>
  <c r="F376" i="9"/>
  <c r="E376" i="9"/>
  <c r="F376" i="8"/>
  <c r="E376" i="8"/>
  <c r="C377" i="8"/>
  <c r="F319" i="5"/>
  <c r="E319" i="5"/>
  <c r="C320" i="5"/>
  <c r="E318" i="3"/>
  <c r="C319" i="3"/>
  <c r="F318" i="3"/>
  <c r="C379" i="1"/>
  <c r="F378" i="1"/>
  <c r="E378" i="1"/>
  <c r="C312" i="10" l="1"/>
  <c r="E311" i="10"/>
  <c r="F311" i="10"/>
  <c r="E308" i="2"/>
  <c r="C309" i="2"/>
  <c r="F308" i="2"/>
  <c r="F314" i="19"/>
  <c r="F319" i="13"/>
  <c r="E319" i="13"/>
  <c r="C320" i="13"/>
  <c r="F377" i="9"/>
  <c r="E377" i="9"/>
  <c r="C378" i="9"/>
  <c r="C378" i="8"/>
  <c r="F377" i="8"/>
  <c r="E377" i="8"/>
  <c r="C321" i="5"/>
  <c r="E320" i="5"/>
  <c r="F320" i="5"/>
  <c r="F319" i="3"/>
  <c r="E319" i="3"/>
  <c r="C320" i="3"/>
  <c r="E379" i="1"/>
  <c r="C380" i="1"/>
  <c r="F379" i="1"/>
  <c r="E312" i="10" l="1"/>
  <c r="F312" i="10"/>
  <c r="C313" i="10"/>
  <c r="F309" i="2"/>
  <c r="C310" i="2"/>
  <c r="E309" i="2"/>
  <c r="F315" i="19"/>
  <c r="C321" i="13"/>
  <c r="F320" i="13"/>
  <c r="E320" i="13"/>
  <c r="C379" i="9"/>
  <c r="E378" i="9"/>
  <c r="F378" i="9"/>
  <c r="F378" i="8"/>
  <c r="C379" i="8"/>
  <c r="E378" i="8"/>
  <c r="F321" i="5"/>
  <c r="E321" i="5"/>
  <c r="C322" i="5"/>
  <c r="C321" i="3"/>
  <c r="E320" i="3"/>
  <c r="F320" i="3"/>
  <c r="E380" i="1"/>
  <c r="C381" i="1"/>
  <c r="F380" i="1"/>
  <c r="C314" i="10" l="1"/>
  <c r="F313" i="10"/>
  <c r="E313" i="10"/>
  <c r="E310" i="2"/>
  <c r="F310" i="2"/>
  <c r="C311" i="2"/>
  <c r="F316" i="19"/>
  <c r="E321" i="13"/>
  <c r="C322" i="13"/>
  <c r="F321" i="13"/>
  <c r="C380" i="9"/>
  <c r="F379" i="9"/>
  <c r="E379" i="9"/>
  <c r="C380" i="8"/>
  <c r="F379" i="8"/>
  <c r="E379" i="8"/>
  <c r="C323" i="5"/>
  <c r="F322" i="5"/>
  <c r="E322" i="5"/>
  <c r="F321" i="3"/>
  <c r="E321" i="3"/>
  <c r="C322" i="3"/>
  <c r="F381" i="1"/>
  <c r="E381" i="1"/>
  <c r="C382" i="1"/>
  <c r="G313" i="10" l="1"/>
  <c r="G306" i="10"/>
  <c r="G298" i="10"/>
  <c r="G290" i="10"/>
  <c r="G282" i="10"/>
  <c r="G274" i="10"/>
  <c r="G266" i="10"/>
  <c r="G258" i="10"/>
  <c r="G250" i="10"/>
  <c r="G242" i="10"/>
  <c r="G234" i="10"/>
  <c r="G226" i="10"/>
  <c r="G218" i="10"/>
  <c r="G210" i="10"/>
  <c r="G202" i="10"/>
  <c r="G194" i="10"/>
  <c r="G186" i="10"/>
  <c r="G178" i="10"/>
  <c r="G170" i="10"/>
  <c r="G162" i="10"/>
  <c r="G154" i="10"/>
  <c r="G146" i="10"/>
  <c r="G138" i="10"/>
  <c r="G130" i="10"/>
  <c r="G122" i="10"/>
  <c r="G114" i="10"/>
  <c r="G106" i="10"/>
  <c r="G98" i="10"/>
  <c r="G90" i="10"/>
  <c r="G82" i="10"/>
  <c r="G74" i="10"/>
  <c r="G66" i="10"/>
  <c r="G58" i="10"/>
  <c r="G50" i="10"/>
  <c r="G42" i="10"/>
  <c r="G34" i="10"/>
  <c r="G26" i="10"/>
  <c r="G18" i="10"/>
  <c r="G10" i="10"/>
  <c r="G309" i="10"/>
  <c r="G285" i="10"/>
  <c r="G253" i="10"/>
  <c r="G221" i="10"/>
  <c r="G197" i="10"/>
  <c r="G181" i="10"/>
  <c r="G157" i="10"/>
  <c r="G141" i="10"/>
  <c r="G117" i="10"/>
  <c r="G85" i="10"/>
  <c r="G61" i="10"/>
  <c r="G37" i="10"/>
  <c r="G13" i="10"/>
  <c r="G314" i="10"/>
  <c r="G305" i="10"/>
  <c r="G297" i="10"/>
  <c r="G289" i="10"/>
  <c r="G281" i="10"/>
  <c r="G273" i="10"/>
  <c r="G265" i="10"/>
  <c r="G257" i="10"/>
  <c r="G249" i="10"/>
  <c r="G241" i="10"/>
  <c r="G233" i="10"/>
  <c r="G225" i="10"/>
  <c r="G217" i="10"/>
  <c r="G209" i="10"/>
  <c r="G201" i="10"/>
  <c r="G193" i="10"/>
  <c r="G185" i="10"/>
  <c r="G177" i="10"/>
  <c r="G169" i="10"/>
  <c r="G161" i="10"/>
  <c r="G153" i="10"/>
  <c r="G145" i="10"/>
  <c r="G137" i="10"/>
  <c r="G129" i="10"/>
  <c r="G121" i="10"/>
  <c r="G113" i="10"/>
  <c r="G105" i="10"/>
  <c r="G97" i="10"/>
  <c r="G89" i="10"/>
  <c r="G81" i="10"/>
  <c r="G73" i="10"/>
  <c r="G65" i="10"/>
  <c r="G57" i="10"/>
  <c r="G49" i="10"/>
  <c r="G41" i="10"/>
  <c r="G33" i="10"/>
  <c r="G25" i="10"/>
  <c r="G17" i="10"/>
  <c r="G9" i="10"/>
  <c r="G312" i="10"/>
  <c r="G304" i="10"/>
  <c r="G296" i="10"/>
  <c r="G288" i="10"/>
  <c r="G280" i="10"/>
  <c r="G272" i="10"/>
  <c r="G264" i="10"/>
  <c r="G256" i="10"/>
  <c r="G248" i="10"/>
  <c r="G240" i="10"/>
  <c r="G232" i="10"/>
  <c r="G224" i="10"/>
  <c r="G216" i="10"/>
  <c r="G208" i="10"/>
  <c r="G200" i="10"/>
  <c r="G192" i="10"/>
  <c r="G184" i="10"/>
  <c r="G176" i="10"/>
  <c r="G168" i="10"/>
  <c r="G160" i="10"/>
  <c r="G152" i="10"/>
  <c r="G144" i="10"/>
  <c r="G136" i="10"/>
  <c r="G128" i="10"/>
  <c r="G120" i="10"/>
  <c r="G112" i="10"/>
  <c r="G104" i="10"/>
  <c r="G96" i="10"/>
  <c r="G88" i="10"/>
  <c r="G80" i="10"/>
  <c r="G72" i="10"/>
  <c r="G64" i="10"/>
  <c r="G56" i="10"/>
  <c r="G48" i="10"/>
  <c r="G40" i="10"/>
  <c r="G32" i="10"/>
  <c r="G24" i="10"/>
  <c r="G16" i="10"/>
  <c r="G8" i="10"/>
  <c r="G69" i="10"/>
  <c r="G311" i="10"/>
  <c r="G303" i="10"/>
  <c r="G295" i="10"/>
  <c r="G287" i="10"/>
  <c r="G279" i="10"/>
  <c r="G271" i="10"/>
  <c r="G263" i="10"/>
  <c r="G255" i="10"/>
  <c r="G247" i="10"/>
  <c r="G239" i="10"/>
  <c r="G231" i="10"/>
  <c r="G223" i="10"/>
  <c r="G215" i="10"/>
  <c r="G207" i="10"/>
  <c r="G199" i="10"/>
  <c r="G191" i="10"/>
  <c r="G183" i="10"/>
  <c r="G175" i="10"/>
  <c r="G167" i="10"/>
  <c r="G159" i="10"/>
  <c r="G151" i="10"/>
  <c r="G143" i="10"/>
  <c r="G135" i="10"/>
  <c r="G127" i="10"/>
  <c r="G119" i="10"/>
  <c r="G111" i="10"/>
  <c r="G103" i="10"/>
  <c r="G95" i="10"/>
  <c r="G87" i="10"/>
  <c r="G79" i="10"/>
  <c r="G71" i="10"/>
  <c r="G63" i="10"/>
  <c r="G55" i="10"/>
  <c r="G47" i="10"/>
  <c r="G39" i="10"/>
  <c r="G31" i="10"/>
  <c r="G23" i="10"/>
  <c r="G15" i="10"/>
  <c r="G7" i="10"/>
  <c r="G293" i="10"/>
  <c r="G269" i="10"/>
  <c r="G237" i="10"/>
  <c r="G205" i="10"/>
  <c r="G165" i="10"/>
  <c r="G125" i="10"/>
  <c r="G101" i="10"/>
  <c r="G53" i="10"/>
  <c r="G21" i="10"/>
  <c r="G310" i="10"/>
  <c r="G302" i="10"/>
  <c r="G294" i="10"/>
  <c r="G286" i="10"/>
  <c r="G278" i="10"/>
  <c r="G270" i="10"/>
  <c r="G262" i="10"/>
  <c r="G254" i="10"/>
  <c r="G246" i="10"/>
  <c r="G238" i="10"/>
  <c r="G230" i="10"/>
  <c r="G222" i="10"/>
  <c r="G214" i="10"/>
  <c r="G206" i="10"/>
  <c r="G198" i="10"/>
  <c r="G190" i="10"/>
  <c r="G182" i="10"/>
  <c r="G174" i="10"/>
  <c r="G166" i="10"/>
  <c r="G158" i="10"/>
  <c r="G150" i="10"/>
  <c r="G142" i="10"/>
  <c r="G134" i="10"/>
  <c r="G126" i="10"/>
  <c r="G118" i="10"/>
  <c r="G110" i="10"/>
  <c r="G102" i="10"/>
  <c r="G94" i="10"/>
  <c r="G86" i="10"/>
  <c r="G78" i="10"/>
  <c r="G70" i="10"/>
  <c r="G62" i="10"/>
  <c r="G54" i="10"/>
  <c r="G46" i="10"/>
  <c r="G38" i="10"/>
  <c r="G30" i="10"/>
  <c r="G22" i="10"/>
  <c r="G14" i="10"/>
  <c r="G301" i="10"/>
  <c r="G277" i="10"/>
  <c r="G261" i="10"/>
  <c r="G245" i="10"/>
  <c r="G229" i="10"/>
  <c r="G213" i="10"/>
  <c r="G189" i="10"/>
  <c r="G173" i="10"/>
  <c r="G149" i="10"/>
  <c r="G133" i="10"/>
  <c r="G109" i="10"/>
  <c r="G93" i="10"/>
  <c r="G77" i="10"/>
  <c r="G45" i="10"/>
  <c r="G29" i="10"/>
  <c r="G308" i="10"/>
  <c r="G300" i="10"/>
  <c r="G292" i="10"/>
  <c r="G284" i="10"/>
  <c r="G276" i="10"/>
  <c r="G268" i="10"/>
  <c r="G260" i="10"/>
  <c r="G252" i="10"/>
  <c r="G244" i="10"/>
  <c r="G236" i="10"/>
  <c r="G228" i="10"/>
  <c r="G220" i="10"/>
  <c r="G212" i="10"/>
  <c r="G204" i="10"/>
  <c r="G196" i="10"/>
  <c r="G188" i="10"/>
  <c r="G180" i="10"/>
  <c r="G172" i="10"/>
  <c r="G164" i="10"/>
  <c r="G156" i="10"/>
  <c r="G148" i="10"/>
  <c r="G140" i="10"/>
  <c r="G132" i="10"/>
  <c r="G124" i="10"/>
  <c r="G116" i="10"/>
  <c r="G108" i="10"/>
  <c r="G100" i="10"/>
  <c r="G92" i="10"/>
  <c r="G84" i="10"/>
  <c r="G76" i="10"/>
  <c r="G68" i="10"/>
  <c r="G60" i="10"/>
  <c r="G52" i="10"/>
  <c r="G44" i="10"/>
  <c r="G36" i="10"/>
  <c r="G28" i="10"/>
  <c r="G20" i="10"/>
  <c r="G12" i="10"/>
  <c r="E314" i="10"/>
  <c r="G307" i="10"/>
  <c r="G299" i="10"/>
  <c r="G291" i="10"/>
  <c r="G283" i="10"/>
  <c r="G275" i="10"/>
  <c r="G267" i="10"/>
  <c r="G259" i="10"/>
  <c r="G251" i="10"/>
  <c r="G243" i="10"/>
  <c r="G235" i="10"/>
  <c r="G227" i="10"/>
  <c r="G219" i="10"/>
  <c r="G211" i="10"/>
  <c r="G203" i="10"/>
  <c r="G195" i="10"/>
  <c r="G187" i="10"/>
  <c r="G179" i="10"/>
  <c r="G171" i="10"/>
  <c r="G163" i="10"/>
  <c r="G155" i="10"/>
  <c r="G147" i="10"/>
  <c r="G139" i="10"/>
  <c r="G131" i="10"/>
  <c r="G123" i="10"/>
  <c r="G115" i="10"/>
  <c r="G107" i="10"/>
  <c r="G99" i="10"/>
  <c r="G91" i="10"/>
  <c r="G83" i="10"/>
  <c r="G75" i="10"/>
  <c r="G67" i="10"/>
  <c r="G59" i="10"/>
  <c r="G51" i="10"/>
  <c r="G43" i="10"/>
  <c r="G35" i="10"/>
  <c r="G27" i="10"/>
  <c r="G19" i="10"/>
  <c r="G11" i="10"/>
  <c r="F314" i="10"/>
  <c r="C312" i="2"/>
  <c r="F311" i="2"/>
  <c r="E311" i="2"/>
  <c r="C381" i="9"/>
  <c r="C381" i="8"/>
  <c r="F317" i="19"/>
  <c r="F322" i="13"/>
  <c r="E322" i="13"/>
  <c r="C323" i="13"/>
  <c r="F380" i="9"/>
  <c r="E380" i="9"/>
  <c r="E380" i="8"/>
  <c r="F380" i="8"/>
  <c r="C324" i="5"/>
  <c r="F323" i="5"/>
  <c r="E323" i="5"/>
  <c r="C323" i="3"/>
  <c r="F322" i="3"/>
  <c r="E322" i="3"/>
  <c r="F382" i="1"/>
  <c r="E382" i="1"/>
  <c r="C383" i="1"/>
  <c r="E312" i="2" l="1"/>
  <c r="F312" i="2"/>
  <c r="C313" i="2"/>
  <c r="C382" i="9"/>
  <c r="C382" i="8"/>
  <c r="C383" i="8" s="1"/>
  <c r="F381" i="9"/>
  <c r="E381" i="9"/>
  <c r="F381" i="8"/>
  <c r="E381" i="8"/>
  <c r="F318" i="19"/>
  <c r="C324" i="13"/>
  <c r="E323" i="13"/>
  <c r="F323" i="13"/>
  <c r="F324" i="5"/>
  <c r="E324" i="5"/>
  <c r="C325" i="5"/>
  <c r="C324" i="3"/>
  <c r="F323" i="3"/>
  <c r="E323" i="3"/>
  <c r="F383" i="1"/>
  <c r="C384" i="1"/>
  <c r="E383" i="1"/>
  <c r="C314" i="2" l="1"/>
  <c r="E313" i="2"/>
  <c r="F313" i="2"/>
  <c r="C384" i="8"/>
  <c r="C383" i="9"/>
  <c r="E382" i="9"/>
  <c r="F382" i="9"/>
  <c r="E382" i="8"/>
  <c r="F382" i="8"/>
  <c r="F319" i="19"/>
  <c r="F324" i="13"/>
  <c r="E324" i="13"/>
  <c r="C325" i="13"/>
  <c r="C326" i="5"/>
  <c r="F325" i="5"/>
  <c r="E325" i="5"/>
  <c r="F324" i="3"/>
  <c r="E324" i="3"/>
  <c r="C325" i="3"/>
  <c r="C385" i="1"/>
  <c r="E384" i="1"/>
  <c r="F384" i="1"/>
  <c r="F314" i="2" l="1"/>
  <c r="C315" i="2"/>
  <c r="E314" i="2"/>
  <c r="C385" i="8"/>
  <c r="C384" i="9"/>
  <c r="F384" i="8"/>
  <c r="E384" i="8"/>
  <c r="E383" i="9"/>
  <c r="F383" i="9"/>
  <c r="F383" i="8"/>
  <c r="E383" i="8"/>
  <c r="F320" i="19"/>
  <c r="C326" i="13"/>
  <c r="F325" i="13"/>
  <c r="E325" i="13"/>
  <c r="E326" i="5"/>
  <c r="C327" i="5"/>
  <c r="F326" i="5"/>
  <c r="C326" i="3"/>
  <c r="F325" i="3"/>
  <c r="E325" i="3"/>
  <c r="C386" i="1"/>
  <c r="E385" i="1"/>
  <c r="F385" i="1"/>
  <c r="F315" i="2" l="1"/>
  <c r="C316" i="2"/>
  <c r="E315" i="2"/>
  <c r="C386" i="8"/>
  <c r="C387" i="8" s="1"/>
  <c r="C385" i="9"/>
  <c r="E385" i="8"/>
  <c r="F385" i="8"/>
  <c r="E384" i="9"/>
  <c r="F384" i="9"/>
  <c r="F321" i="19"/>
  <c r="C327" i="13"/>
  <c r="F326" i="13"/>
  <c r="E326" i="13"/>
  <c r="F327" i="5"/>
  <c r="E327" i="5"/>
  <c r="C328" i="5"/>
  <c r="E326" i="3"/>
  <c r="C327" i="3"/>
  <c r="F326" i="3"/>
  <c r="C387" i="1"/>
  <c r="F386" i="1"/>
  <c r="E386" i="1"/>
  <c r="C388" i="8" l="1"/>
  <c r="E387" i="8"/>
  <c r="F387" i="8"/>
  <c r="F316" i="2"/>
  <c r="E316" i="2"/>
  <c r="C317" i="2"/>
  <c r="C386" i="9"/>
  <c r="C387" i="9" s="1"/>
  <c r="E386" i="8"/>
  <c r="F386" i="8"/>
  <c r="F385" i="9"/>
  <c r="E385" i="9"/>
  <c r="F322" i="19"/>
  <c r="F327" i="13"/>
  <c r="E327" i="13"/>
  <c r="C328" i="13"/>
  <c r="C329" i="5"/>
  <c r="E328" i="5"/>
  <c r="F328" i="5"/>
  <c r="F327" i="3"/>
  <c r="E327" i="3"/>
  <c r="C328" i="3"/>
  <c r="C388" i="1"/>
  <c r="F387" i="1"/>
  <c r="E387" i="1"/>
  <c r="C389" i="8" l="1"/>
  <c r="C388" i="9"/>
  <c r="E388" i="8"/>
  <c r="F388" i="8"/>
  <c r="E387" i="9"/>
  <c r="F387" i="9"/>
  <c r="C318" i="2"/>
  <c r="F317" i="2"/>
  <c r="E317" i="2"/>
  <c r="F386" i="9"/>
  <c r="E386" i="9"/>
  <c r="F323" i="19"/>
  <c r="C329" i="13"/>
  <c r="F328" i="13"/>
  <c r="E328" i="13"/>
  <c r="F329" i="5"/>
  <c r="E329" i="5"/>
  <c r="C330" i="5"/>
  <c r="C329" i="3"/>
  <c r="F328" i="3"/>
  <c r="E328" i="3"/>
  <c r="E388" i="1"/>
  <c r="C389" i="1"/>
  <c r="C390" i="1" s="1"/>
  <c r="C391" i="1" s="1"/>
  <c r="C392" i="1" s="1"/>
  <c r="C393" i="1" s="1"/>
  <c r="F388" i="1"/>
  <c r="C389" i="9" l="1"/>
  <c r="C390" i="9" s="1"/>
  <c r="C390" i="8"/>
  <c r="F389" i="8"/>
  <c r="E389" i="8"/>
  <c r="E388" i="9"/>
  <c r="F388" i="9"/>
  <c r="E318" i="2"/>
  <c r="F318" i="2"/>
  <c r="C319" i="2"/>
  <c r="C394" i="1"/>
  <c r="E393" i="1"/>
  <c r="F393" i="1"/>
  <c r="E392" i="1"/>
  <c r="F392" i="1"/>
  <c r="E391" i="1"/>
  <c r="F391" i="1"/>
  <c r="F390" i="1"/>
  <c r="E390" i="1"/>
  <c r="E389" i="1"/>
  <c r="F324" i="19"/>
  <c r="E329" i="13"/>
  <c r="C330" i="13"/>
  <c r="F329" i="13"/>
  <c r="C331" i="5"/>
  <c r="F330" i="5"/>
  <c r="E330" i="5"/>
  <c r="F329" i="3"/>
  <c r="E329" i="3"/>
  <c r="C330" i="3"/>
  <c r="F389" i="1"/>
  <c r="C391" i="9" l="1"/>
  <c r="C391" i="8"/>
  <c r="E390" i="9"/>
  <c r="F390" i="9"/>
  <c r="E389" i="9"/>
  <c r="F389" i="9"/>
  <c r="E390" i="8"/>
  <c r="F390" i="8"/>
  <c r="C320" i="2"/>
  <c r="F319" i="2"/>
  <c r="E319" i="2"/>
  <c r="C395" i="1"/>
  <c r="C396" i="1" s="1"/>
  <c r="E394" i="1"/>
  <c r="F394" i="1"/>
  <c r="F325" i="19"/>
  <c r="F330" i="13"/>
  <c r="E330" i="13"/>
  <c r="C331" i="13"/>
  <c r="C332" i="5"/>
  <c r="F331" i="5"/>
  <c r="E331" i="5"/>
  <c r="C331" i="3"/>
  <c r="F330" i="3"/>
  <c r="E330" i="3"/>
  <c r="C392" i="9" l="1"/>
  <c r="C392" i="8"/>
  <c r="F391" i="9"/>
  <c r="E391" i="9"/>
  <c r="F391" i="8"/>
  <c r="E391" i="8"/>
  <c r="C397" i="1"/>
  <c r="E320" i="2"/>
  <c r="C321" i="2"/>
  <c r="F320" i="2"/>
  <c r="E396" i="1"/>
  <c r="F396" i="1"/>
  <c r="F395" i="1"/>
  <c r="E395" i="1"/>
  <c r="F326" i="19"/>
  <c r="C332" i="13"/>
  <c r="E331" i="13"/>
  <c r="F331" i="13"/>
  <c r="F332" i="5"/>
  <c r="E332" i="5"/>
  <c r="C333" i="5"/>
  <c r="C332" i="3"/>
  <c r="E331" i="3"/>
  <c r="F331" i="3"/>
  <c r="C393" i="9" l="1"/>
  <c r="C393" i="8"/>
  <c r="F392" i="9"/>
  <c r="E392" i="9"/>
  <c r="F392" i="8"/>
  <c r="E392" i="8"/>
  <c r="C398" i="1"/>
  <c r="E397" i="1"/>
  <c r="F397" i="1"/>
  <c r="C322" i="2"/>
  <c r="F321" i="2"/>
  <c r="E321" i="2"/>
  <c r="F327" i="19"/>
  <c r="F332" i="13"/>
  <c r="E332" i="13"/>
  <c r="C333" i="13"/>
  <c r="C334" i="5"/>
  <c r="E333" i="5"/>
  <c r="F333" i="5"/>
  <c r="F332" i="3"/>
  <c r="E332" i="3"/>
  <c r="C333" i="3"/>
  <c r="C394" i="9" l="1"/>
  <c r="C394" i="8"/>
  <c r="F393" i="9"/>
  <c r="E393" i="9"/>
  <c r="E393" i="8"/>
  <c r="F393" i="8"/>
  <c r="C399" i="1"/>
  <c r="E398" i="1"/>
  <c r="F398" i="1"/>
  <c r="E322" i="2"/>
  <c r="F322" i="2"/>
  <c r="C323" i="2"/>
  <c r="F328" i="19"/>
  <c r="C334" i="13"/>
  <c r="F333" i="13"/>
  <c r="E333" i="13"/>
  <c r="E334" i="5"/>
  <c r="C335" i="5"/>
  <c r="F334" i="5"/>
  <c r="C334" i="3"/>
  <c r="F333" i="3"/>
  <c r="E333" i="3"/>
  <c r="E394" i="9" l="1"/>
  <c r="F394" i="9"/>
  <c r="C395" i="9"/>
  <c r="E394" i="8"/>
  <c r="F394" i="8"/>
  <c r="C395" i="8"/>
  <c r="C400" i="1"/>
  <c r="E399" i="1"/>
  <c r="F399" i="1"/>
  <c r="E323" i="2"/>
  <c r="F323" i="2"/>
  <c r="C324" i="2"/>
  <c r="F329" i="19"/>
  <c r="C335" i="13"/>
  <c r="F334" i="13"/>
  <c r="E334" i="13"/>
  <c r="F335" i="5"/>
  <c r="E335" i="5"/>
  <c r="C336" i="5"/>
  <c r="E334" i="3"/>
  <c r="C335" i="3"/>
  <c r="F334" i="3"/>
  <c r="C396" i="9" l="1"/>
  <c r="C396" i="8"/>
  <c r="F395" i="9"/>
  <c r="E395" i="9"/>
  <c r="E395" i="8"/>
  <c r="F395" i="8"/>
  <c r="C401" i="1"/>
  <c r="E400" i="1"/>
  <c r="F400" i="1"/>
  <c r="C325" i="2"/>
  <c r="F324" i="2"/>
  <c r="E324" i="2"/>
  <c r="F330" i="19"/>
  <c r="F335" i="13"/>
  <c r="E335" i="13"/>
  <c r="C336" i="13"/>
  <c r="C337" i="5"/>
  <c r="E336" i="5"/>
  <c r="F336" i="5"/>
  <c r="F335" i="3"/>
  <c r="E335" i="3"/>
  <c r="C336" i="3"/>
  <c r="E396" i="9" l="1"/>
  <c r="G394" i="9"/>
  <c r="G386" i="9"/>
  <c r="G378" i="9"/>
  <c r="G370" i="9"/>
  <c r="G362" i="9"/>
  <c r="G354" i="9"/>
  <c r="G346" i="9"/>
  <c r="G338" i="9"/>
  <c r="G330" i="9"/>
  <c r="G322" i="9"/>
  <c r="G314" i="9"/>
  <c r="G306" i="9"/>
  <c r="G298" i="9"/>
  <c r="G290" i="9"/>
  <c r="G282" i="9"/>
  <c r="G274" i="9"/>
  <c r="G266" i="9"/>
  <c r="G258" i="9"/>
  <c r="G250" i="9"/>
  <c r="G242" i="9"/>
  <c r="G234" i="9"/>
  <c r="G226" i="9"/>
  <c r="G218" i="9"/>
  <c r="G210" i="9"/>
  <c r="G202" i="9"/>
  <c r="G194" i="9"/>
  <c r="G186" i="9"/>
  <c r="G178" i="9"/>
  <c r="G170" i="9"/>
  <c r="G162" i="9"/>
  <c r="G154" i="9"/>
  <c r="G146" i="9"/>
  <c r="G138" i="9"/>
  <c r="G130" i="9"/>
  <c r="G122" i="9"/>
  <c r="G114" i="9"/>
  <c r="G106" i="9"/>
  <c r="G98" i="9"/>
  <c r="G90" i="9"/>
  <c r="G82" i="9"/>
  <c r="G74" i="9"/>
  <c r="G66" i="9"/>
  <c r="G58" i="9"/>
  <c r="G50" i="9"/>
  <c r="G42" i="9"/>
  <c r="G34" i="9"/>
  <c r="G26" i="9"/>
  <c r="G18" i="9"/>
  <c r="G10" i="9"/>
  <c r="G389" i="9"/>
  <c r="G341" i="9"/>
  <c r="G317" i="9"/>
  <c r="G309" i="9"/>
  <c r="G285" i="9"/>
  <c r="G269" i="9"/>
  <c r="G237" i="9"/>
  <c r="G221" i="9"/>
  <c r="G205" i="9"/>
  <c r="G181" i="9"/>
  <c r="G165" i="9"/>
  <c r="G141" i="9"/>
  <c r="G125" i="9"/>
  <c r="G109" i="9"/>
  <c r="G85" i="9"/>
  <c r="G69" i="9"/>
  <c r="G53" i="9"/>
  <c r="G29" i="9"/>
  <c r="G13" i="9"/>
  <c r="G393" i="9"/>
  <c r="G385" i="9"/>
  <c r="G377" i="9"/>
  <c r="G369" i="9"/>
  <c r="G361" i="9"/>
  <c r="G353" i="9"/>
  <c r="G345" i="9"/>
  <c r="G337" i="9"/>
  <c r="G329" i="9"/>
  <c r="G321" i="9"/>
  <c r="G313" i="9"/>
  <c r="G305" i="9"/>
  <c r="G297" i="9"/>
  <c r="G289" i="9"/>
  <c r="G281" i="9"/>
  <c r="G273" i="9"/>
  <c r="G265" i="9"/>
  <c r="G257" i="9"/>
  <c r="G249" i="9"/>
  <c r="G241" i="9"/>
  <c r="G233" i="9"/>
  <c r="G225" i="9"/>
  <c r="G217" i="9"/>
  <c r="G209" i="9"/>
  <c r="G201" i="9"/>
  <c r="G193" i="9"/>
  <c r="G185" i="9"/>
  <c r="G177" i="9"/>
  <c r="G169" i="9"/>
  <c r="G161" i="9"/>
  <c r="G153" i="9"/>
  <c r="G145" i="9"/>
  <c r="G137" i="9"/>
  <c r="G129" i="9"/>
  <c r="G121" i="9"/>
  <c r="G113" i="9"/>
  <c r="G105" i="9"/>
  <c r="G97" i="9"/>
  <c r="G89" i="9"/>
  <c r="G81" i="9"/>
  <c r="G73" i="9"/>
  <c r="G65" i="9"/>
  <c r="G57" i="9"/>
  <c r="G49" i="9"/>
  <c r="G41" i="9"/>
  <c r="G33" i="9"/>
  <c r="G25" i="9"/>
  <c r="G17" i="9"/>
  <c r="G9" i="9"/>
  <c r="G373" i="9"/>
  <c r="G392" i="9"/>
  <c r="G384" i="9"/>
  <c r="G376" i="9"/>
  <c r="G368" i="9"/>
  <c r="G360" i="9"/>
  <c r="G352" i="9"/>
  <c r="G344" i="9"/>
  <c r="G336" i="9"/>
  <c r="G328" i="9"/>
  <c r="G320" i="9"/>
  <c r="G312" i="9"/>
  <c r="G304" i="9"/>
  <c r="G296" i="9"/>
  <c r="G288" i="9"/>
  <c r="G280" i="9"/>
  <c r="G272" i="9"/>
  <c r="G264" i="9"/>
  <c r="G256" i="9"/>
  <c r="G248" i="9"/>
  <c r="G240" i="9"/>
  <c r="G232" i="9"/>
  <c r="G224" i="9"/>
  <c r="G216" i="9"/>
  <c r="G208" i="9"/>
  <c r="G200" i="9"/>
  <c r="G192" i="9"/>
  <c r="G184" i="9"/>
  <c r="G176" i="9"/>
  <c r="G168" i="9"/>
  <c r="G160" i="9"/>
  <c r="G152" i="9"/>
  <c r="G144" i="9"/>
  <c r="G136" i="9"/>
  <c r="G128" i="9"/>
  <c r="G120" i="9"/>
  <c r="G112" i="9"/>
  <c r="G104" i="9"/>
  <c r="G96" i="9"/>
  <c r="G88" i="9"/>
  <c r="G80" i="9"/>
  <c r="G72" i="9"/>
  <c r="G64" i="9"/>
  <c r="G56" i="9"/>
  <c r="G48" i="9"/>
  <c r="G40" i="9"/>
  <c r="G32" i="9"/>
  <c r="G24" i="9"/>
  <c r="G16" i="9"/>
  <c r="G8" i="9"/>
  <c r="G381" i="9"/>
  <c r="G357" i="9"/>
  <c r="G349" i="9"/>
  <c r="G325" i="9"/>
  <c r="G301" i="9"/>
  <c r="G277" i="9"/>
  <c r="G253" i="9"/>
  <c r="G229" i="9"/>
  <c r="G213" i="9"/>
  <c r="G189" i="9"/>
  <c r="G173" i="9"/>
  <c r="G157" i="9"/>
  <c r="G133" i="9"/>
  <c r="G117" i="9"/>
  <c r="G101" i="9"/>
  <c r="G77" i="9"/>
  <c r="G61" i="9"/>
  <c r="G45" i="9"/>
  <c r="G21" i="9"/>
  <c r="G391" i="9"/>
  <c r="G383" i="9"/>
  <c r="G375" i="9"/>
  <c r="G367" i="9"/>
  <c r="G359" i="9"/>
  <c r="G351" i="9"/>
  <c r="G343" i="9"/>
  <c r="G335" i="9"/>
  <c r="G327" i="9"/>
  <c r="G319" i="9"/>
  <c r="G311" i="9"/>
  <c r="G303" i="9"/>
  <c r="G295" i="9"/>
  <c r="G287" i="9"/>
  <c r="G279" i="9"/>
  <c r="G271" i="9"/>
  <c r="G263" i="9"/>
  <c r="G255" i="9"/>
  <c r="G247" i="9"/>
  <c r="G239" i="9"/>
  <c r="G231" i="9"/>
  <c r="G223" i="9"/>
  <c r="G215" i="9"/>
  <c r="G207" i="9"/>
  <c r="G199" i="9"/>
  <c r="G191" i="9"/>
  <c r="G183" i="9"/>
  <c r="G175" i="9"/>
  <c r="G167" i="9"/>
  <c r="G159" i="9"/>
  <c r="G151" i="9"/>
  <c r="G143" i="9"/>
  <c r="G135" i="9"/>
  <c r="G127" i="9"/>
  <c r="G119" i="9"/>
  <c r="G111" i="9"/>
  <c r="G103" i="9"/>
  <c r="G95" i="9"/>
  <c r="G87" i="9"/>
  <c r="G79" i="9"/>
  <c r="G71" i="9"/>
  <c r="G63" i="9"/>
  <c r="G55" i="9"/>
  <c r="G47" i="9"/>
  <c r="G39" i="9"/>
  <c r="G31" i="9"/>
  <c r="G23" i="9"/>
  <c r="G15" i="9"/>
  <c r="G7" i="9"/>
  <c r="G365" i="9"/>
  <c r="G333" i="9"/>
  <c r="G293" i="9"/>
  <c r="G245" i="9"/>
  <c r="G197" i="9"/>
  <c r="G149" i="9"/>
  <c r="G93" i="9"/>
  <c r="G37" i="9"/>
  <c r="G390" i="9"/>
  <c r="G382" i="9"/>
  <c r="G374" i="9"/>
  <c r="G366" i="9"/>
  <c r="G358" i="9"/>
  <c r="G350" i="9"/>
  <c r="G342" i="9"/>
  <c r="G334" i="9"/>
  <c r="G326" i="9"/>
  <c r="G318" i="9"/>
  <c r="G310" i="9"/>
  <c r="G302" i="9"/>
  <c r="G294" i="9"/>
  <c r="G286" i="9"/>
  <c r="G278" i="9"/>
  <c r="G270" i="9"/>
  <c r="G262" i="9"/>
  <c r="G254" i="9"/>
  <c r="G246" i="9"/>
  <c r="G238" i="9"/>
  <c r="G230" i="9"/>
  <c r="G222" i="9"/>
  <c r="G214" i="9"/>
  <c r="G206" i="9"/>
  <c r="G198" i="9"/>
  <c r="G190" i="9"/>
  <c r="G182" i="9"/>
  <c r="G174" i="9"/>
  <c r="G166" i="9"/>
  <c r="G158" i="9"/>
  <c r="G150" i="9"/>
  <c r="G142" i="9"/>
  <c r="G134" i="9"/>
  <c r="G126" i="9"/>
  <c r="G118" i="9"/>
  <c r="G110" i="9"/>
  <c r="G102" i="9"/>
  <c r="G94" i="9"/>
  <c r="G86" i="9"/>
  <c r="G78" i="9"/>
  <c r="G70" i="9"/>
  <c r="G62" i="9"/>
  <c r="G54" i="9"/>
  <c r="G46" i="9"/>
  <c r="G38" i="9"/>
  <c r="G30" i="9"/>
  <c r="G22" i="9"/>
  <c r="G14" i="9"/>
  <c r="G261" i="9"/>
  <c r="G395" i="9"/>
  <c r="G388" i="9"/>
  <c r="G380" i="9"/>
  <c r="G372" i="9"/>
  <c r="G364" i="9"/>
  <c r="G356" i="9"/>
  <c r="G348" i="9"/>
  <c r="G340" i="9"/>
  <c r="G332" i="9"/>
  <c r="G324" i="9"/>
  <c r="G316" i="9"/>
  <c r="G308" i="9"/>
  <c r="G300" i="9"/>
  <c r="G292" i="9"/>
  <c r="G284" i="9"/>
  <c r="G276" i="9"/>
  <c r="G268" i="9"/>
  <c r="G260" i="9"/>
  <c r="G252" i="9"/>
  <c r="G244" i="9"/>
  <c r="G236" i="9"/>
  <c r="G228" i="9"/>
  <c r="G220" i="9"/>
  <c r="G212" i="9"/>
  <c r="G204" i="9"/>
  <c r="G196" i="9"/>
  <c r="G188" i="9"/>
  <c r="G180" i="9"/>
  <c r="G172" i="9"/>
  <c r="G164" i="9"/>
  <c r="G156" i="9"/>
  <c r="G148" i="9"/>
  <c r="G140" i="9"/>
  <c r="G132" i="9"/>
  <c r="G124" i="9"/>
  <c r="G116" i="9"/>
  <c r="G108" i="9"/>
  <c r="G100" i="9"/>
  <c r="G92" i="9"/>
  <c r="G84" i="9"/>
  <c r="G76" i="9"/>
  <c r="G68" i="9"/>
  <c r="G60" i="9"/>
  <c r="G52" i="9"/>
  <c r="G44" i="9"/>
  <c r="G36" i="9"/>
  <c r="G28" i="9"/>
  <c r="G20" i="9"/>
  <c r="G12" i="9"/>
  <c r="G396" i="9"/>
  <c r="G387" i="9"/>
  <c r="G379" i="9"/>
  <c r="G371" i="9"/>
  <c r="G363" i="9"/>
  <c r="G355" i="9"/>
  <c r="G347" i="9"/>
  <c r="G339" i="9"/>
  <c r="G331" i="9"/>
  <c r="G323" i="9"/>
  <c r="G315" i="9"/>
  <c r="G307" i="9"/>
  <c r="G299" i="9"/>
  <c r="G291" i="9"/>
  <c r="G283" i="9"/>
  <c r="G275" i="9"/>
  <c r="G267" i="9"/>
  <c r="G259" i="9"/>
  <c r="G251" i="9"/>
  <c r="G243" i="9"/>
  <c r="G235" i="9"/>
  <c r="G227" i="9"/>
  <c r="G219" i="9"/>
  <c r="G211" i="9"/>
  <c r="G203" i="9"/>
  <c r="G195" i="9"/>
  <c r="G187" i="9"/>
  <c r="G179" i="9"/>
  <c r="G171" i="9"/>
  <c r="G163" i="9"/>
  <c r="G155" i="9"/>
  <c r="G147" i="9"/>
  <c r="G139" i="9"/>
  <c r="G131" i="9"/>
  <c r="G123" i="9"/>
  <c r="G115" i="9"/>
  <c r="G91" i="9"/>
  <c r="G27" i="9"/>
  <c r="G83" i="9"/>
  <c r="G19" i="9"/>
  <c r="G11" i="9"/>
  <c r="G75" i="9"/>
  <c r="G107" i="9"/>
  <c r="G43" i="9"/>
  <c r="G67" i="9"/>
  <c r="G59" i="9"/>
  <c r="G51" i="9"/>
  <c r="G99" i="9"/>
  <c r="G35" i="9"/>
  <c r="F396" i="9"/>
  <c r="G380" i="8"/>
  <c r="G388" i="8"/>
  <c r="G396" i="8"/>
  <c r="G370" i="8"/>
  <c r="G362" i="8"/>
  <c r="G354" i="8"/>
  <c r="G346" i="8"/>
  <c r="G338" i="8"/>
  <c r="G330" i="8"/>
  <c r="G322" i="8"/>
  <c r="G314" i="8"/>
  <c r="G306" i="8"/>
  <c r="G298" i="8"/>
  <c r="G290" i="8"/>
  <c r="G282" i="8"/>
  <c r="G274" i="8"/>
  <c r="G266" i="8"/>
  <c r="G258" i="8"/>
  <c r="G250" i="8"/>
  <c r="G242" i="8"/>
  <c r="G234" i="8"/>
  <c r="G226" i="8"/>
  <c r="G218" i="8"/>
  <c r="G210" i="8"/>
  <c r="G202" i="8"/>
  <c r="G194" i="8"/>
  <c r="G186" i="8"/>
  <c r="G178" i="8"/>
  <c r="G170" i="8"/>
  <c r="G162" i="8"/>
  <c r="G154" i="8"/>
  <c r="G146" i="8"/>
  <c r="G138" i="8"/>
  <c r="G130" i="8"/>
  <c r="G122" i="8"/>
  <c r="G114" i="8"/>
  <c r="G106" i="8"/>
  <c r="G98" i="8"/>
  <c r="G90" i="8"/>
  <c r="G82" i="8"/>
  <c r="G74" i="8"/>
  <c r="G66" i="8"/>
  <c r="G58" i="8"/>
  <c r="G50" i="8"/>
  <c r="G42" i="8"/>
  <c r="G34" i="8"/>
  <c r="G26" i="8"/>
  <c r="G18" i="8"/>
  <c r="G10" i="8"/>
  <c r="G389" i="8"/>
  <c r="G377" i="8"/>
  <c r="G369" i="8"/>
  <c r="G361" i="8"/>
  <c r="G353" i="8"/>
  <c r="G345" i="8"/>
  <c r="G337" i="8"/>
  <c r="G329" i="8"/>
  <c r="G321" i="8"/>
  <c r="G313" i="8"/>
  <c r="G305" i="8"/>
  <c r="G297" i="8"/>
  <c r="G289" i="8"/>
  <c r="G281" i="8"/>
  <c r="G273" i="8"/>
  <c r="G265" i="8"/>
  <c r="G257" i="8"/>
  <c r="G249" i="8"/>
  <c r="G241" i="8"/>
  <c r="G233" i="8"/>
  <c r="G225" i="8"/>
  <c r="G217" i="8"/>
  <c r="G209" i="8"/>
  <c r="G201" i="8"/>
  <c r="G193" i="8"/>
  <c r="G185" i="8"/>
  <c r="G177" i="8"/>
  <c r="G169" i="8"/>
  <c r="G161" i="8"/>
  <c r="G153" i="8"/>
  <c r="G145" i="8"/>
  <c r="G137" i="8"/>
  <c r="G129" i="8"/>
  <c r="G121" i="8"/>
  <c r="G113" i="8"/>
  <c r="G381" i="8"/>
  <c r="G382" i="8"/>
  <c r="G383" i="8"/>
  <c r="G384" i="8"/>
  <c r="G392" i="8"/>
  <c r="G374" i="8"/>
  <c r="G366" i="8"/>
  <c r="G358" i="8"/>
  <c r="G350" i="8"/>
  <c r="G342" i="8"/>
  <c r="G334" i="8"/>
  <c r="G326" i="8"/>
  <c r="G318" i="8"/>
  <c r="G310" i="8"/>
  <c r="G302" i="8"/>
  <c r="G294" i="8"/>
  <c r="G286" i="8"/>
  <c r="G278" i="8"/>
  <c r="G270" i="8"/>
  <c r="G262" i="8"/>
  <c r="G254" i="8"/>
  <c r="G246" i="8"/>
  <c r="G238" i="8"/>
  <c r="G230" i="8"/>
  <c r="G222" i="8"/>
  <c r="G214" i="8"/>
  <c r="G206" i="8"/>
  <c r="G198" i="8"/>
  <c r="G190" i="8"/>
  <c r="G182" i="8"/>
  <c r="G174" i="8"/>
  <c r="G166" i="8"/>
  <c r="G158" i="8"/>
  <c r="G150" i="8"/>
  <c r="G142" i="8"/>
  <c r="G134" i="8"/>
  <c r="G126" i="8"/>
  <c r="G118" i="8"/>
  <c r="G110" i="8"/>
  <c r="G102" i="8"/>
  <c r="G94" i="8"/>
  <c r="G86" i="8"/>
  <c r="G78" i="8"/>
  <c r="G70" i="8"/>
  <c r="G62" i="8"/>
  <c r="G54" i="8"/>
  <c r="G46" i="8"/>
  <c r="G38" i="8"/>
  <c r="G30" i="8"/>
  <c r="G22" i="8"/>
  <c r="G14" i="8"/>
  <c r="G393" i="8"/>
  <c r="G373" i="8"/>
  <c r="G365" i="8"/>
  <c r="G357" i="8"/>
  <c r="G349" i="8"/>
  <c r="G341" i="8"/>
  <c r="G333" i="8"/>
  <c r="G325" i="8"/>
  <c r="G317" i="8"/>
  <c r="G309" i="8"/>
  <c r="G301" i="8"/>
  <c r="G293" i="8"/>
  <c r="G285" i="8"/>
  <c r="G277" i="8"/>
  <c r="G269" i="8"/>
  <c r="G261" i="8"/>
  <c r="G253" i="8"/>
  <c r="G245" i="8"/>
  <c r="G237" i="8"/>
  <c r="G229" i="8"/>
  <c r="G221" i="8"/>
  <c r="G213" i="8"/>
  <c r="G205" i="8"/>
  <c r="G197" i="8"/>
  <c r="G189" i="8"/>
  <c r="G181" i="8"/>
  <c r="G173" i="8"/>
  <c r="G165" i="8"/>
  <c r="G157" i="8"/>
  <c r="G149" i="8"/>
  <c r="G141" i="8"/>
  <c r="G133" i="8"/>
  <c r="G125" i="8"/>
  <c r="G117" i="8"/>
  <c r="G109" i="8"/>
  <c r="G101" i="8"/>
  <c r="G93" i="8"/>
  <c r="G385" i="8"/>
  <c r="G378" i="8"/>
  <c r="G386" i="8"/>
  <c r="G394" i="8"/>
  <c r="G372" i="8"/>
  <c r="G364" i="8"/>
  <c r="G356" i="8"/>
  <c r="G348" i="8"/>
  <c r="G340" i="8"/>
  <c r="G332" i="8"/>
  <c r="G324" i="8"/>
  <c r="G316" i="8"/>
  <c r="G308" i="8"/>
  <c r="G300" i="8"/>
  <c r="G292" i="8"/>
  <c r="G284" i="8"/>
  <c r="G276" i="8"/>
  <c r="G268" i="8"/>
  <c r="G260" i="8"/>
  <c r="G252" i="8"/>
  <c r="G244" i="8"/>
  <c r="G236" i="8"/>
  <c r="G228" i="8"/>
  <c r="G220" i="8"/>
  <c r="G212" i="8"/>
  <c r="G204" i="8"/>
  <c r="G196" i="8"/>
  <c r="G188" i="8"/>
  <c r="G180" i="8"/>
  <c r="G172" i="8"/>
  <c r="G164" i="8"/>
  <c r="G156" i="8"/>
  <c r="G148" i="8"/>
  <c r="G140" i="8"/>
  <c r="G132" i="8"/>
  <c r="G124" i="8"/>
  <c r="G116" i="8"/>
  <c r="G108" i="8"/>
  <c r="G100" i="8"/>
  <c r="G92" i="8"/>
  <c r="G84" i="8"/>
  <c r="G76" i="8"/>
  <c r="G68" i="8"/>
  <c r="G60" i="8"/>
  <c r="G52" i="8"/>
  <c r="G44" i="8"/>
  <c r="G36" i="8"/>
  <c r="G28" i="8"/>
  <c r="G20" i="8"/>
  <c r="G12" i="8"/>
  <c r="E396" i="8"/>
  <c r="G379" i="8"/>
  <c r="G391" i="8"/>
  <c r="G360" i="8"/>
  <c r="G339" i="8"/>
  <c r="G319" i="8"/>
  <c r="G296" i="8"/>
  <c r="G275" i="8"/>
  <c r="G255" i="8"/>
  <c r="G232" i="8"/>
  <c r="G211" i="8"/>
  <c r="G191" i="8"/>
  <c r="G168" i="8"/>
  <c r="G147" i="8"/>
  <c r="G127" i="8"/>
  <c r="G105" i="8"/>
  <c r="G89" i="8"/>
  <c r="G77" i="8"/>
  <c r="G64" i="8"/>
  <c r="G51" i="8"/>
  <c r="G39" i="8"/>
  <c r="G25" i="8"/>
  <c r="G13" i="8"/>
  <c r="G395" i="8"/>
  <c r="G359" i="8"/>
  <c r="G336" i="8"/>
  <c r="G315" i="8"/>
  <c r="G295" i="8"/>
  <c r="G272" i="8"/>
  <c r="G251" i="8"/>
  <c r="G231" i="8"/>
  <c r="G208" i="8"/>
  <c r="G187" i="8"/>
  <c r="G167" i="8"/>
  <c r="G144" i="8"/>
  <c r="G123" i="8"/>
  <c r="G104" i="8"/>
  <c r="G88" i="8"/>
  <c r="G75" i="8"/>
  <c r="G63" i="8"/>
  <c r="G49" i="8"/>
  <c r="G37" i="8"/>
  <c r="G24" i="8"/>
  <c r="G11" i="8"/>
  <c r="G376" i="8"/>
  <c r="G355" i="8"/>
  <c r="G335" i="8"/>
  <c r="G312" i="8"/>
  <c r="G291" i="8"/>
  <c r="G271" i="8"/>
  <c r="G248" i="8"/>
  <c r="G227" i="8"/>
  <c r="G207" i="8"/>
  <c r="G184" i="8"/>
  <c r="G163" i="8"/>
  <c r="G143" i="8"/>
  <c r="G120" i="8"/>
  <c r="G103" i="8"/>
  <c r="G87" i="8"/>
  <c r="G73" i="8"/>
  <c r="G61" i="8"/>
  <c r="G48" i="8"/>
  <c r="G35" i="8"/>
  <c r="G23" i="8"/>
  <c r="G9" i="8"/>
  <c r="G375" i="8"/>
  <c r="G352" i="8"/>
  <c r="G331" i="8"/>
  <c r="G311" i="8"/>
  <c r="G288" i="8"/>
  <c r="G267" i="8"/>
  <c r="G247" i="8"/>
  <c r="G224" i="8"/>
  <c r="G203" i="8"/>
  <c r="G183" i="8"/>
  <c r="G160" i="8"/>
  <c r="G139" i="8"/>
  <c r="G119" i="8"/>
  <c r="G99" i="8"/>
  <c r="G85" i="8"/>
  <c r="G72" i="8"/>
  <c r="G59" i="8"/>
  <c r="G47" i="8"/>
  <c r="G33" i="8"/>
  <c r="G21" i="8"/>
  <c r="G8" i="8"/>
  <c r="G371" i="8"/>
  <c r="G351" i="8"/>
  <c r="G328" i="8"/>
  <c r="G307" i="8"/>
  <c r="G287" i="8"/>
  <c r="G264" i="8"/>
  <c r="G243" i="8"/>
  <c r="G223" i="8"/>
  <c r="G200" i="8"/>
  <c r="G179" i="8"/>
  <c r="G159" i="8"/>
  <c r="G136" i="8"/>
  <c r="G115" i="8"/>
  <c r="G97" i="8"/>
  <c r="G83" i="8"/>
  <c r="G71" i="8"/>
  <c r="G57" i="8"/>
  <c r="G45" i="8"/>
  <c r="G32" i="8"/>
  <c r="G19" i="8"/>
  <c r="G7" i="8"/>
  <c r="G368" i="8"/>
  <c r="G347" i="8"/>
  <c r="G327" i="8"/>
  <c r="G304" i="8"/>
  <c r="G283" i="8"/>
  <c r="G263" i="8"/>
  <c r="G240" i="8"/>
  <c r="G219" i="8"/>
  <c r="G199" i="8"/>
  <c r="G176" i="8"/>
  <c r="G155" i="8"/>
  <c r="G135" i="8"/>
  <c r="G112" i="8"/>
  <c r="G96" i="8"/>
  <c r="G81" i="8"/>
  <c r="G69" i="8"/>
  <c r="G56" i="8"/>
  <c r="G43" i="8"/>
  <c r="G31" i="8"/>
  <c r="G17" i="8"/>
  <c r="G387" i="8"/>
  <c r="G367" i="8"/>
  <c r="G344" i="8"/>
  <c r="G323" i="8"/>
  <c r="G303" i="8"/>
  <c r="G280" i="8"/>
  <c r="G259" i="8"/>
  <c r="G239" i="8"/>
  <c r="G216" i="8"/>
  <c r="G195" i="8"/>
  <c r="G175" i="8"/>
  <c r="G152" i="8"/>
  <c r="G131" i="8"/>
  <c r="G111" i="8"/>
  <c r="G95" i="8"/>
  <c r="G80" i="8"/>
  <c r="G67" i="8"/>
  <c r="G55" i="8"/>
  <c r="G41" i="8"/>
  <c r="G29" i="8"/>
  <c r="G16" i="8"/>
  <c r="G390" i="8"/>
  <c r="G363" i="8"/>
  <c r="G343" i="8"/>
  <c r="G320" i="8"/>
  <c r="G299" i="8"/>
  <c r="G279" i="8"/>
  <c r="G256" i="8"/>
  <c r="G235" i="8"/>
  <c r="G215" i="8"/>
  <c r="G192" i="8"/>
  <c r="G171" i="8"/>
  <c r="G151" i="8"/>
  <c r="G128" i="8"/>
  <c r="G107" i="8"/>
  <c r="G91" i="8"/>
  <c r="G79" i="8"/>
  <c r="G65" i="8"/>
  <c r="G53" i="8"/>
  <c r="G40" i="8"/>
  <c r="G27" i="8"/>
  <c r="G15" i="8"/>
  <c r="F396" i="8"/>
  <c r="C402" i="1"/>
  <c r="E401" i="1"/>
  <c r="F401" i="1"/>
  <c r="E325" i="2"/>
  <c r="C326" i="2"/>
  <c r="F325" i="2"/>
  <c r="F331" i="19"/>
  <c r="C337" i="13"/>
  <c r="F336" i="13"/>
  <c r="E336" i="13"/>
  <c r="F337" i="5"/>
  <c r="E337" i="5"/>
  <c r="C338" i="5"/>
  <c r="C337" i="3"/>
  <c r="E336" i="3"/>
  <c r="F336" i="3"/>
  <c r="C403" i="1" l="1"/>
  <c r="E402" i="1"/>
  <c r="F402" i="1"/>
  <c r="F326" i="2"/>
  <c r="E326" i="2"/>
  <c r="C327" i="2"/>
  <c r="F332" i="19"/>
  <c r="E337" i="13"/>
  <c r="C338" i="13"/>
  <c r="F337" i="13"/>
  <c r="C339" i="5"/>
  <c r="F338" i="5"/>
  <c r="E338" i="5"/>
  <c r="F337" i="3"/>
  <c r="E337" i="3"/>
  <c r="C338" i="3"/>
  <c r="C404" i="1" l="1"/>
  <c r="E403" i="1"/>
  <c r="F403" i="1"/>
  <c r="E327" i="2"/>
  <c r="C328" i="2"/>
  <c r="F327" i="2"/>
  <c r="F333" i="19"/>
  <c r="F338" i="13"/>
  <c r="E338" i="13"/>
  <c r="C339" i="13"/>
  <c r="C340" i="5"/>
  <c r="F339" i="5"/>
  <c r="E339" i="5"/>
  <c r="C339" i="3"/>
  <c r="F338" i="3"/>
  <c r="E338" i="3"/>
  <c r="C405" i="1" l="1"/>
  <c r="E404" i="1"/>
  <c r="F404" i="1"/>
  <c r="C329" i="2"/>
  <c r="E328" i="2"/>
  <c r="F328" i="2"/>
  <c r="F334" i="19"/>
  <c r="C340" i="13"/>
  <c r="E339" i="13"/>
  <c r="F339" i="13"/>
  <c r="F340" i="5"/>
  <c r="E340" i="5"/>
  <c r="C341" i="5"/>
  <c r="C340" i="3"/>
  <c r="F339" i="3"/>
  <c r="E339" i="3"/>
  <c r="G13" i="1" l="1"/>
  <c r="G16" i="1"/>
  <c r="G23" i="1"/>
  <c r="G26" i="1"/>
  <c r="G31" i="1"/>
  <c r="G39" i="1"/>
  <c r="G43" i="1"/>
  <c r="G49" i="1"/>
  <c r="G54" i="1"/>
  <c r="G57" i="1"/>
  <c r="G62" i="1"/>
  <c r="G68" i="1"/>
  <c r="G74" i="1"/>
  <c r="G77" i="1"/>
  <c r="G82" i="1"/>
  <c r="G89" i="1"/>
  <c r="G92" i="1"/>
  <c r="G99" i="1"/>
  <c r="G104" i="1"/>
  <c r="G109" i="1"/>
  <c r="G118" i="1"/>
  <c r="G123" i="1"/>
  <c r="G127" i="1"/>
  <c r="G130" i="1"/>
  <c r="G135" i="1"/>
  <c r="G140" i="1"/>
  <c r="G143" i="1"/>
  <c r="G150" i="1"/>
  <c r="G153" i="1"/>
  <c r="G158" i="1"/>
  <c r="G166" i="1"/>
  <c r="G172" i="1"/>
  <c r="G176" i="1"/>
  <c r="G181" i="1"/>
  <c r="G184" i="1"/>
  <c r="G187" i="1"/>
  <c r="G192" i="1"/>
  <c r="G198" i="1"/>
  <c r="G202" i="1"/>
  <c r="G207" i="1"/>
  <c r="G215" i="1"/>
  <c r="G219" i="1"/>
  <c r="G228" i="1"/>
  <c r="G234" i="1"/>
  <c r="G242" i="1"/>
  <c r="G248" i="1"/>
  <c r="G251" i="1"/>
  <c r="G254" i="1"/>
  <c r="G262" i="1"/>
  <c r="G266" i="1"/>
  <c r="G271" i="1"/>
  <c r="G274" i="1"/>
  <c r="G278" i="1"/>
  <c r="G282" i="1"/>
  <c r="G287" i="1"/>
  <c r="G290" i="1"/>
  <c r="G293" i="1"/>
  <c r="G296" i="1"/>
  <c r="G300" i="1"/>
  <c r="G307" i="1"/>
  <c r="G312" i="1"/>
  <c r="G316" i="1"/>
  <c r="G329" i="1"/>
  <c r="G333" i="1"/>
  <c r="G337" i="1"/>
  <c r="G342" i="1"/>
  <c r="G346" i="1"/>
  <c r="G350" i="1"/>
  <c r="G354" i="1"/>
  <c r="G360" i="1"/>
  <c r="G369" i="1"/>
  <c r="G403" i="1"/>
  <c r="G398" i="1"/>
  <c r="G386" i="1"/>
  <c r="G374" i="1"/>
  <c r="G9" i="1"/>
  <c r="G14" i="1"/>
  <c r="G18" i="1"/>
  <c r="G28" i="1"/>
  <c r="G36" i="1"/>
  <c r="G40" i="1"/>
  <c r="G45" i="1"/>
  <c r="G51" i="1"/>
  <c r="G61" i="1"/>
  <c r="G64" i="1"/>
  <c r="G69" i="1"/>
  <c r="G78" i="1"/>
  <c r="G83" i="1"/>
  <c r="G88" i="1"/>
  <c r="G97" i="1"/>
  <c r="G102" i="1"/>
  <c r="G105" i="1"/>
  <c r="G108" i="1"/>
  <c r="G113" i="1"/>
  <c r="G116" i="1"/>
  <c r="G120" i="1"/>
  <c r="G133" i="1"/>
  <c r="G138" i="1"/>
  <c r="G146" i="1"/>
  <c r="G152" i="1"/>
  <c r="G155" i="1"/>
  <c r="G162" i="1"/>
  <c r="G165" i="1"/>
  <c r="G171" i="1"/>
  <c r="G177" i="1"/>
  <c r="G180" i="1"/>
  <c r="G185" i="1"/>
  <c r="G189" i="1"/>
  <c r="G195" i="1"/>
  <c r="G200" i="1"/>
  <c r="G206" i="1"/>
  <c r="G209" i="1"/>
  <c r="G212" i="1"/>
  <c r="G217" i="1"/>
  <c r="G220" i="1"/>
  <c r="G223" i="1"/>
  <c r="G229" i="1"/>
  <c r="G233" i="1"/>
  <c r="G236" i="1"/>
  <c r="G240" i="1"/>
  <c r="G245" i="1"/>
  <c r="G252" i="1"/>
  <c r="G257" i="1"/>
  <c r="G260" i="1"/>
  <c r="G263" i="1"/>
  <c r="G267" i="1"/>
  <c r="G270" i="1"/>
  <c r="G276" i="1"/>
  <c r="G281" i="1"/>
  <c r="G284" i="1"/>
  <c r="G292" i="1"/>
  <c r="G297" i="1"/>
  <c r="G303" i="1"/>
  <c r="G306" i="1"/>
  <c r="G309" i="1"/>
  <c r="G313" i="1"/>
  <c r="G318" i="1"/>
  <c r="G322" i="1"/>
  <c r="G325" i="1"/>
  <c r="G328" i="1"/>
  <c r="G332" i="1"/>
  <c r="G340" i="1"/>
  <c r="G344" i="1"/>
  <c r="G349" i="1"/>
  <c r="G353" i="1"/>
  <c r="G358" i="1"/>
  <c r="G364" i="1"/>
  <c r="G370" i="1"/>
  <c r="G401" i="1"/>
  <c r="G396" i="1"/>
  <c r="G393" i="1"/>
  <c r="G389" i="1"/>
  <c r="G385" i="1"/>
  <c r="G382" i="1"/>
  <c r="G379" i="1"/>
  <c r="G378" i="1"/>
  <c r="G373" i="1"/>
  <c r="G8" i="1"/>
  <c r="G11" i="1"/>
  <c r="G19" i="1"/>
  <c r="G24" i="1"/>
  <c r="G29" i="1"/>
  <c r="G35" i="1"/>
  <c r="G38" i="1"/>
  <c r="G44" i="1"/>
  <c r="G50" i="1"/>
  <c r="G55" i="1"/>
  <c r="G60" i="1"/>
  <c r="G65" i="1"/>
  <c r="G70" i="1"/>
  <c r="G75" i="1"/>
  <c r="G80" i="1"/>
  <c r="G86" i="1"/>
  <c r="G93" i="1"/>
  <c r="G96" i="1"/>
  <c r="G100" i="1"/>
  <c r="G106" i="1"/>
  <c r="G114" i="1"/>
  <c r="G122" i="1"/>
  <c r="G126" i="1"/>
  <c r="G131" i="1"/>
  <c r="G136" i="1"/>
  <c r="G141" i="1"/>
  <c r="G144" i="1"/>
  <c r="G148" i="1"/>
  <c r="G157" i="1"/>
  <c r="G161" i="1"/>
  <c r="G167" i="1"/>
  <c r="G170" i="1"/>
  <c r="G175" i="1"/>
  <c r="G186" i="1"/>
  <c r="G190" i="1"/>
  <c r="G193" i="1"/>
  <c r="G197" i="1"/>
  <c r="G201" i="1"/>
  <c r="G205" i="1"/>
  <c r="G210" i="1"/>
  <c r="G218" i="1"/>
  <c r="G224" i="1"/>
  <c r="G227" i="1"/>
  <c r="G230" i="1"/>
  <c r="G235" i="1"/>
  <c r="G239" i="1"/>
  <c r="G243" i="1"/>
  <c r="G247" i="1"/>
  <c r="G250" i="1"/>
  <c r="G253" i="1"/>
  <c r="G261" i="1"/>
  <c r="G269" i="1"/>
  <c r="G273" i="1"/>
  <c r="G277" i="1"/>
  <c r="G283" i="1"/>
  <c r="G288" i="1"/>
  <c r="G291" i="1"/>
  <c r="G295" i="1"/>
  <c r="G298" i="1"/>
  <c r="G304" i="1"/>
  <c r="G311" i="1"/>
  <c r="G315" i="1"/>
  <c r="G321" i="1"/>
  <c r="G327" i="1"/>
  <c r="G331" i="1"/>
  <c r="G335" i="1"/>
  <c r="G338" i="1"/>
  <c r="G341" i="1"/>
  <c r="G347" i="1"/>
  <c r="G357" i="1"/>
  <c r="G361" i="1"/>
  <c r="G365" i="1"/>
  <c r="G368" i="1"/>
  <c r="G405" i="1"/>
  <c r="G402" i="1"/>
  <c r="G397" i="1"/>
  <c r="G392" i="1"/>
  <c r="G388" i="1"/>
  <c r="G375" i="1"/>
  <c r="G7" i="1"/>
  <c r="G12" i="1"/>
  <c r="G17" i="1"/>
  <c r="G21" i="1"/>
  <c r="G27" i="1"/>
  <c r="G32" i="1"/>
  <c r="G37" i="1"/>
  <c r="G41" i="1"/>
  <c r="G48" i="1"/>
  <c r="G53" i="1"/>
  <c r="G56" i="1"/>
  <c r="G66" i="1"/>
  <c r="G73" i="1"/>
  <c r="G79" i="1"/>
  <c r="G84" i="1"/>
  <c r="G90" i="1"/>
  <c r="G94" i="1"/>
  <c r="G107" i="1"/>
  <c r="G112" i="1"/>
  <c r="G117" i="1"/>
  <c r="G121" i="1"/>
  <c r="G129" i="1"/>
  <c r="G134" i="1"/>
  <c r="G139" i="1"/>
  <c r="G145" i="1"/>
  <c r="G149" i="1"/>
  <c r="G156" i="1"/>
  <c r="G160" i="1"/>
  <c r="G163" i="1"/>
  <c r="G168" i="1"/>
  <c r="G174" i="1"/>
  <c r="G179" i="1"/>
  <c r="G183" i="1"/>
  <c r="G188" i="1"/>
  <c r="G191" i="1"/>
  <c r="G194" i="1"/>
  <c r="G199" i="1"/>
  <c r="G204" i="1"/>
  <c r="G211" i="1"/>
  <c r="G214" i="1"/>
  <c r="G222" i="1"/>
  <c r="G226" i="1"/>
  <c r="G231" i="1"/>
  <c r="G237" i="1"/>
  <c r="G241" i="1"/>
  <c r="G246" i="1"/>
  <c r="G255" i="1"/>
  <c r="G258" i="1"/>
  <c r="G265" i="1"/>
  <c r="G272" i="1"/>
  <c r="G275" i="1"/>
  <c r="G280" i="1"/>
  <c r="G285" i="1"/>
  <c r="G301" i="1"/>
  <c r="G305" i="1"/>
  <c r="G310" i="1"/>
  <c r="G317" i="1"/>
  <c r="G320" i="1"/>
  <c r="G324" i="1"/>
  <c r="G330" i="1"/>
  <c r="G334" i="1"/>
  <c r="G348" i="1"/>
  <c r="G352" i="1"/>
  <c r="G356" i="1"/>
  <c r="G362" i="1"/>
  <c r="G366" i="1"/>
  <c r="G371" i="1"/>
  <c r="G400" i="1"/>
  <c r="G394" i="1"/>
  <c r="G390" i="1"/>
  <c r="G387" i="1"/>
  <c r="G384" i="1"/>
  <c r="G381" i="1"/>
  <c r="G380" i="1"/>
  <c r="G377" i="1"/>
  <c r="F405" i="1"/>
  <c r="G10" i="1"/>
  <c r="G15" i="1"/>
  <c r="G22" i="1"/>
  <c r="G25" i="1"/>
  <c r="G30" i="1"/>
  <c r="G34" i="1"/>
  <c r="G42" i="1"/>
  <c r="G47" i="1"/>
  <c r="G52" i="1"/>
  <c r="G58" i="1"/>
  <c r="G63" i="1"/>
  <c r="G67" i="1"/>
  <c r="G71" i="1"/>
  <c r="G76" i="1"/>
  <c r="G81" i="1"/>
  <c r="G87" i="1"/>
  <c r="G91" i="1"/>
  <c r="G95" i="1"/>
  <c r="G101" i="1"/>
  <c r="G103" i="1"/>
  <c r="G110" i="1"/>
  <c r="G115" i="1"/>
  <c r="G119" i="1"/>
  <c r="G125" i="1"/>
  <c r="G128" i="1"/>
  <c r="G132" i="1"/>
  <c r="G137" i="1"/>
  <c r="G142" i="1"/>
  <c r="G147" i="1"/>
  <c r="G151" i="1"/>
  <c r="G154" i="1"/>
  <c r="G159" i="1"/>
  <c r="G164" i="1"/>
  <c r="G169" i="1"/>
  <c r="G173" i="1"/>
  <c r="G178" i="1"/>
  <c r="G182" i="1"/>
  <c r="G196" i="1"/>
  <c r="G203" i="1"/>
  <c r="G208" i="1"/>
  <c r="G213" i="1"/>
  <c r="G216" i="1"/>
  <c r="G221" i="1"/>
  <c r="G225" i="1"/>
  <c r="G232" i="1"/>
  <c r="G238" i="1"/>
  <c r="G244" i="1"/>
  <c r="G249" i="1"/>
  <c r="G256" i="1"/>
  <c r="G259" i="1"/>
  <c r="G264" i="1"/>
  <c r="G268" i="1"/>
  <c r="G279" i="1"/>
  <c r="G286" i="1"/>
  <c r="G289" i="1"/>
  <c r="G294" i="1"/>
  <c r="G299" i="1"/>
  <c r="G302" i="1"/>
  <c r="G308" i="1"/>
  <c r="G314" i="1"/>
  <c r="G319" i="1"/>
  <c r="G323" i="1"/>
  <c r="G326" i="1"/>
  <c r="G336" i="1"/>
  <c r="G339" i="1"/>
  <c r="G343" i="1"/>
  <c r="G345" i="1"/>
  <c r="G351" i="1"/>
  <c r="G355" i="1"/>
  <c r="G359" i="1"/>
  <c r="G363" i="1"/>
  <c r="G367" i="1"/>
  <c r="G372" i="1"/>
  <c r="G404" i="1"/>
  <c r="G399" i="1"/>
  <c r="G395" i="1"/>
  <c r="G391" i="1"/>
  <c r="G383" i="1"/>
  <c r="G376" i="1"/>
  <c r="E405" i="1"/>
  <c r="E329" i="2"/>
  <c r="C330" i="2"/>
  <c r="F329" i="2"/>
  <c r="F335" i="19"/>
  <c r="F340" i="13"/>
  <c r="E340" i="13"/>
  <c r="C341" i="13"/>
  <c r="C342" i="5"/>
  <c r="F341" i="5"/>
  <c r="E341" i="5"/>
  <c r="F340" i="3"/>
  <c r="E340" i="3"/>
  <c r="C341" i="3"/>
  <c r="F330" i="2" l="1"/>
  <c r="C331" i="2"/>
  <c r="E330" i="2"/>
  <c r="F336" i="19"/>
  <c r="C342" i="13"/>
  <c r="F341" i="13"/>
  <c r="E341" i="13"/>
  <c r="E342" i="5"/>
  <c r="C343" i="5"/>
  <c r="F342" i="5"/>
  <c r="C342" i="3"/>
  <c r="F341" i="3"/>
  <c r="E341" i="3"/>
  <c r="E331" i="2" l="1"/>
  <c r="F331" i="2"/>
  <c r="C332" i="2"/>
  <c r="F337" i="19"/>
  <c r="C343" i="13"/>
  <c r="F342" i="13"/>
  <c r="E342" i="13"/>
  <c r="F343" i="5"/>
  <c r="E343" i="5"/>
  <c r="C344" i="5"/>
  <c r="E342" i="3"/>
  <c r="C343" i="3"/>
  <c r="F342" i="3"/>
  <c r="F332" i="2" l="1"/>
  <c r="E332" i="2"/>
  <c r="C333" i="2"/>
  <c r="F338" i="19"/>
  <c r="F343" i="13"/>
  <c r="E343" i="13"/>
  <c r="C344" i="13"/>
  <c r="C345" i="5"/>
  <c r="E344" i="5"/>
  <c r="F344" i="5"/>
  <c r="F343" i="3"/>
  <c r="E343" i="3"/>
  <c r="C344" i="3"/>
  <c r="E333" i="2" l="1"/>
  <c r="F333" i="2"/>
  <c r="C334" i="2"/>
  <c r="F339" i="19"/>
  <c r="C345" i="13"/>
  <c r="F344" i="13"/>
  <c r="E344" i="13"/>
  <c r="F345" i="5"/>
  <c r="E345" i="5"/>
  <c r="C346" i="5"/>
  <c r="C345" i="3"/>
  <c r="F344" i="3"/>
  <c r="E344" i="3"/>
  <c r="F334" i="2" l="1"/>
  <c r="E334" i="2"/>
  <c r="C335" i="2"/>
  <c r="F340" i="19"/>
  <c r="E345" i="13"/>
  <c r="C346" i="13"/>
  <c r="F345" i="13"/>
  <c r="C347" i="5"/>
  <c r="F346" i="5"/>
  <c r="E346" i="5"/>
  <c r="F345" i="3"/>
  <c r="E345" i="3"/>
  <c r="C346" i="3"/>
  <c r="C336" i="2" l="1"/>
  <c r="F335" i="2"/>
  <c r="E335" i="2"/>
  <c r="F341" i="19"/>
  <c r="F346" i="13"/>
  <c r="E346" i="13"/>
  <c r="C347" i="13"/>
  <c r="C348" i="5"/>
  <c r="F347" i="5"/>
  <c r="E347" i="5"/>
  <c r="C347" i="3"/>
  <c r="F346" i="3"/>
  <c r="E346" i="3"/>
  <c r="F336" i="2" l="1"/>
  <c r="E336" i="2"/>
  <c r="C337" i="2"/>
  <c r="F342" i="19"/>
  <c r="C348" i="13"/>
  <c r="E347" i="13"/>
  <c r="F347" i="13"/>
  <c r="F348" i="5"/>
  <c r="E348" i="5"/>
  <c r="C349" i="5"/>
  <c r="C348" i="3"/>
  <c r="E347" i="3"/>
  <c r="F347" i="3"/>
  <c r="E337" i="2" l="1"/>
  <c r="F337" i="2"/>
  <c r="C338" i="2"/>
  <c r="F343" i="19"/>
  <c r="F348" i="13"/>
  <c r="E348" i="13"/>
  <c r="C349" i="13"/>
  <c r="C350" i="5"/>
  <c r="E349" i="5"/>
  <c r="F349" i="5"/>
  <c r="F348" i="3"/>
  <c r="E348" i="3"/>
  <c r="C349" i="3"/>
  <c r="C339" i="2" l="1"/>
  <c r="E338" i="2"/>
  <c r="F338" i="2"/>
  <c r="F344" i="19"/>
  <c r="C350" i="13"/>
  <c r="F349" i="13"/>
  <c r="E349" i="13"/>
  <c r="E350" i="5"/>
  <c r="C351" i="5"/>
  <c r="F350" i="5"/>
  <c r="C350" i="3"/>
  <c r="F349" i="3"/>
  <c r="E349" i="3"/>
  <c r="E339" i="2" l="1"/>
  <c r="C340" i="2"/>
  <c r="F339" i="2"/>
  <c r="F345" i="19"/>
  <c r="C351" i="13"/>
  <c r="F350" i="13"/>
  <c r="E350" i="13"/>
  <c r="F351" i="5"/>
  <c r="E351" i="5"/>
  <c r="C352" i="5"/>
  <c r="E350" i="3"/>
  <c r="C351" i="3"/>
  <c r="F350" i="3"/>
  <c r="C341" i="2" l="1"/>
  <c r="E340" i="2"/>
  <c r="F340" i="2"/>
  <c r="F346" i="19"/>
  <c r="F351" i="13"/>
  <c r="E351" i="13"/>
  <c r="C352" i="13"/>
  <c r="C353" i="5"/>
  <c r="E352" i="5"/>
  <c r="F352" i="5"/>
  <c r="F351" i="3"/>
  <c r="E351" i="3"/>
  <c r="C352" i="3"/>
  <c r="E341" i="2" l="1"/>
  <c r="F341" i="2"/>
  <c r="C342" i="2"/>
  <c r="F347" i="19"/>
  <c r="C353" i="13"/>
  <c r="F352" i="13"/>
  <c r="E352" i="13"/>
  <c r="F353" i="5"/>
  <c r="E353" i="5"/>
  <c r="C354" i="5"/>
  <c r="C353" i="3"/>
  <c r="E352" i="3"/>
  <c r="F352" i="3"/>
  <c r="F342" i="2" l="1"/>
  <c r="E342" i="2"/>
  <c r="C343" i="2"/>
  <c r="F348" i="19"/>
  <c r="E353" i="13"/>
  <c r="C354" i="13"/>
  <c r="F353" i="13"/>
  <c r="C355" i="5"/>
  <c r="F354" i="5"/>
  <c r="E354" i="5"/>
  <c r="F353" i="3"/>
  <c r="E353" i="3"/>
  <c r="C354" i="3"/>
  <c r="E343" i="2" l="1"/>
  <c r="C344" i="2"/>
  <c r="F343" i="2"/>
  <c r="F349" i="19"/>
  <c r="F354" i="13"/>
  <c r="E354" i="13"/>
  <c r="C355" i="13"/>
  <c r="C356" i="5"/>
  <c r="F355" i="5"/>
  <c r="E355" i="5"/>
  <c r="C355" i="3"/>
  <c r="F354" i="3"/>
  <c r="E354" i="3"/>
  <c r="C345" i="2" l="1"/>
  <c r="E344" i="2"/>
  <c r="F344" i="2"/>
  <c r="F350" i="19"/>
  <c r="C356" i="13"/>
  <c r="E355" i="13"/>
  <c r="F355" i="13"/>
  <c r="F356" i="5"/>
  <c r="E356" i="5"/>
  <c r="C357" i="5"/>
  <c r="C356" i="3"/>
  <c r="F355" i="3"/>
  <c r="E355" i="3"/>
  <c r="E345" i="2" l="1"/>
  <c r="C346" i="2"/>
  <c r="F345" i="2"/>
  <c r="F351" i="19"/>
  <c r="F356" i="13"/>
  <c r="E356" i="13"/>
  <c r="C357" i="13"/>
  <c r="C358" i="5"/>
  <c r="F357" i="5"/>
  <c r="E357" i="5"/>
  <c r="F356" i="3"/>
  <c r="E356" i="3"/>
  <c r="C357" i="3"/>
  <c r="E346" i="2" l="1"/>
  <c r="F346" i="2"/>
  <c r="C347" i="2"/>
  <c r="F352" i="19"/>
  <c r="C358" i="13"/>
  <c r="F357" i="13"/>
  <c r="E357" i="13"/>
  <c r="E358" i="5"/>
  <c r="C359" i="5"/>
  <c r="F358" i="5"/>
  <c r="C358" i="3"/>
  <c r="F357" i="3"/>
  <c r="E357" i="3"/>
  <c r="C348" i="2" l="1"/>
  <c r="E347" i="2"/>
  <c r="F347" i="2"/>
  <c r="F353" i="19"/>
  <c r="C359" i="13"/>
  <c r="F358" i="13"/>
  <c r="E358" i="13"/>
  <c r="F359" i="5"/>
  <c r="E359" i="5"/>
  <c r="C360" i="5"/>
  <c r="E358" i="3"/>
  <c r="C359" i="3"/>
  <c r="F358" i="3"/>
  <c r="E348" i="2" l="1"/>
  <c r="C349" i="2"/>
  <c r="F348" i="2"/>
  <c r="F354" i="19"/>
  <c r="F359" i="13"/>
  <c r="E359" i="13"/>
  <c r="C360" i="13"/>
  <c r="C361" i="5"/>
  <c r="E360" i="5"/>
  <c r="F360" i="5"/>
  <c r="F359" i="3"/>
  <c r="E359" i="3"/>
  <c r="C360" i="3"/>
  <c r="E349" i="2" l="1"/>
  <c r="C350" i="2"/>
  <c r="F349" i="2"/>
  <c r="F355" i="19"/>
  <c r="C361" i="13"/>
  <c r="F360" i="13"/>
  <c r="E360" i="13"/>
  <c r="F361" i="5"/>
  <c r="E361" i="5"/>
  <c r="C362" i="5"/>
  <c r="C361" i="3"/>
  <c r="F360" i="3"/>
  <c r="E360" i="3"/>
  <c r="F350" i="2" l="1"/>
  <c r="E350" i="2"/>
  <c r="C351" i="2"/>
  <c r="F356" i="19"/>
  <c r="E361" i="13"/>
  <c r="C362" i="13"/>
  <c r="F361" i="13"/>
  <c r="C363" i="5"/>
  <c r="F362" i="5"/>
  <c r="E362" i="5"/>
  <c r="F361" i="3"/>
  <c r="E361" i="3"/>
  <c r="C362" i="3"/>
  <c r="C352" i="2" l="1"/>
  <c r="F351" i="2"/>
  <c r="E351" i="2"/>
  <c r="F357" i="19"/>
  <c r="F362" i="13"/>
  <c r="E362" i="13"/>
  <c r="C363" i="13"/>
  <c r="C364" i="5"/>
  <c r="F363" i="5"/>
  <c r="E363" i="5"/>
  <c r="C363" i="3"/>
  <c r="F362" i="3"/>
  <c r="E362" i="3"/>
  <c r="E352" i="2" l="1"/>
  <c r="C353" i="2"/>
  <c r="F352" i="2"/>
  <c r="F358" i="19"/>
  <c r="C364" i="13"/>
  <c r="E363" i="13"/>
  <c r="F363" i="13"/>
  <c r="F364" i="5"/>
  <c r="E364" i="5"/>
  <c r="C365" i="5"/>
  <c r="C364" i="3"/>
  <c r="E363" i="3"/>
  <c r="F363" i="3"/>
  <c r="C354" i="2" l="1"/>
  <c r="F353" i="2"/>
  <c r="E353" i="2"/>
  <c r="F359" i="19"/>
  <c r="F364" i="13"/>
  <c r="E364" i="13"/>
  <c r="C365" i="13"/>
  <c r="C366" i="5"/>
  <c r="E365" i="5"/>
  <c r="F365" i="5"/>
  <c r="F364" i="3"/>
  <c r="E364" i="3"/>
  <c r="C365" i="3"/>
  <c r="E354" i="2" l="1"/>
  <c r="C355" i="2"/>
  <c r="F354" i="2"/>
  <c r="F360" i="19"/>
  <c r="C366" i="13"/>
  <c r="F365" i="13"/>
  <c r="E365" i="13"/>
  <c r="E366" i="5"/>
  <c r="C367" i="5"/>
  <c r="F366" i="5"/>
  <c r="C366" i="3"/>
  <c r="F365" i="3"/>
  <c r="E365" i="3"/>
  <c r="E355" i="2" l="1"/>
  <c r="C356" i="2"/>
  <c r="F355" i="2"/>
  <c r="F361" i="19"/>
  <c r="C367" i="13"/>
  <c r="F366" i="13"/>
  <c r="E366" i="13"/>
  <c r="F367" i="5"/>
  <c r="E367" i="5"/>
  <c r="C368" i="5"/>
  <c r="E366" i="3"/>
  <c r="C367" i="3"/>
  <c r="F366" i="3"/>
  <c r="C357" i="2" l="1"/>
  <c r="E356" i="2"/>
  <c r="F356" i="2"/>
  <c r="F362" i="19"/>
  <c r="F367" i="13"/>
  <c r="E367" i="13"/>
  <c r="C368" i="13"/>
  <c r="C369" i="5"/>
  <c r="E368" i="5"/>
  <c r="F368" i="5"/>
  <c r="F367" i="3"/>
  <c r="E367" i="3"/>
  <c r="C368" i="3"/>
  <c r="E357" i="2" l="1"/>
  <c r="F357" i="2"/>
  <c r="C358" i="2"/>
  <c r="F363" i="19"/>
  <c r="C369" i="13"/>
  <c r="F368" i="13"/>
  <c r="E368" i="13"/>
  <c r="F369" i="5"/>
  <c r="E369" i="5"/>
  <c r="C370" i="5"/>
  <c r="C369" i="3"/>
  <c r="E368" i="3"/>
  <c r="F368" i="3"/>
  <c r="F358" i="2" l="1"/>
  <c r="C359" i="2"/>
  <c r="E358" i="2"/>
  <c r="F364" i="19"/>
  <c r="E369" i="13"/>
  <c r="C370" i="13"/>
  <c r="F369" i="13"/>
  <c r="C371" i="5"/>
  <c r="F370" i="5"/>
  <c r="E370" i="5"/>
  <c r="F369" i="3"/>
  <c r="E369" i="3"/>
  <c r="C370" i="3"/>
  <c r="C360" i="2" l="1"/>
  <c r="F359" i="2"/>
  <c r="E359" i="2"/>
  <c r="F365" i="19"/>
  <c r="F370" i="13"/>
  <c r="E370" i="13"/>
  <c r="C371" i="13"/>
  <c r="C372" i="5"/>
  <c r="F371" i="5"/>
  <c r="E371" i="5"/>
  <c r="C371" i="3"/>
  <c r="F370" i="3"/>
  <c r="E370" i="3"/>
  <c r="F360" i="2" l="1"/>
  <c r="C361" i="2"/>
  <c r="E360" i="2"/>
  <c r="F366" i="19"/>
  <c r="C372" i="13"/>
  <c r="E371" i="13"/>
  <c r="F371" i="13"/>
  <c r="F372" i="5"/>
  <c r="E372" i="5"/>
  <c r="C373" i="5"/>
  <c r="C372" i="3"/>
  <c r="F371" i="3"/>
  <c r="E371" i="3"/>
  <c r="C362" i="2" l="1"/>
  <c r="E361" i="2"/>
  <c r="F361" i="2"/>
  <c r="F367" i="19"/>
  <c r="F372" i="13"/>
  <c r="E372" i="13"/>
  <c r="C373" i="13"/>
  <c r="C374" i="5"/>
  <c r="F373" i="5"/>
  <c r="E373" i="5"/>
  <c r="F372" i="3"/>
  <c r="E372" i="3"/>
  <c r="C373" i="3"/>
  <c r="E362" i="2" l="1"/>
  <c r="C363" i="2"/>
  <c r="F362" i="2"/>
  <c r="F368" i="19"/>
  <c r="C374" i="13"/>
  <c r="F373" i="13"/>
  <c r="E373" i="13"/>
  <c r="E374" i="5"/>
  <c r="C375" i="5"/>
  <c r="F374" i="5"/>
  <c r="C374" i="3"/>
  <c r="F373" i="3"/>
  <c r="E373" i="3"/>
  <c r="F363" i="2" l="1"/>
  <c r="E363" i="2"/>
  <c r="C364" i="2"/>
  <c r="C375" i="13"/>
  <c r="F374" i="13"/>
  <c r="E374" i="13"/>
  <c r="F375" i="5"/>
  <c r="E375" i="5"/>
  <c r="C376" i="5"/>
  <c r="E374" i="3"/>
  <c r="C375" i="3"/>
  <c r="F374" i="3"/>
  <c r="E364" i="2" l="1"/>
  <c r="C365" i="2"/>
  <c r="F364" i="2"/>
  <c r="F375" i="13"/>
  <c r="E375" i="13"/>
  <c r="C376" i="13"/>
  <c r="C377" i="5"/>
  <c r="E376" i="5"/>
  <c r="F376" i="5"/>
  <c r="F375" i="3"/>
  <c r="E375" i="3"/>
  <c r="C376" i="3"/>
  <c r="F365" i="2" l="1"/>
  <c r="E365" i="2"/>
  <c r="C366" i="2"/>
  <c r="C377" i="13"/>
  <c r="F376" i="13"/>
  <c r="E376" i="13"/>
  <c r="F377" i="5"/>
  <c r="E377" i="5"/>
  <c r="C378" i="5"/>
  <c r="C377" i="3"/>
  <c r="F376" i="3"/>
  <c r="E376" i="3"/>
  <c r="C367" i="2" l="1"/>
  <c r="E366" i="2"/>
  <c r="F366" i="2"/>
  <c r="E377" i="13"/>
  <c r="C378" i="13"/>
  <c r="F377" i="13"/>
  <c r="C379" i="5"/>
  <c r="F378" i="5"/>
  <c r="E378" i="5"/>
  <c r="F377" i="3"/>
  <c r="E377" i="3"/>
  <c r="C378" i="3"/>
  <c r="C368" i="2" l="1"/>
  <c r="F367" i="2"/>
  <c r="E367" i="2"/>
  <c r="F378" i="13"/>
  <c r="E378" i="13"/>
  <c r="C379" i="13"/>
  <c r="C380" i="5"/>
  <c r="F379" i="5"/>
  <c r="E379" i="5"/>
  <c r="C379" i="3"/>
  <c r="F378" i="3"/>
  <c r="E378" i="3"/>
  <c r="E368" i="2" l="1"/>
  <c r="C369" i="2"/>
  <c r="F368" i="2"/>
  <c r="C381" i="5"/>
  <c r="C382" i="5" s="1"/>
  <c r="C383" i="5" s="1"/>
  <c r="C380" i="13"/>
  <c r="E379" i="13"/>
  <c r="F379" i="13"/>
  <c r="F380" i="5"/>
  <c r="E380" i="5"/>
  <c r="C380" i="3"/>
  <c r="E379" i="3"/>
  <c r="F379" i="3"/>
  <c r="C370" i="2" l="1"/>
  <c r="F369" i="2"/>
  <c r="E369" i="2"/>
  <c r="C384" i="5"/>
  <c r="E383" i="5"/>
  <c r="F383" i="5"/>
  <c r="F382" i="5"/>
  <c r="E382" i="5"/>
  <c r="E381" i="5"/>
  <c r="F381" i="5"/>
  <c r="C381" i="3"/>
  <c r="C382" i="3" s="1"/>
  <c r="C383" i="3" s="1"/>
  <c r="F380" i="13"/>
  <c r="E380" i="13"/>
  <c r="C381" i="13"/>
  <c r="F380" i="3"/>
  <c r="E380" i="3"/>
  <c r="C371" i="2" l="1"/>
  <c r="F370" i="2"/>
  <c r="E370" i="2"/>
  <c r="C385" i="5"/>
  <c r="E384" i="5"/>
  <c r="F384" i="5"/>
  <c r="C384" i="3"/>
  <c r="E383" i="3"/>
  <c r="F383" i="3"/>
  <c r="E382" i="3"/>
  <c r="F382" i="3"/>
  <c r="E381" i="3"/>
  <c r="F381" i="3"/>
  <c r="C382" i="13"/>
  <c r="F381" i="13"/>
  <c r="E381" i="13"/>
  <c r="E371" i="2" l="1"/>
  <c r="C372" i="2"/>
  <c r="F371" i="2"/>
  <c r="C386" i="5"/>
  <c r="C387" i="5" s="1"/>
  <c r="C388" i="5" s="1"/>
  <c r="C389" i="5" s="1"/>
  <c r="E385" i="5"/>
  <c r="F385" i="5"/>
  <c r="C385" i="3"/>
  <c r="E384" i="3"/>
  <c r="F384" i="3"/>
  <c r="C383" i="13"/>
  <c r="F382" i="13"/>
  <c r="E382" i="13"/>
  <c r="F389" i="5" l="1"/>
  <c r="E389" i="5"/>
  <c r="C390" i="5"/>
  <c r="E388" i="5"/>
  <c r="F388" i="5"/>
  <c r="E387" i="5"/>
  <c r="F387" i="5"/>
  <c r="C373" i="2"/>
  <c r="F372" i="2"/>
  <c r="E372" i="2"/>
  <c r="E386" i="5"/>
  <c r="F386" i="5"/>
  <c r="C386" i="3"/>
  <c r="C387" i="3" s="1"/>
  <c r="C388" i="3" s="1"/>
  <c r="E385" i="3"/>
  <c r="F385" i="3"/>
  <c r="E371" i="19"/>
  <c r="E372" i="19" s="1"/>
  <c r="E373" i="19" s="1"/>
  <c r="E374" i="19" s="1"/>
  <c r="E375" i="19" s="1"/>
  <c r="F383" i="13"/>
  <c r="E383" i="13"/>
  <c r="C384" i="13"/>
  <c r="C391" i="5" l="1"/>
  <c r="E390" i="5"/>
  <c r="F390" i="5"/>
  <c r="C389" i="3"/>
  <c r="E388" i="3"/>
  <c r="F388" i="3"/>
  <c r="E376" i="19"/>
  <c r="E377" i="19" s="1"/>
  <c r="E387" i="3"/>
  <c r="F387" i="3"/>
  <c r="C374" i="2"/>
  <c r="C375" i="2" s="1"/>
  <c r="F373" i="2"/>
  <c r="E373" i="2"/>
  <c r="F375" i="19"/>
  <c r="F374" i="19"/>
  <c r="E386" i="3"/>
  <c r="F386" i="3"/>
  <c r="F373" i="19"/>
  <c r="F372" i="19"/>
  <c r="F371" i="19"/>
  <c r="C385" i="13"/>
  <c r="F384" i="13"/>
  <c r="E384" i="13"/>
  <c r="C392" i="5" l="1"/>
  <c r="F391" i="5"/>
  <c r="E391" i="5"/>
  <c r="F377" i="19"/>
  <c r="E378" i="19"/>
  <c r="E379" i="19" s="1"/>
  <c r="E380" i="19" s="1"/>
  <c r="E381" i="19" s="1"/>
  <c r="E382" i="19" s="1"/>
  <c r="E389" i="3"/>
  <c r="C390" i="3"/>
  <c r="F389" i="3"/>
  <c r="F376" i="19"/>
  <c r="C376" i="2"/>
  <c r="F375" i="2"/>
  <c r="E375" i="2"/>
  <c r="F374" i="2"/>
  <c r="E374" i="2"/>
  <c r="E385" i="13"/>
  <c r="C386" i="13"/>
  <c r="F385" i="13"/>
  <c r="E383" i="19" l="1"/>
  <c r="E384" i="19" s="1"/>
  <c r="F382" i="19"/>
  <c r="F381" i="19"/>
  <c r="C393" i="5"/>
  <c r="E393" i="5" s="1"/>
  <c r="F380" i="19"/>
  <c r="F392" i="5"/>
  <c r="E392" i="5"/>
  <c r="F379" i="19"/>
  <c r="C391" i="3"/>
  <c r="F378" i="19"/>
  <c r="F390" i="3"/>
  <c r="E390" i="3"/>
  <c r="C377" i="2"/>
  <c r="F376" i="2"/>
  <c r="E376" i="2"/>
  <c r="F386" i="13"/>
  <c r="E386" i="13"/>
  <c r="C387" i="13"/>
  <c r="F384" i="19" l="1"/>
  <c r="F383" i="19"/>
  <c r="C394" i="5"/>
  <c r="F393" i="5"/>
  <c r="C392" i="3"/>
  <c r="E391" i="3"/>
  <c r="F391" i="3"/>
  <c r="C378" i="2"/>
  <c r="F377" i="2"/>
  <c r="E377" i="2"/>
  <c r="C388" i="13"/>
  <c r="E387" i="13"/>
  <c r="F387" i="13"/>
  <c r="C395" i="5" l="1"/>
  <c r="E394" i="5"/>
  <c r="F395" i="5"/>
  <c r="F394" i="5"/>
  <c r="C393" i="3"/>
  <c r="F392" i="3"/>
  <c r="C379" i="2"/>
  <c r="F378" i="2"/>
  <c r="E378" i="2"/>
  <c r="F388" i="13"/>
  <c r="E388" i="13"/>
  <c r="C389" i="13"/>
  <c r="E395" i="5" l="1"/>
  <c r="C394" i="3"/>
  <c r="E393" i="3"/>
  <c r="F393" i="3"/>
  <c r="C380" i="2"/>
  <c r="F379" i="2"/>
  <c r="E379" i="2"/>
  <c r="C390" i="13"/>
  <c r="F389" i="13"/>
  <c r="E389" i="13"/>
  <c r="E394" i="3" l="1"/>
  <c r="C395" i="3"/>
  <c r="F394" i="3"/>
  <c r="C381" i="2"/>
  <c r="E380" i="2"/>
  <c r="F380" i="2"/>
  <c r="C391" i="13"/>
  <c r="C392" i="13" s="1"/>
  <c r="C393" i="13" s="1"/>
  <c r="C394" i="13" s="1"/>
  <c r="C395" i="13" s="1"/>
  <c r="C396" i="13" s="1"/>
  <c r="C397" i="13" s="1"/>
  <c r="C398" i="13" s="1"/>
  <c r="F390" i="13"/>
  <c r="E390" i="13"/>
  <c r="C396" i="3" l="1"/>
  <c r="F395" i="3"/>
  <c r="E395" i="3"/>
  <c r="C399" i="13"/>
  <c r="C400" i="13" s="1"/>
  <c r="C382" i="2"/>
  <c r="E381" i="2"/>
  <c r="F381" i="2"/>
  <c r="E398" i="13"/>
  <c r="F398" i="13"/>
  <c r="E397" i="13"/>
  <c r="F397" i="13"/>
  <c r="E396" i="13"/>
  <c r="F396" i="13"/>
  <c r="E395" i="13"/>
  <c r="F395" i="13"/>
  <c r="E394" i="13"/>
  <c r="F394" i="13"/>
  <c r="F393" i="13"/>
  <c r="E393" i="13"/>
  <c r="E392" i="13"/>
  <c r="F392" i="13"/>
  <c r="F391" i="13"/>
  <c r="E391" i="13"/>
  <c r="G12" i="3" l="1"/>
  <c r="G17" i="3"/>
  <c r="G22" i="3"/>
  <c r="G28" i="3"/>
  <c r="G34" i="3"/>
  <c r="G38" i="3"/>
  <c r="G42" i="3"/>
  <c r="G52" i="3"/>
  <c r="G57" i="3"/>
  <c r="G62" i="3"/>
  <c r="G69" i="3"/>
  <c r="G76" i="3"/>
  <c r="G80" i="3"/>
  <c r="G86" i="3"/>
  <c r="G90" i="3"/>
  <c r="G100" i="3"/>
  <c r="G103" i="3"/>
  <c r="G106" i="3"/>
  <c r="G109" i="3"/>
  <c r="G117" i="3"/>
  <c r="G129" i="3"/>
  <c r="G139" i="3"/>
  <c r="G145" i="3"/>
  <c r="G151" i="3"/>
  <c r="G163" i="3"/>
  <c r="G167" i="3"/>
  <c r="G188" i="3"/>
  <c r="E396" i="3"/>
  <c r="G16" i="3"/>
  <c r="G23" i="3"/>
  <c r="G39" i="3"/>
  <c r="G47" i="3"/>
  <c r="G55" i="3"/>
  <c r="G66" i="3"/>
  <c r="G75" i="3"/>
  <c r="G79" i="3"/>
  <c r="G83" i="3"/>
  <c r="G93" i="3"/>
  <c r="G108" i="3"/>
  <c r="G122" i="3"/>
  <c r="G127" i="3"/>
  <c r="G133" i="3"/>
  <c r="G142" i="3"/>
  <c r="G150" i="3"/>
  <c r="G155" i="3"/>
  <c r="G164" i="3"/>
  <c r="G172" i="3"/>
  <c r="G180" i="3"/>
  <c r="G185" i="3"/>
  <c r="G208" i="3"/>
  <c r="G14" i="3"/>
  <c r="G26" i="3"/>
  <c r="G31" i="3"/>
  <c r="G35" i="3"/>
  <c r="G41" i="3"/>
  <c r="G51" i="3"/>
  <c r="G60" i="3"/>
  <c r="G73" i="3"/>
  <c r="G85" i="3"/>
  <c r="G95" i="3"/>
  <c r="G104" i="3"/>
  <c r="G112" i="3"/>
  <c r="G115" i="3"/>
  <c r="G119" i="3"/>
  <c r="G124" i="3"/>
  <c r="G131" i="3"/>
  <c r="G136" i="3"/>
  <c r="G144" i="3"/>
  <c r="G153" i="3"/>
  <c r="G158" i="3"/>
  <c r="G169" i="3"/>
  <c r="G187" i="3"/>
  <c r="G9" i="3"/>
  <c r="G18" i="3"/>
  <c r="G25" i="3"/>
  <c r="G30" i="3"/>
  <c r="G36" i="3"/>
  <c r="G44" i="3"/>
  <c r="G48" i="3"/>
  <c r="G54" i="3"/>
  <c r="G58" i="3"/>
  <c r="G61" i="3"/>
  <c r="G68" i="3"/>
  <c r="G70" i="3"/>
  <c r="G81" i="3"/>
  <c r="G84" i="3"/>
  <c r="G89" i="3"/>
  <c r="G92" i="3"/>
  <c r="G98" i="3"/>
  <c r="G105" i="3"/>
  <c r="G110" i="3"/>
  <c r="G116" i="3"/>
  <c r="G120" i="3"/>
  <c r="G123" i="3"/>
  <c r="G126" i="3"/>
  <c r="G132" i="3"/>
  <c r="G135" i="3"/>
  <c r="G138" i="3"/>
  <c r="G143" i="3"/>
  <c r="G148" i="3"/>
  <c r="G156" i="3"/>
  <c r="G171" i="3"/>
  <c r="G176" i="3"/>
  <c r="G179" i="3"/>
  <c r="G183" i="3"/>
  <c r="G190" i="3"/>
  <c r="G193" i="3"/>
  <c r="G197" i="3"/>
  <c r="G200" i="3"/>
  <c r="G203" i="3"/>
  <c r="G207" i="3"/>
  <c r="G210" i="3"/>
  <c r="G213" i="3"/>
  <c r="G217" i="3"/>
  <c r="G220" i="3"/>
  <c r="G225" i="3"/>
  <c r="G229" i="3"/>
  <c r="G234" i="3"/>
  <c r="G238" i="3"/>
  <c r="G242" i="3"/>
  <c r="G246" i="3"/>
  <c r="G252" i="3"/>
  <c r="G255" i="3"/>
  <c r="G258" i="3"/>
  <c r="G260" i="3"/>
  <c r="G262" i="3"/>
  <c r="G265" i="3"/>
  <c r="G268" i="3"/>
  <c r="G270" i="3"/>
  <c r="G272" i="3"/>
  <c r="G276" i="3"/>
  <c r="G278" i="3"/>
  <c r="G281" i="3"/>
  <c r="G285" i="3"/>
  <c r="G288" i="3"/>
  <c r="G291" i="3"/>
  <c r="G296" i="3"/>
  <c r="G335" i="3"/>
  <c r="G7" i="3"/>
  <c r="G10" i="3"/>
  <c r="G13" i="3"/>
  <c r="G21" i="3"/>
  <c r="G24" i="3"/>
  <c r="G29" i="3"/>
  <c r="G37" i="3"/>
  <c r="G40" i="3"/>
  <c r="G43" i="3"/>
  <c r="G50" i="3"/>
  <c r="G56" i="3"/>
  <c r="G59" i="3"/>
  <c r="G63" i="3"/>
  <c r="G71" i="3"/>
  <c r="G77" i="3"/>
  <c r="G82" i="3"/>
  <c r="G88" i="3"/>
  <c r="G91" i="3"/>
  <c r="G96" i="3"/>
  <c r="G99" i="3"/>
  <c r="G102" i="3"/>
  <c r="G114" i="3"/>
  <c r="G121" i="3"/>
  <c r="G137" i="3"/>
  <c r="G140" i="3"/>
  <c r="G147" i="3"/>
  <c r="G152" i="3"/>
  <c r="G154" i="3"/>
  <c r="G157" i="3"/>
  <c r="G161" i="3"/>
  <c r="G165" i="3"/>
  <c r="G168" i="3"/>
  <c r="G170" i="3"/>
  <c r="G173" i="3"/>
  <c r="G178" i="3"/>
  <c r="G181" i="3"/>
  <c r="G186" i="3"/>
  <c r="G189" i="3"/>
  <c r="G191" i="3"/>
  <c r="G196" i="3"/>
  <c r="G201" i="3"/>
  <c r="G206" i="3"/>
  <c r="G211" i="3"/>
  <c r="G215" i="3"/>
  <c r="G222" i="3"/>
  <c r="G226" i="3"/>
  <c r="G230" i="3"/>
  <c r="G236" i="3"/>
  <c r="G239" i="3"/>
  <c r="G243" i="3"/>
  <c r="G247" i="3"/>
  <c r="G250" i="3"/>
  <c r="G253" i="3"/>
  <c r="G256" i="3"/>
  <c r="G261" i="3"/>
  <c r="G263" i="3"/>
  <c r="G267" i="3"/>
  <c r="G271" i="3"/>
  <c r="G273" i="3"/>
  <c r="G279" i="3"/>
  <c r="G284" i="3"/>
  <c r="G290" i="3"/>
  <c r="G294" i="3"/>
  <c r="G297" i="3"/>
  <c r="G301" i="3"/>
  <c r="G305" i="3"/>
  <c r="G308" i="3"/>
  <c r="G311" i="3"/>
  <c r="G314" i="3"/>
  <c r="G317" i="3"/>
  <c r="G320" i="3"/>
  <c r="G323" i="3"/>
  <c r="G326" i="3"/>
  <c r="G329" i="3"/>
  <c r="G332" i="3"/>
  <c r="G338" i="3"/>
  <c r="G341" i="3"/>
  <c r="G346" i="3"/>
  <c r="G351" i="3"/>
  <c r="G376" i="3"/>
  <c r="F396" i="3"/>
  <c r="G8" i="3"/>
  <c r="G15" i="3"/>
  <c r="G20" i="3"/>
  <c r="G27" i="3"/>
  <c r="G32" i="3"/>
  <c r="G46" i="3"/>
  <c r="G49" i="3"/>
  <c r="G53" i="3"/>
  <c r="G64" i="3"/>
  <c r="G67" i="3"/>
  <c r="G74" i="3"/>
  <c r="G78" i="3"/>
  <c r="G87" i="3"/>
  <c r="G94" i="3"/>
  <c r="G97" i="3"/>
  <c r="G101" i="3"/>
  <c r="G107" i="3"/>
  <c r="G111" i="3"/>
  <c r="G118" i="3"/>
  <c r="G125" i="3"/>
  <c r="G130" i="3"/>
  <c r="G141" i="3"/>
  <c r="G146" i="3"/>
  <c r="G159" i="3"/>
  <c r="G162" i="3"/>
  <c r="G166" i="3"/>
  <c r="G175" i="3"/>
  <c r="G182" i="3"/>
  <c r="G192" i="3"/>
  <c r="G195" i="3"/>
  <c r="G199" i="3"/>
  <c r="G204" i="3"/>
  <c r="G209" i="3"/>
  <c r="G214" i="3"/>
  <c r="G218" i="3"/>
  <c r="G221" i="3"/>
  <c r="G224" i="3"/>
  <c r="G228" i="3"/>
  <c r="G232" i="3"/>
  <c r="G235" i="3"/>
  <c r="G240" i="3"/>
  <c r="G244" i="3"/>
  <c r="G248" i="3"/>
  <c r="G251" i="3"/>
  <c r="G257" i="3"/>
  <c r="G259" i="3"/>
  <c r="G264" i="3"/>
  <c r="G266" i="3"/>
  <c r="G269" i="3"/>
  <c r="G274" i="3"/>
  <c r="G277" i="3"/>
  <c r="G283" i="3"/>
  <c r="G287" i="3"/>
  <c r="G292" i="3"/>
  <c r="G295" i="3"/>
  <c r="G298" i="3"/>
  <c r="G300" i="3"/>
  <c r="G303" i="3"/>
  <c r="G306" i="3"/>
  <c r="G309" i="3"/>
  <c r="G312" i="3"/>
  <c r="G315" i="3"/>
  <c r="G318" i="3"/>
  <c r="G321" i="3"/>
  <c r="G324" i="3"/>
  <c r="G327" i="3"/>
  <c r="G331" i="3"/>
  <c r="G334" i="3"/>
  <c r="G337" i="3"/>
  <c r="G340" i="3"/>
  <c r="G343" i="3"/>
  <c r="G345" i="3"/>
  <c r="G348" i="3"/>
  <c r="G350" i="3"/>
  <c r="G353" i="3"/>
  <c r="G356" i="3"/>
  <c r="G358" i="3"/>
  <c r="G360" i="3"/>
  <c r="G363" i="3"/>
  <c r="G365" i="3"/>
  <c r="G380" i="3"/>
  <c r="G11" i="3"/>
  <c r="G19" i="3"/>
  <c r="G33" i="3"/>
  <c r="G45" i="3"/>
  <c r="G65" i="3"/>
  <c r="G72" i="3"/>
  <c r="G113" i="3"/>
  <c r="G128" i="3"/>
  <c r="G134" i="3"/>
  <c r="G149" i="3"/>
  <c r="G160" i="3"/>
  <c r="G174" i="3"/>
  <c r="G177" i="3"/>
  <c r="G184" i="3"/>
  <c r="G194" i="3"/>
  <c r="G198" i="3"/>
  <c r="G202" i="3"/>
  <c r="G205" i="3"/>
  <c r="G212" i="3"/>
  <c r="G216" i="3"/>
  <c r="G219" i="3"/>
  <c r="G223" i="3"/>
  <c r="G227" i="3"/>
  <c r="G231" i="3"/>
  <c r="G233" i="3"/>
  <c r="G237" i="3"/>
  <c r="G241" i="3"/>
  <c r="G245" i="3"/>
  <c r="G249" i="3"/>
  <c r="G254" i="3"/>
  <c r="G275" i="3"/>
  <c r="G280" i="3"/>
  <c r="G282" i="3"/>
  <c r="G286" i="3"/>
  <c r="G289" i="3"/>
  <c r="G293" i="3"/>
  <c r="G299" i="3"/>
  <c r="G302" i="3"/>
  <c r="G304" i="3"/>
  <c r="G307" i="3"/>
  <c r="G310" i="3"/>
  <c r="G313" i="3"/>
  <c r="G316" i="3"/>
  <c r="G319" i="3"/>
  <c r="G322" i="3"/>
  <c r="G325" i="3"/>
  <c r="G328" i="3"/>
  <c r="G330" i="3"/>
  <c r="G333" i="3"/>
  <c r="G336" i="3"/>
  <c r="G339" i="3"/>
  <c r="G342" i="3"/>
  <c r="G344" i="3"/>
  <c r="G347" i="3"/>
  <c r="G349" i="3"/>
  <c r="G352" i="3"/>
  <c r="G354" i="3"/>
  <c r="G355" i="3"/>
  <c r="G357" i="3"/>
  <c r="G359" i="3"/>
  <c r="G361" i="3"/>
  <c r="G362" i="3"/>
  <c r="G364" i="3"/>
  <c r="G366" i="3"/>
  <c r="G367" i="3"/>
  <c r="G368" i="3"/>
  <c r="G369" i="3"/>
  <c r="G370" i="3"/>
  <c r="G371" i="3"/>
  <c r="G372" i="3"/>
  <c r="G373" i="3"/>
  <c r="G374" i="3"/>
  <c r="G375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79" i="3"/>
  <c r="G378" i="3"/>
  <c r="G377" i="3"/>
  <c r="F400" i="13"/>
  <c r="E400" i="13"/>
  <c r="C401" i="13"/>
  <c r="C402" i="13" s="1"/>
  <c r="C403" i="13" s="1"/>
  <c r="C404" i="13" s="1"/>
  <c r="C405" i="13" s="1"/>
  <c r="C383" i="2"/>
  <c r="E399" i="13"/>
  <c r="F399" i="13"/>
  <c r="E382" i="2"/>
  <c r="F382" i="2"/>
  <c r="C406" i="13" l="1"/>
  <c r="E405" i="13"/>
  <c r="F405" i="13"/>
  <c r="F404" i="13"/>
  <c r="E404" i="13"/>
  <c r="E403" i="13"/>
  <c r="F403" i="13"/>
  <c r="C384" i="2"/>
  <c r="E402" i="13"/>
  <c r="F402" i="13"/>
  <c r="F401" i="13"/>
  <c r="E401" i="13"/>
  <c r="E383" i="2"/>
  <c r="F383" i="2"/>
  <c r="F406" i="13" l="1"/>
  <c r="E406" i="13"/>
  <c r="C385" i="2"/>
  <c r="F384" i="2"/>
  <c r="E384" i="2"/>
  <c r="C386" i="2" l="1"/>
  <c r="E385" i="2"/>
  <c r="F385" i="2"/>
  <c r="E386" i="2" l="1"/>
  <c r="F386" i="2"/>
  <c r="C387" i="2"/>
  <c r="C388" i="2" l="1"/>
  <c r="F387" i="2"/>
  <c r="E387" i="2"/>
  <c r="F388" i="2" l="1"/>
  <c r="G11" i="2"/>
  <c r="G27" i="2"/>
  <c r="G41" i="2"/>
  <c r="G45" i="2"/>
  <c r="G48" i="2"/>
  <c r="G52" i="2"/>
  <c r="G56" i="2"/>
  <c r="G60" i="2"/>
  <c r="G63" i="2"/>
  <c r="G159" i="2"/>
  <c r="G164" i="2"/>
  <c r="G169" i="2"/>
  <c r="G173" i="2"/>
  <c r="G178" i="2"/>
  <c r="G184" i="2"/>
  <c r="G193" i="2"/>
  <c r="G199" i="2"/>
  <c r="G202" i="2"/>
  <c r="G205" i="2"/>
  <c r="G210" i="2"/>
  <c r="G214" i="2"/>
  <c r="G218" i="2"/>
  <c r="G221" i="2"/>
  <c r="G227" i="2"/>
  <c r="G232" i="2"/>
  <c r="G236" i="2"/>
  <c r="G240" i="2"/>
  <c r="G244" i="2"/>
  <c r="G261" i="2"/>
  <c r="G265" i="2"/>
  <c r="G272" i="2"/>
  <c r="G275" i="2"/>
  <c r="G282" i="2"/>
  <c r="G287" i="2"/>
  <c r="G292" i="2"/>
  <c r="G296" i="2"/>
  <c r="G303" i="2"/>
  <c r="G311" i="2"/>
  <c r="G318" i="2"/>
  <c r="G325" i="2"/>
  <c r="G332" i="2"/>
  <c r="G335" i="2"/>
  <c r="G338" i="2"/>
  <c r="G343" i="2"/>
  <c r="G347" i="2"/>
  <c r="G351" i="2"/>
  <c r="G355" i="2"/>
  <c r="G358" i="2"/>
  <c r="G361" i="2"/>
  <c r="G366" i="2"/>
  <c r="G368" i="2"/>
  <c r="G370" i="2"/>
  <c r="G373" i="2"/>
  <c r="G374" i="2"/>
  <c r="G377" i="2"/>
  <c r="G378" i="2"/>
  <c r="G381" i="2"/>
  <c r="G382" i="2"/>
  <c r="G383" i="2"/>
  <c r="G384" i="2"/>
  <c r="G386" i="2"/>
  <c r="G387" i="2"/>
  <c r="G7" i="2"/>
  <c r="G12" i="2"/>
  <c r="G20" i="2"/>
  <c r="G28" i="2"/>
  <c r="G33" i="2"/>
  <c r="G37" i="2"/>
  <c r="G42" i="2"/>
  <c r="G54" i="2"/>
  <c r="G64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9" i="2"/>
  <c r="G15" i="2"/>
  <c r="G19" i="2"/>
  <c r="G22" i="2"/>
  <c r="G30" i="2"/>
  <c r="G34" i="2"/>
  <c r="G39" i="2"/>
  <c r="G44" i="2"/>
  <c r="G49" i="2"/>
  <c r="G55" i="2"/>
  <c r="G61" i="2"/>
  <c r="G158" i="2"/>
  <c r="G163" i="2"/>
  <c r="G168" i="2"/>
  <c r="G171" i="2"/>
  <c r="G180" i="2"/>
  <c r="G186" i="2"/>
  <c r="G190" i="2"/>
  <c r="G195" i="2"/>
  <c r="G198" i="2"/>
  <c r="G201" i="2"/>
  <c r="G206" i="2"/>
  <c r="G211" i="2"/>
  <c r="G219" i="2"/>
  <c r="G228" i="2"/>
  <c r="G248" i="2"/>
  <c r="G251" i="2"/>
  <c r="G256" i="2"/>
  <c r="G259" i="2"/>
  <c r="G263" i="2"/>
  <c r="G267" i="2"/>
  <c r="G271" i="2"/>
  <c r="G274" i="2"/>
  <c r="G277" i="2"/>
  <c r="G281" i="2"/>
  <c r="G288" i="2"/>
  <c r="G294" i="2"/>
  <c r="G298" i="2"/>
  <c r="G302" i="2"/>
  <c r="G306" i="2"/>
  <c r="G310" i="2"/>
  <c r="G315" i="2"/>
  <c r="G320" i="2"/>
  <c r="G324" i="2"/>
  <c r="G328" i="2"/>
  <c r="G334" i="2"/>
  <c r="G339" i="2"/>
  <c r="G342" i="2"/>
  <c r="G346" i="2"/>
  <c r="G350" i="2"/>
  <c r="G353" i="2"/>
  <c r="G371" i="2"/>
  <c r="G8" i="2"/>
  <c r="G14" i="2"/>
  <c r="G25" i="2"/>
  <c r="G29" i="2"/>
  <c r="G43" i="2"/>
  <c r="G51" i="2"/>
  <c r="G65" i="2"/>
  <c r="G71" i="2"/>
  <c r="G161" i="2"/>
  <c r="G165" i="2"/>
  <c r="G172" i="2"/>
  <c r="G177" i="2"/>
  <c r="G183" i="2"/>
  <c r="G192" i="2"/>
  <c r="G204" i="2"/>
  <c r="G207" i="2"/>
  <c r="G212" i="2"/>
  <c r="G220" i="2"/>
  <c r="G225" i="2"/>
  <c r="G234" i="2"/>
  <c r="G237" i="2"/>
  <c r="G242" i="2"/>
  <c r="G249" i="2"/>
  <c r="G255" i="2"/>
  <c r="G262" i="2"/>
  <c r="G268" i="2"/>
  <c r="G276" i="2"/>
  <c r="G295" i="2"/>
  <c r="G16" i="2"/>
  <c r="G21" i="2"/>
  <c r="G38" i="2"/>
  <c r="G53" i="2"/>
  <c r="G57" i="2"/>
  <c r="G67" i="2"/>
  <c r="G69" i="2"/>
  <c r="G160" i="2"/>
  <c r="G167" i="2"/>
  <c r="G175" i="2"/>
  <c r="G179" i="2"/>
  <c r="G187" i="2"/>
  <c r="G196" i="2"/>
  <c r="G213" i="2"/>
  <c r="G216" i="2"/>
  <c r="G222" i="2"/>
  <c r="G229" i="2"/>
  <c r="G233" i="2"/>
  <c r="G241" i="2"/>
  <c r="G245" i="2"/>
  <c r="G253" i="2"/>
  <c r="G258" i="2"/>
  <c r="G270" i="2"/>
  <c r="G280" i="2"/>
  <c r="G285" i="2"/>
  <c r="G290" i="2"/>
  <c r="G297" i="2"/>
  <c r="G301" i="2"/>
  <c r="G307" i="2"/>
  <c r="G313" i="2"/>
  <c r="G317" i="2"/>
  <c r="G322" i="2"/>
  <c r="G326" i="2"/>
  <c r="G329" i="2"/>
  <c r="G336" i="2"/>
  <c r="G341" i="2"/>
  <c r="G348" i="2"/>
  <c r="G379" i="2"/>
  <c r="G18" i="2"/>
  <c r="G24" i="2"/>
  <c r="G31" i="2"/>
  <c r="G35" i="2"/>
  <c r="G40" i="2"/>
  <c r="G46" i="2"/>
  <c r="G50" i="2"/>
  <c r="G59" i="2"/>
  <c r="G62" i="2"/>
  <c r="G68" i="2"/>
  <c r="G162" i="2"/>
  <c r="G176" i="2"/>
  <c r="G182" i="2"/>
  <c r="G185" i="2"/>
  <c r="G189" i="2"/>
  <c r="G194" i="2"/>
  <c r="G197" i="2"/>
  <c r="G203" i="2"/>
  <c r="G209" i="2"/>
  <c r="G217" i="2"/>
  <c r="G223" i="2"/>
  <c r="G226" i="2"/>
  <c r="G230" i="2"/>
  <c r="G235" i="2"/>
  <c r="G238" i="2"/>
  <c r="G243" i="2"/>
  <c r="G247" i="2"/>
  <c r="G250" i="2"/>
  <c r="G254" i="2"/>
  <c r="G266" i="2"/>
  <c r="G269" i="2"/>
  <c r="G273" i="2"/>
  <c r="G279" i="2"/>
  <c r="G283" i="2"/>
  <c r="G286" i="2"/>
  <c r="G291" i="2"/>
  <c r="G300" i="2"/>
  <c r="G304" i="2"/>
  <c r="G308" i="2"/>
  <c r="G312" i="2"/>
  <c r="G316" i="2"/>
  <c r="G319" i="2"/>
  <c r="G323" i="2"/>
  <c r="G330" i="2"/>
  <c r="G333" i="2"/>
  <c r="G340" i="2"/>
  <c r="G345" i="2"/>
  <c r="G349" i="2"/>
  <c r="G354" i="2"/>
  <c r="G357" i="2"/>
  <c r="G360" i="2"/>
  <c r="G364" i="2"/>
  <c r="G385" i="2"/>
  <c r="G10" i="2"/>
  <c r="G13" i="2"/>
  <c r="G17" i="2"/>
  <c r="G23" i="2"/>
  <c r="G26" i="2"/>
  <c r="G32" i="2"/>
  <c r="G36" i="2"/>
  <c r="G47" i="2"/>
  <c r="G58" i="2"/>
  <c r="G66" i="2"/>
  <c r="G70" i="2"/>
  <c r="G166" i="2"/>
  <c r="G170" i="2"/>
  <c r="G174" i="2"/>
  <c r="G181" i="2"/>
  <c r="G188" i="2"/>
  <c r="G191" i="2"/>
  <c r="G200" i="2"/>
  <c r="G208" i="2"/>
  <c r="G215" i="2"/>
  <c r="G224" i="2"/>
  <c r="G231" i="2"/>
  <c r="G239" i="2"/>
  <c r="G246" i="2"/>
  <c r="G252" i="2"/>
  <c r="G257" i="2"/>
  <c r="G260" i="2"/>
  <c r="G264" i="2"/>
  <c r="G278" i="2"/>
  <c r="G284" i="2"/>
  <c r="G289" i="2"/>
  <c r="G293" i="2"/>
  <c r="G299" i="2"/>
  <c r="G305" i="2"/>
  <c r="G309" i="2"/>
  <c r="G314" i="2"/>
  <c r="G321" i="2"/>
  <c r="G327" i="2"/>
  <c r="G331" i="2"/>
  <c r="G337" i="2"/>
  <c r="G344" i="2"/>
  <c r="G352" i="2"/>
  <c r="G356" i="2"/>
  <c r="G359" i="2"/>
  <c r="G362" i="2"/>
  <c r="G363" i="2"/>
  <c r="G365" i="2"/>
  <c r="G367" i="2"/>
  <c r="G369" i="2"/>
  <c r="G372" i="2"/>
  <c r="G375" i="2"/>
  <c r="G376" i="2"/>
  <c r="G380" i="2"/>
  <c r="G388" i="2"/>
  <c r="E388" i="2"/>
</calcChain>
</file>

<file path=xl/sharedStrings.xml><?xml version="1.0" encoding="utf-8"?>
<sst xmlns="http://schemas.openxmlformats.org/spreadsheetml/2006/main" count="6227" uniqueCount="619">
  <si>
    <t xml:space="preserve">          INDICADORES SETORIAIS E MACROECONÔMICOS      |</t>
  </si>
  <si>
    <t>MAIO|2026</t>
  </si>
  <si>
    <t xml:space="preserve"> INCTF | INCTL | IGPM | IPCA | INPC | ICV | OUTROS          </t>
  </si>
  <si>
    <t>ÍNDICE</t>
  </si>
  <si>
    <t>VARIAÇÃO MÊS (%)</t>
  </si>
  <si>
    <t xml:space="preserve">VARIAÇÃO ANO (%) </t>
  </si>
  <si>
    <t xml:space="preserve">VARIAÇÃO 12 MESES (%) </t>
  </si>
  <si>
    <r>
      <rPr>
        <sz val="12"/>
        <rFont val="Calibri"/>
        <family val="2"/>
      </rPr>
      <t>Índice Nacional do Custos do Transporte de Carga Fracionada</t>
    </r>
    <r>
      <rPr>
        <b/>
        <sz val="12"/>
        <rFont val="Calibri"/>
        <family val="2"/>
      </rPr>
      <t xml:space="preserve"> | INCTF</t>
    </r>
  </si>
  <si>
    <r>
      <rPr>
        <sz val="12"/>
        <rFont val="Calibri"/>
        <family val="2"/>
      </rPr>
      <t xml:space="preserve">Índice Nacional do Custos do Transporte de Carga Lotação </t>
    </r>
    <r>
      <rPr>
        <b/>
        <sz val="12"/>
        <rFont val="Calibri"/>
        <family val="2"/>
      </rPr>
      <t>| INCTL</t>
    </r>
  </si>
  <si>
    <r>
      <rPr>
        <sz val="12"/>
        <rFont val="Calibri"/>
        <family val="2"/>
      </rPr>
      <t xml:space="preserve">Índice Nacional do Custos do Transporte de Carga Fracionada Rodoviária </t>
    </r>
    <r>
      <rPr>
        <b/>
        <sz val="12"/>
        <rFont val="Calibri"/>
        <family val="2"/>
      </rPr>
      <t>| INCTF-R (operação Transferência)</t>
    </r>
  </si>
  <si>
    <r>
      <rPr>
        <sz val="12"/>
        <rFont val="Calibri"/>
        <family val="2"/>
      </rPr>
      <t>Índice Nacional do Custos do Transporte de Carga Fracionada Urbana</t>
    </r>
    <r>
      <rPr>
        <b/>
        <sz val="12"/>
        <rFont val="Calibri"/>
        <family val="2"/>
      </rPr>
      <t xml:space="preserve"> | INCTF-OU (operação Urbana)</t>
    </r>
  </si>
  <si>
    <r>
      <t xml:space="preserve">Índice Geral de Preços - Mercado | </t>
    </r>
    <r>
      <rPr>
        <b/>
        <sz val="12"/>
        <rFont val="Calibri"/>
        <family val="2"/>
      </rPr>
      <t>IGP-M</t>
    </r>
  </si>
  <si>
    <r>
      <t xml:space="preserve">Índice Geral de Preços - Disponibilidade Interna  </t>
    </r>
    <r>
      <rPr>
        <b/>
        <sz val="12"/>
        <rFont val="Calibri"/>
        <family val="2"/>
      </rPr>
      <t>IGP-DI | FGV</t>
    </r>
  </si>
  <si>
    <r>
      <t xml:space="preserve">Índice Nacional de Preços ao Consumidor Amplo | </t>
    </r>
    <r>
      <rPr>
        <b/>
        <sz val="12"/>
        <rFont val="Calibri"/>
        <family val="2"/>
      </rPr>
      <t>IPCA -IBGE</t>
    </r>
  </si>
  <si>
    <r>
      <t xml:space="preserve">Índice Nacional de Preços ao Consumidor Amplo Especial | </t>
    </r>
    <r>
      <rPr>
        <b/>
        <sz val="12"/>
        <rFont val="Calibri"/>
        <family val="2"/>
      </rPr>
      <t>IPCA-E - IBGE</t>
    </r>
  </si>
  <si>
    <r>
      <t xml:space="preserve">Índice Nacional de Preços ao Consumidor  </t>
    </r>
    <r>
      <rPr>
        <b/>
        <sz val="12"/>
        <rFont val="Calibri"/>
        <family val="2"/>
      </rPr>
      <t>INPC | IBGE</t>
    </r>
  </si>
  <si>
    <t>Índice do Custo de Vida | ICV - DIEESE*</t>
  </si>
  <si>
    <r>
      <t xml:space="preserve">Índice de Preços ao Consumidor  </t>
    </r>
    <r>
      <rPr>
        <b/>
        <sz val="12"/>
        <rFont val="Calibri"/>
        <family val="2"/>
      </rPr>
      <t>IPC | FIPE</t>
    </r>
  </si>
  <si>
    <r>
      <t xml:space="preserve">Índice de Preços ao Produtor Amplo - Disponibilidade Interna | </t>
    </r>
    <r>
      <rPr>
        <b/>
        <sz val="12"/>
        <rFont val="Calibri"/>
        <family val="2"/>
      </rPr>
      <t>IPA-DI</t>
    </r>
  </si>
  <si>
    <r>
      <t xml:space="preserve">Índice de Preços ao Consumidor - Disponibilidade Interna | </t>
    </r>
    <r>
      <rPr>
        <b/>
        <sz val="12"/>
        <rFont val="Calibri"/>
        <family val="2"/>
      </rPr>
      <t>IPC-DI</t>
    </r>
  </si>
  <si>
    <r>
      <t xml:space="preserve">Índice de Preços por Atacado do Mercado | </t>
    </r>
    <r>
      <rPr>
        <b/>
        <sz val="12"/>
        <rFont val="Calibri"/>
        <family val="2"/>
      </rPr>
      <t xml:space="preserve">IPA-M </t>
    </r>
  </si>
  <si>
    <r>
      <t xml:space="preserve">Índice Nacional de Custos da Construção Civil | </t>
    </r>
    <r>
      <rPr>
        <b/>
        <sz val="12"/>
        <rFont val="Calibri"/>
        <family val="2"/>
      </rPr>
      <t>INCC (GLOBAL)</t>
    </r>
  </si>
  <si>
    <r>
      <t xml:space="preserve">Índices de Rendimento das Contas de </t>
    </r>
    <r>
      <rPr>
        <b/>
        <sz val="12"/>
        <rFont val="Calibri"/>
        <family val="2"/>
      </rPr>
      <t>Poupança</t>
    </r>
  </si>
  <si>
    <t>Taxa Referencial - TR*</t>
  </si>
  <si>
    <r>
      <t xml:space="preserve">Dólar cotado no último dia do mês | </t>
    </r>
    <r>
      <rPr>
        <b/>
        <sz val="12"/>
        <rFont val="Calibri"/>
        <family val="2"/>
      </rPr>
      <t>Câmbio Livre - Venda</t>
    </r>
  </si>
  <si>
    <r>
      <t xml:space="preserve">Taxa de Juros </t>
    </r>
    <r>
      <rPr>
        <b/>
        <sz val="12"/>
        <rFont val="Calibri"/>
        <family val="2"/>
      </rPr>
      <t>Selic</t>
    </r>
  </si>
  <si>
    <t>Taxa de Juros de Longo Prazo - TJLP</t>
  </si>
  <si>
    <r>
      <t xml:space="preserve">Taxa Básica de Juros | </t>
    </r>
    <r>
      <rPr>
        <b/>
        <sz val="12"/>
        <rFont val="Aptos Narrow"/>
        <family val="2"/>
        <scheme val="minor"/>
      </rPr>
      <t>COPOM</t>
    </r>
  </si>
  <si>
    <t>REUNIÃO Nº</t>
  </si>
  <si>
    <t>Evolução do Salário Mínimo</t>
  </si>
  <si>
    <t>Fonte: Depto. Custos Operacionais e Pesquisas Econômicas/NTC&amp;Logística</t>
  </si>
  <si>
    <t>As pesquisas do Índice do Custo de Vida | ICV - DIEESE está suspensa.*</t>
  </si>
  <si>
    <t>DE JULHO/94 A FEVEREIR0/00 - MBB 1218</t>
  </si>
  <si>
    <t>INSUMOS</t>
  </si>
  <si>
    <t>Valor (R$)</t>
  </si>
  <si>
    <t>Variação (%)</t>
  </si>
  <si>
    <t>24 messes (%)</t>
  </si>
  <si>
    <t>12 meses (%)</t>
  </si>
  <si>
    <t>Caminhões MBB 1218</t>
  </si>
  <si>
    <t>Pneu 900 R 20</t>
  </si>
  <si>
    <t>Câmara para pneu 900 R 20</t>
  </si>
  <si>
    <t>Protetor para pneu 900 R 20</t>
  </si>
  <si>
    <t>Recauchutagem pneu 900 R 20</t>
  </si>
  <si>
    <t>Índice Geral de Preços - Mercado | IGP-M</t>
  </si>
  <si>
    <t>IGPM - FGV</t>
  </si>
  <si>
    <t>Base: Agosto 94 = 100</t>
  </si>
  <si>
    <t>SÉRIE HISTÓRICA</t>
  </si>
  <si>
    <t>VARIAÇÃO (%)</t>
  </si>
  <si>
    <t>Fator de atualização*</t>
  </si>
  <si>
    <t>Ano</t>
  </si>
  <si>
    <t>Mês</t>
  </si>
  <si>
    <t>Índice</t>
  </si>
  <si>
    <t>Mês %</t>
  </si>
  <si>
    <t>Ano %</t>
  </si>
  <si>
    <t>12 m  %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</si>
  <si>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</si>
  <si>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</si>
  <si>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</si>
  <si>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</si>
  <si>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</si>
  <si>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</si>
  <si>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</si>
  <si>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</si>
  <si>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</si>
  <si>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</si>
  <si>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</si>
  <si>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</si>
  <si>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6.88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</si>
  <si>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</si>
  <si>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</si>
  <si>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</si>
  <si>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</si>
  <si>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</si>
  <si>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</si>
  <si>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</si>
  <si>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</si>
  <si>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</si>
  <si>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</si>
  <si>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>out</t>
  </si>
  <si>
    <t>set</t>
  </si>
  <si>
    <t>Fonte: FGV|IBRE</t>
  </si>
  <si>
    <t>* Fator de atualização =  fator que atualiza valores correntes de meses passados até o último mês da tabela acima. Multiplique o valor a corrigir pelo fator de atualização.</t>
  </si>
  <si>
    <t>De 21 do mês anterior a 20 do mês corrente</t>
  </si>
  <si>
    <t>IPA</t>
  </si>
  <si>
    <t>IPC</t>
  </si>
  <si>
    <t>INCC</t>
  </si>
  <si>
    <t>Índice Geral de Preços - Disponibilidade Interna 
 IGP-DI | FGV</t>
  </si>
  <si>
    <t>IPC - FIPE</t>
  </si>
  <si>
    <t>* Fator de atualização =  fator que atualiza valores correntes de</t>
  </si>
  <si>
    <t xml:space="preserve"> meses passados até o último mês da tabela acima.</t>
  </si>
  <si>
    <t>Multiplique o valor a corrigir pelo fator de atualização.</t>
  </si>
  <si>
    <t>De 1 a 30 do mês corrente</t>
  </si>
  <si>
    <t>https://sindusconpr.com.br/igp-di-fgv-308-p</t>
  </si>
  <si>
    <t>Índice Nacional de Preços ao Consumidor Amplo
IPCA -IBGE</t>
  </si>
  <si>
    <t>IPCA | IBGE</t>
  </si>
  <si>
    <t>Base: Dezembro 93 = 100</t>
  </si>
  <si>
    <t>Fator de atualização</t>
  </si>
  <si>
    <t>433 </t>
  </si>
  <si>
    <t>Índice oficial da inflação</t>
  </si>
  <si>
    <t>Famílias com renda de até 40 SM</t>
  </si>
  <si>
    <t>Do primeiro ao último dia do mês</t>
  </si>
  <si>
    <t>Índice Nacional de Preços ao Consumidor Amplo Especial
IPCA-E - IBGE</t>
  </si>
  <si>
    <t>INPA-E | IBGE</t>
  </si>
  <si>
    <t>Base: Outubro 2000 = 100</t>
  </si>
  <si>
    <t>Fonte: IBGE</t>
  </si>
  <si>
    <t>meses passados até o último mês da tabela acima.</t>
  </si>
  <si>
    <t>IPCA-E = IPCA-15 (IPCA do dia 15 de cada mês)</t>
  </si>
  <si>
    <t>Índice Nacional de Preços ao Consumidor
INPC | IBGE</t>
  </si>
  <si>
    <t>INPC | IBGE</t>
  </si>
  <si>
    <t xml:space="preserve">Dez </t>
  </si>
  <si>
    <t>Entre o primeiro e o último dia do mês corrente</t>
  </si>
  <si>
    <t>Índice do Custo de Vida
ICV - DIEESE</t>
  </si>
  <si>
    <t>ICV | DIEESE</t>
  </si>
  <si>
    <t xml:space="preserve"> </t>
  </si>
  <si>
    <t>2004</t>
  </si>
  <si>
    <t>Fonte: DIEESE</t>
  </si>
  <si>
    <t>Renda média de R$ 2.800,00 por mês</t>
  </si>
  <si>
    <t>ÍNDICE DE PREÇOS AO CONSUMIDOR
IPC | FIPE</t>
  </si>
  <si>
    <t>Base: Junho 94 = 100</t>
  </si>
  <si>
    <t xml:space="preserve">Jun </t>
  </si>
  <si>
    <t xml:space="preserve">Jul </t>
  </si>
  <si>
    <t xml:space="preserve">Ago </t>
  </si>
  <si>
    <t xml:space="preserve">Set </t>
  </si>
  <si>
    <t xml:space="preserve">Out </t>
  </si>
  <si>
    <t xml:space="preserve">Nov </t>
  </si>
  <si>
    <t xml:space="preserve">Jan </t>
  </si>
  <si>
    <t xml:space="preserve">Fev </t>
  </si>
  <si>
    <t xml:space="preserve">Mar </t>
  </si>
  <si>
    <t xml:space="preserve">Abr </t>
  </si>
  <si>
    <t xml:space="preserve">Mai </t>
  </si>
  <si>
    <t>Fonte: IPC-Fipe</t>
  </si>
  <si>
    <t>Índice de Preços ao Consumidor da Fundação Instituto de Pesquisas Econômicas, da USP, pesquisado no município de São Paulo. Reflete o custo de vida de famílias com renda de 1 a 20 salários mínimos. Divulga também taxas quadrissemanais.</t>
  </si>
  <si>
    <t>Índice de Preços ao Produtor Amplo  Disponibilidade Interna
IPA-DI</t>
  </si>
  <si>
    <t>IPA-DI | FGV</t>
  </si>
  <si>
    <t>Fonte: FGV/IBRE</t>
  </si>
  <si>
    <t>Componente (60%) do IGP-DI</t>
  </si>
  <si>
    <t>Índice de Preços ao Consumidor - Disponibilidade Interna
IPC-DI</t>
  </si>
  <si>
    <t>IPC-DI | FGV</t>
  </si>
  <si>
    <t xml:space="preserve">Componente (30%) do IGP-DI. </t>
  </si>
  <si>
    <t>ÍNDICE DE PREÇOS POR ATACADO DO MERCADO
IPA-M</t>
  </si>
  <si>
    <t>IPA-M | FGV</t>
  </si>
  <si>
    <t>IPAM</t>
  </si>
  <si>
    <t>Componente (60%) do IGPM.</t>
  </si>
  <si>
    <t>ÍNDICE NACIONAL DE CUSTOS DA CONSTRUÇÃO CIVIL
 INCC (GLOBAL)</t>
  </si>
  <si>
    <t>CUB - Sinduscon | SP</t>
  </si>
  <si>
    <t>Base: Fevereiro 2007 = 100</t>
  </si>
  <si>
    <t xml:space="preserve">Mês </t>
  </si>
  <si>
    <t xml:space="preserve">Ano </t>
  </si>
  <si>
    <t xml:space="preserve">12 Meses  </t>
  </si>
  <si>
    <t xml:space="preserve">NOVA SÉRIE </t>
  </si>
  <si>
    <t>-</t>
  </si>
  <si>
    <t>Fonte: Depto. Economia - SINDUSCON/SP</t>
  </si>
  <si>
    <t>R8-N</t>
  </si>
  <si>
    <t>Índices de Rendimento das Contas de Poupança</t>
  </si>
  <si>
    <t>POUPANÇA</t>
  </si>
  <si>
    <t>Base: Janeio 1993 = 100</t>
  </si>
  <si>
    <t xml:space="preserve">jan </t>
  </si>
  <si>
    <t>FONTE: ABECIP | SBPE - SISTEMA BRASILEIRO DE POUPANÇA E EMPRÉSTIMO</t>
  </si>
  <si>
    <t>https://www3.bcb.gov.br/sgspub/localizarseries/localizarSeries.do?method=prepararTelaLocalizarSeries</t>
  </si>
  <si>
    <t>codigo</t>
  </si>
  <si>
    <t xml:space="preserve">           TAXA BÁSICA DE JUROS COPOM</t>
  </si>
  <si>
    <t>META DA SELIC % a.a</t>
  </si>
  <si>
    <t>REUNIÃO</t>
  </si>
  <si>
    <t>META SELIC % a.a.</t>
  </si>
  <si>
    <t>Nº</t>
  </si>
  <si>
    <t>DATA</t>
  </si>
  <si>
    <t>PERÍODO DE VIGÊNCIA</t>
  </si>
  <si>
    <t>80ª</t>
  </si>
  <si>
    <t>23/01/2003 - 19/02/2003</t>
  </si>
  <si>
    <t>81ª</t>
  </si>
  <si>
    <t>20/02/2003 - 19/03/2003</t>
  </si>
  <si>
    <t>82ª</t>
  </si>
  <si>
    <t>20/03/2003 - 23/04/2003</t>
  </si>
  <si>
    <t>83ª</t>
  </si>
  <si>
    <t>24/04/2003 - 21/05/2003</t>
  </si>
  <si>
    <t>84ª</t>
  </si>
  <si>
    <t>22/05/2003 - 18/06/2003</t>
  </si>
  <si>
    <t>85ª</t>
  </si>
  <si>
    <t>19/06/2003 - 23/07/2003</t>
  </si>
  <si>
    <t>86ª</t>
  </si>
  <si>
    <t>24/07/2003 - 20/08/2003</t>
  </si>
  <si>
    <t>87ª</t>
  </si>
  <si>
    <t>21/08/2003 - 17/09/2003</t>
  </si>
  <si>
    <t>88ª</t>
  </si>
  <si>
    <t>18/09/2003 - 22/10/2003</t>
  </si>
  <si>
    <t>89ª</t>
  </si>
  <si>
    <t>23/10/2003 - 19/11/2003</t>
  </si>
  <si>
    <t>90ª</t>
  </si>
  <si>
    <t>20/11/2003 - 17/12/2003</t>
  </si>
  <si>
    <t>91ª</t>
  </si>
  <si>
    <t>18/12/2003 - 21/01/2004</t>
  </si>
  <si>
    <t>92ª</t>
  </si>
  <si>
    <t>22/01/2004 - 18/02/2004</t>
  </si>
  <si>
    <t>93ª</t>
  </si>
  <si>
    <t>19/02/2004 - 17/03/2004</t>
  </si>
  <si>
    <t>94ª</t>
  </si>
  <si>
    <t>18/03/2004 - 14/04/2004</t>
  </si>
  <si>
    <t>95ª</t>
  </si>
  <si>
    <t>15/04/2004 - 19/05/2004</t>
  </si>
  <si>
    <t>96ª</t>
  </si>
  <si>
    <t>20/05/2004 - 16/06/2004</t>
  </si>
  <si>
    <t>97ª</t>
  </si>
  <si>
    <t>17/06/2004 - 21/07/2004</t>
  </si>
  <si>
    <t>98ª</t>
  </si>
  <si>
    <t>22/07/2004 - 18/08/2004</t>
  </si>
  <si>
    <t>99ª</t>
  </si>
  <si>
    <t>19/08/2004 - 15/09/2004</t>
  </si>
  <si>
    <t>100ª</t>
  </si>
  <si>
    <t>16/09/2004 - 20/10/2004</t>
  </si>
  <si>
    <t>101ª</t>
  </si>
  <si>
    <t>21/10/2004 - 17/11/2004</t>
  </si>
  <si>
    <t>102ª</t>
  </si>
  <si>
    <t>18/11/2004 - 15/12/2004</t>
  </si>
  <si>
    <t>103ª</t>
  </si>
  <si>
    <t>16/12/2004 - 19/01/2005</t>
  </si>
  <si>
    <t>104ª</t>
  </si>
  <si>
    <t>20/01/2005 - 16/02/2005</t>
  </si>
  <si>
    <t>105ª</t>
  </si>
  <si>
    <t>17/02/2005 - 16/03/2005</t>
  </si>
  <si>
    <t>106ª</t>
  </si>
  <si>
    <t>17/03/2005 - 21/04/2005</t>
  </si>
  <si>
    <t>107ª</t>
  </si>
  <si>
    <t>22/04/2005 - 18/05/2005</t>
  </si>
  <si>
    <t>108ª</t>
  </si>
  <si>
    <t>19/05/2005 - 15/06/2005</t>
  </si>
  <si>
    <t>109ª</t>
  </si>
  <si>
    <t>16/06/2005 - 20/07/2005</t>
  </si>
  <si>
    <t>110ª</t>
  </si>
  <si>
    <t>21/07/2005 - 17/08/2005</t>
  </si>
  <si>
    <t>111ª</t>
  </si>
  <si>
    <t>18/08/2005 - 14/09/2005</t>
  </si>
  <si>
    <t>112ª</t>
  </si>
  <si>
    <t>15/09/2005 - 19/10/2005</t>
  </si>
  <si>
    <t>113ª</t>
  </si>
  <si>
    <t>20/10/2005 - 23/11/2005</t>
  </si>
  <si>
    <t>114ª</t>
  </si>
  <si>
    <t>24/11/2005 - 14/12/2005</t>
  </si>
  <si>
    <t>115ª</t>
  </si>
  <si>
    <t>15/12/2005 - 18/01/2006</t>
  </si>
  <si>
    <t>116ª</t>
  </si>
  <si>
    <t>19/01/2006 - 08/03/2006</t>
  </si>
  <si>
    <t>117ª</t>
  </si>
  <si>
    <t>09/03/2006 - 19/04/2006</t>
  </si>
  <si>
    <t>118ª</t>
  </si>
  <si>
    <t>20/04/2006 - 31/05/2006</t>
  </si>
  <si>
    <t>119ª</t>
  </si>
  <si>
    <t>01/06/2006 - 19/07/2006</t>
  </si>
  <si>
    <t>120ª</t>
  </si>
  <si>
    <t>20/07/2006 - 30/08/2006</t>
  </si>
  <si>
    <t>121ª</t>
  </si>
  <si>
    <t>31/08/2006 - 18/10/2006</t>
  </si>
  <si>
    <t>122ª</t>
  </si>
  <si>
    <t>19/10/2006 - 29/11/2006</t>
  </si>
  <si>
    <t>123ª</t>
  </si>
  <si>
    <t>30/11/2006 - 24/01/2007</t>
  </si>
  <si>
    <t>124ª</t>
  </si>
  <si>
    <t>25/01/2007 - 07/03/2007</t>
  </si>
  <si>
    <t>125ª</t>
  </si>
  <si>
    <t>08/03/2007 - 18/04/2007</t>
  </si>
  <si>
    <t>126ª</t>
  </si>
  <si>
    <t>19/04/2007 - 06/06/2007</t>
  </si>
  <si>
    <t>127ª</t>
  </si>
  <si>
    <t>07/06/2007 - 18/07/2007</t>
  </si>
  <si>
    <t>128ª</t>
  </si>
  <si>
    <t>19/07/2007 - 05/09/2007</t>
  </si>
  <si>
    <t>129ª</t>
  </si>
  <si>
    <t>06/09/2007 - 17/10/2007</t>
  </si>
  <si>
    <t>130ª</t>
  </si>
  <si>
    <t>18/10/2007 - 05/12/2007</t>
  </si>
  <si>
    <t>131ª</t>
  </si>
  <si>
    <t>06/12/2007 - 23/01/2008</t>
  </si>
  <si>
    <t>132ª</t>
  </si>
  <si>
    <t>24/01/2008 - 05/03/2008</t>
  </si>
  <si>
    <t>133ª</t>
  </si>
  <si>
    <t>06/03/2008 - 16/04/2008</t>
  </si>
  <si>
    <t>134ª</t>
  </si>
  <si>
    <t>17/04/2008 - 04/06/2008</t>
  </si>
  <si>
    <t>135ª</t>
  </si>
  <si>
    <t>05/06/2008 - 23/07/2008</t>
  </si>
  <si>
    <t>136ª</t>
  </si>
  <si>
    <t>24/07/2008 - 10/09/2008</t>
  </si>
  <si>
    <t>137ª</t>
  </si>
  <si>
    <t>11/09/2008 - 29/10/2008</t>
  </si>
  <si>
    <t>138ª</t>
  </si>
  <si>
    <t>30/10/2008 - 10/12/2008</t>
  </si>
  <si>
    <t>139ª</t>
  </si>
  <si>
    <t>11/12/2008 - 21/01/2009</t>
  </si>
  <si>
    <t>140ª</t>
  </si>
  <si>
    <t>22/01/2009 - 11/03/2009</t>
  </si>
  <si>
    <t>141ª</t>
  </si>
  <si>
    <t>12/03/2009 - 29/04/2009</t>
  </si>
  <si>
    <t>142ª</t>
  </si>
  <si>
    <t>30/04/2009 - 10/06/2009</t>
  </si>
  <si>
    <t>143ª</t>
  </si>
  <si>
    <t>11/06/2009 - 22/07/2009</t>
  </si>
  <si>
    <t>144ª</t>
  </si>
  <si>
    <t>23/07/2009 - 02/09/2009</t>
  </si>
  <si>
    <t>145ª</t>
  </si>
  <si>
    <t>03/09/2009 - 21/10/2009</t>
  </si>
  <si>
    <t>146ª</t>
  </si>
  <si>
    <t>22/10/2009 - 09/12/2009</t>
  </si>
  <si>
    <t>147ª</t>
  </si>
  <si>
    <t>10/12/2009 - 27/01/2010</t>
  </si>
  <si>
    <t>148ª</t>
  </si>
  <si>
    <t>28/01/2010 - 17/03/2010</t>
  </si>
  <si>
    <t>149ª</t>
  </si>
  <si>
    <t>18/03/2010 - 28/04/2010</t>
  </si>
  <si>
    <t>150ª</t>
  </si>
  <si>
    <t>29/04/2010 - 09/06/2010</t>
  </si>
  <si>
    <t>151ª</t>
  </si>
  <si>
    <t>10/06/2010 - 21/07/2010</t>
  </si>
  <si>
    <t>152ª</t>
  </si>
  <si>
    <t>22/07/2010 - 01/09/2010</t>
  </si>
  <si>
    <t>153ª</t>
  </si>
  <si>
    <t>02/09/2010 - 20/10/2010</t>
  </si>
  <si>
    <t>154ª</t>
  </si>
  <si>
    <t>21/10/2010 - 08/12/2010</t>
  </si>
  <si>
    <t>155ª</t>
  </si>
  <si>
    <t>09/12/2010 - 19/01/2011</t>
  </si>
  <si>
    <t>156ª</t>
  </si>
  <si>
    <t>20/01/2011 - 02/03/2011</t>
  </si>
  <si>
    <t>157ª</t>
  </si>
  <si>
    <t>03/03/2011 - 20/04/2011</t>
  </si>
  <si>
    <t>158ª</t>
  </si>
  <si>
    <t>21/04/2011 - 08/06/2011</t>
  </si>
  <si>
    <t>159ª</t>
  </si>
  <si>
    <t>09/06/2011 - 20/07/2011</t>
  </si>
  <si>
    <t>160ª</t>
  </si>
  <si>
    <t>21/07/2011 - 31/08/2011</t>
  </si>
  <si>
    <t>161ª</t>
  </si>
  <si>
    <t>01/09/2011 - 19/10/2011</t>
  </si>
  <si>
    <t>162ª</t>
  </si>
  <si>
    <t>20/10/2011 - 30/11/2011</t>
  </si>
  <si>
    <t>163ª</t>
  </si>
  <si>
    <t>01/12/2011 - 18/01/2012</t>
  </si>
  <si>
    <t>164ª</t>
  </si>
  <si>
    <t>19/01/2012 - 07/03/2012</t>
  </si>
  <si>
    <t>165ª</t>
  </si>
  <si>
    <t>08/03/2012 - 18/04/2012</t>
  </si>
  <si>
    <t>166ª</t>
  </si>
  <si>
    <t>19/04/2012 - 30/05/2012</t>
  </si>
  <si>
    <t>167ª</t>
  </si>
  <si>
    <t>31/05/2012 - 11/07/2012</t>
  </si>
  <si>
    <t>168ª</t>
  </si>
  <si>
    <t>12/07/2012 - 29/08/2012</t>
  </si>
  <si>
    <t>169ª</t>
  </si>
  <si>
    <t>30/08/2012 - 10/10/2012</t>
  </si>
  <si>
    <t>170ª</t>
  </si>
  <si>
    <t>11/10/2012 - 28/11/2012</t>
  </si>
  <si>
    <t>171ª</t>
  </si>
  <si>
    <t>29/11/2012 - 16/01/2013</t>
  </si>
  <si>
    <t>172ª</t>
  </si>
  <si>
    <t>17/01/2013 - 06/03/2013</t>
  </si>
  <si>
    <t>173ª</t>
  </si>
  <si>
    <t>07/03/2013 - 17/04/2013</t>
  </si>
  <si>
    <t>174ª</t>
  </si>
  <si>
    <t>18/04/2013 - 29/05/2013</t>
  </si>
  <si>
    <t>175ª</t>
  </si>
  <si>
    <t>30/05/2013 - 10/07/2013</t>
  </si>
  <si>
    <t>176ª</t>
  </si>
  <si>
    <t>11/07/2013 - 28/08/2013</t>
  </si>
  <si>
    <t>177ª</t>
  </si>
  <si>
    <t>29/08/2013 - 09/10/2013</t>
  </si>
  <si>
    <t>178ª</t>
  </si>
  <si>
    <t>10/10/2013 - 27/11/2013</t>
  </si>
  <si>
    <t>179ª</t>
  </si>
  <si>
    <t>28/11/2013 - 15/01/2014</t>
  </si>
  <si>
    <t>180ª</t>
  </si>
  <si>
    <t>16/01/2014 - 26/02/2014</t>
  </si>
  <si>
    <t>181ª</t>
  </si>
  <si>
    <t>27/02/2014 - 02/04/2014</t>
  </si>
  <si>
    <t>182ª</t>
  </si>
  <si>
    <t>03/04/2014 - 28/05/2014</t>
  </si>
  <si>
    <t>183ª</t>
  </si>
  <si>
    <t>29/05/2014 - 16/07/2014</t>
  </si>
  <si>
    <t>184ª</t>
  </si>
  <si>
    <t>17/07/2014 - 03/09/2014</t>
  </si>
  <si>
    <t>185ª</t>
  </si>
  <si>
    <t>04/09/2014 - 29/10/2014</t>
  </si>
  <si>
    <t>186ª</t>
  </si>
  <si>
    <t xml:space="preserve">  30/10/2014 - 03/12/2014</t>
  </si>
  <si>
    <t>187ª</t>
  </si>
  <si>
    <t>04/12/2014 - 21/01/2015</t>
  </si>
  <si>
    <t>188ª</t>
  </si>
  <si>
    <t>22/01/2015 - 04/03/2015</t>
  </si>
  <si>
    <t>189ª</t>
  </si>
  <si>
    <t>05/03/2015 - 29/04/2015</t>
  </si>
  <si>
    <t>190ª</t>
  </si>
  <si>
    <t>30/04/2015 - 03/06/2015</t>
  </si>
  <si>
    <t>191ª</t>
  </si>
  <si>
    <t>04/06/2015 - 29/07/2015</t>
  </si>
  <si>
    <t>192ª</t>
  </si>
  <si>
    <t>30/07/2015 - 02/09/2015</t>
  </si>
  <si>
    <t>193ª</t>
  </si>
  <si>
    <t>03/09/2015 - 21/10/2015</t>
  </si>
  <si>
    <t>194ª</t>
  </si>
  <si>
    <t>22/10/2015 - 25/11/2015</t>
  </si>
  <si>
    <t>195ª</t>
  </si>
  <si>
    <t>26/11/2015 - 20/01/2016</t>
  </si>
  <si>
    <t>196ª</t>
  </si>
  <si>
    <t>21/01/2016 - 02/03/2016</t>
  </si>
  <si>
    <t>197ª</t>
  </si>
  <si>
    <t>03/03/2016 - 27/04/2016</t>
  </si>
  <si>
    <t>198ª</t>
  </si>
  <si>
    <t>28/04/2016 - 08/06/2016</t>
  </si>
  <si>
    <t>199ª</t>
  </si>
  <si>
    <t>09/06/2016 - 20/07/2016</t>
  </si>
  <si>
    <t>200ª</t>
  </si>
  <si>
    <t>21/07/2016 - 31/08/2016</t>
  </si>
  <si>
    <t>201ª</t>
  </si>
  <si>
    <t>01/09/2016 - 19/10/2016</t>
  </si>
  <si>
    <t>202ª</t>
  </si>
  <si>
    <t>20/10/2016 - 30/11/2016</t>
  </si>
  <si>
    <t>203ª</t>
  </si>
  <si>
    <t>01/12/2016 - 11/01/2017</t>
  </si>
  <si>
    <t>204ª</t>
  </si>
  <si>
    <t>12/01/2017 - 22/02/2017</t>
  </si>
  <si>
    <t>205ª</t>
  </si>
  <si>
    <t>23/02/2017 - 12/04/2017</t>
  </si>
  <si>
    <t>206ª</t>
  </si>
  <si>
    <t>13/04/2017 - 31/05/2017</t>
  </si>
  <si>
    <t>207ª</t>
  </si>
  <si>
    <t>01/06/2017 - 26/07/2017</t>
  </si>
  <si>
    <t>208ª</t>
  </si>
  <si>
    <t>27/07/2017 - 06/09/2017</t>
  </si>
  <si>
    <t>209ª</t>
  </si>
  <si>
    <t>08/09/2017 - 25/10/2017</t>
  </si>
  <si>
    <t>210ª</t>
  </si>
  <si>
    <t>26/10/2017 - 06/12/2017</t>
  </si>
  <si>
    <t>211ª</t>
  </si>
  <si>
    <t>07/12/2017 - 07/02/2018</t>
  </si>
  <si>
    <t>212ª</t>
  </si>
  <si>
    <t>08/02/2018 - 21/03/2018</t>
  </si>
  <si>
    <t>213ª</t>
  </si>
  <si>
    <t>22/03/2018 - 16/05/2018</t>
  </si>
  <si>
    <t>214ª</t>
  </si>
  <si>
    <t>17/05/2018 - 20/06/2018</t>
  </si>
  <si>
    <t>215ª</t>
  </si>
  <si>
    <t>21/06/2018 - 01/08/2018</t>
  </si>
  <si>
    <t>216ª</t>
  </si>
  <si>
    <t>02/08/2018 - 19/09/2018</t>
  </si>
  <si>
    <t>217ª</t>
  </si>
  <si>
    <t>20/09/2018 - 31/10/2018</t>
  </si>
  <si>
    <t>218ª</t>
  </si>
  <si>
    <t>01/11/2018 - 12/12/2018</t>
  </si>
  <si>
    <t>219ª</t>
  </si>
  <si>
    <t>13/12/2018 - 06/02/2019</t>
  </si>
  <si>
    <t>220ª</t>
  </si>
  <si>
    <t>07/02/2019 - 20/03/2019</t>
  </si>
  <si>
    <t>221ª</t>
  </si>
  <si>
    <t>21/03/2019 - 08/05/2019</t>
  </si>
  <si>
    <t>222ª</t>
  </si>
  <si>
    <t>09/05/2019 - 20/06/2019</t>
  </si>
  <si>
    <t>223ª</t>
  </si>
  <si>
    <t>21/06/2019 - 31/07/2019</t>
  </si>
  <si>
    <t>224ª</t>
  </si>
  <si>
    <t>01/08/2019 - 18/09/2019</t>
  </si>
  <si>
    <t>225ª</t>
  </si>
  <si>
    <t>19/09/2019 - 30/10/2019</t>
  </si>
  <si>
    <t>226ª</t>
  </si>
  <si>
    <t>31/10/2019 - 11/12/2019</t>
  </si>
  <si>
    <t>227ª</t>
  </si>
  <si>
    <t>12/12/2019 - 05/02/2020</t>
  </si>
  <si>
    <t>228ª</t>
  </si>
  <si>
    <t>06/02/2020 - 18/03/2020</t>
  </si>
  <si>
    <t>229ª</t>
  </si>
  <si>
    <t>19/03/2020 - 06/05/2020</t>
  </si>
  <si>
    <t>230ª</t>
  </si>
  <si>
    <t xml:space="preserve">06/05/2020	</t>
  </si>
  <si>
    <t>07/05/2020 - 17/06/2020</t>
  </si>
  <si>
    <t>231ª</t>
  </si>
  <si>
    <t xml:space="preserve">17/06/2020	</t>
  </si>
  <si>
    <t>18/06/2020 - 05/08/2020</t>
  </si>
  <si>
    <t>232ª</t>
  </si>
  <si>
    <t xml:space="preserve">05/08/2020	</t>
  </si>
  <si>
    <t>06/08/2020 - 16/09/2020</t>
  </si>
  <si>
    <t>233ª</t>
  </si>
  <si>
    <t>17/09/2020 - 28/10/2020</t>
  </si>
  <si>
    <t>234ª</t>
  </si>
  <si>
    <t>29/10/2020 - 09/12/2020</t>
  </si>
  <si>
    <t>235ª</t>
  </si>
  <si>
    <t>10/12/2020 - 20/01/2021</t>
  </si>
  <si>
    <t>236ª</t>
  </si>
  <si>
    <t>21/01/2021 - 17/03/2021</t>
  </si>
  <si>
    <t>237ª</t>
  </si>
  <si>
    <t>18/03/2021 - 05/05/2021</t>
  </si>
  <si>
    <t>238ª</t>
  </si>
  <si>
    <t>06/05/2021 - 16/06/2021</t>
  </si>
  <si>
    <t>239ª</t>
  </si>
  <si>
    <t>17/06/2021 - 04/08/2021</t>
  </si>
  <si>
    <t>240ª</t>
  </si>
  <si>
    <t>05/08/2021 - 22/09/2021</t>
  </si>
  <si>
    <t>241ª</t>
  </si>
  <si>
    <t>23/09/2021 - 27/10/2021</t>
  </si>
  <si>
    <t>242ª</t>
  </si>
  <si>
    <t>28/10/2021 - 08/12/2021</t>
  </si>
  <si>
    <t>243ª</t>
  </si>
  <si>
    <t>09/12/2021 - 02/02/2022</t>
  </si>
  <si>
    <t>244ª</t>
  </si>
  <si>
    <t>03/02/2022 - 16/03/2022</t>
  </si>
  <si>
    <t>245ª</t>
  </si>
  <si>
    <t>17/03/2022 - 04/05/2022</t>
  </si>
  <si>
    <t>246ª</t>
  </si>
  <si>
    <t>05/05/2022 - 16/06/2022</t>
  </si>
  <si>
    <t>247ª</t>
  </si>
  <si>
    <t>17/06/2022 - 03/08/2022</t>
  </si>
  <si>
    <t>248ª</t>
  </si>
  <si>
    <t>04/08/2022 - 21/09/2022</t>
  </si>
  <si>
    <t>249ª</t>
  </si>
  <si>
    <t>22/09/2022 - 26/10/2022</t>
  </si>
  <si>
    <t>250ª</t>
  </si>
  <si>
    <t>27/10/2022 - 07/12/2022</t>
  </si>
  <si>
    <t>251ª</t>
  </si>
  <si>
    <t>08/12/2022 - 01/02/2023</t>
  </si>
  <si>
    <t>252ª</t>
  </si>
  <si>
    <t>02/02/2023 - 22/03/2023</t>
  </si>
  <si>
    <t>253ª</t>
  </si>
  <si>
    <t>23/03/2023 - 03/05/2023</t>
  </si>
  <si>
    <t>254ª</t>
  </si>
  <si>
    <t>04/05/2023 - 21/06/2023</t>
  </si>
  <si>
    <t>255ª</t>
  </si>
  <si>
    <t xml:space="preserve">21/06/2023	</t>
  </si>
  <si>
    <t>22/06/2023 - 02/08/2023</t>
  </si>
  <si>
    <t>256ª</t>
  </si>
  <si>
    <t>03/08/2023 - 20/09/2023</t>
  </si>
  <si>
    <t>257ª</t>
  </si>
  <si>
    <t>21/09/2023 - 02/11/2023</t>
  </si>
  <si>
    <t>258ª</t>
  </si>
  <si>
    <t xml:space="preserve">03/11/2023 - 13/12/2023	</t>
  </si>
  <si>
    <t>259ª</t>
  </si>
  <si>
    <t>14/12/2023 - 31/01/2024</t>
  </si>
  <si>
    <t>260ª</t>
  </si>
  <si>
    <t>01/02/2024 - 20/03/2024</t>
  </si>
  <si>
    <t>261ª</t>
  </si>
  <si>
    <t>21/03/2024 - 08/05/2024</t>
  </si>
  <si>
    <t>262ª</t>
  </si>
  <si>
    <t xml:space="preserve">08/05/2024	</t>
  </si>
  <si>
    <t>09/05/2024 - 19/06/2024</t>
  </si>
  <si>
    <t>263ª</t>
  </si>
  <si>
    <t xml:space="preserve">20/06/2024 - 31/07/2024	</t>
  </si>
  <si>
    <t>264ª</t>
  </si>
  <si>
    <t>01/08/2024 - 18/09/2024</t>
  </si>
  <si>
    <t>265ª</t>
  </si>
  <si>
    <t>19/09/2024 - 06/11/2024</t>
  </si>
  <si>
    <t>266ª</t>
  </si>
  <si>
    <t>07/11/2024 - 11/12/2024</t>
  </si>
  <si>
    <t>267ª</t>
  </si>
  <si>
    <t>12/12/2024 - 29/01/2025</t>
  </si>
  <si>
    <t>268ª</t>
  </si>
  <si>
    <t xml:space="preserve">30/01/2025 - 19/03/2025	</t>
  </si>
  <si>
    <t>269ª</t>
  </si>
  <si>
    <t xml:space="preserve">20/03/2025 - 07/05/2025	</t>
  </si>
  <si>
    <t>270ª</t>
  </si>
  <si>
    <t>20/03/2025 - 18/06/2025</t>
  </si>
  <si>
    <t>271ª</t>
  </si>
  <si>
    <t xml:space="preserve">20/06/2025 - 30/07/2025	</t>
  </si>
  <si>
    <t>272ª</t>
  </si>
  <si>
    <t>31/07/2025 - 17/09/2025</t>
  </si>
  <si>
    <t>273ª</t>
  </si>
  <si>
    <t>18/09/2025 - 05/11/2025</t>
  </si>
  <si>
    <t>274ª</t>
  </si>
  <si>
    <t>06/11/2025 - 10/12/2025</t>
  </si>
  <si>
    <t>275ª</t>
  </si>
  <si>
    <t>11/12/2025 - 28/01/2026</t>
  </si>
  <si>
    <t>276ª</t>
  </si>
  <si>
    <t>29/01/2026 - 18/03/2026</t>
  </si>
  <si>
    <t>277ª</t>
  </si>
  <si>
    <t>19/03/2026 - 29/04/2026</t>
  </si>
  <si>
    <t>278ª</t>
  </si>
  <si>
    <t>30/04/2026 - 17/06/2026</t>
  </si>
  <si>
    <t>279ª</t>
  </si>
  <si>
    <t>18/06/2026 -</t>
  </si>
  <si>
    <t>Fonte: BACEN</t>
  </si>
  <si>
    <t>https://www.bcb.gov.br/controleinflacao/historicotaxasjuros</t>
  </si>
  <si>
    <t>Taxa de Juros Selic</t>
  </si>
  <si>
    <t xml:space="preserve">TÍTULOS PÚBLICOS - SELIC | TAXA OVERNIGHT COMPOSTA </t>
  </si>
  <si>
    <t>CORREÇÃO DE TRIBUTOS FEDERAIS</t>
  </si>
  <si>
    <t>Taxa (% a/m)</t>
  </si>
  <si>
    <t>Taxa(% a/a)</t>
  </si>
  <si>
    <t>Fonte: Receita Federal</t>
  </si>
  <si>
    <t>Incide sobre o valor nominal dos débitos com a Receita Federal.</t>
  </si>
  <si>
    <t>Multa de 0,33% ao dia, limitada a 20% sobre o valor nominal.</t>
  </si>
  <si>
    <t>https://www.bcb.gov.br/estabilidadefinanceira/selicfatoresacumulados</t>
  </si>
  <si>
    <t>TAXA DE JUROS SELIC | ACUMULADA</t>
  </si>
  <si>
    <t>Assim, os juros de mora, incidentes sobre tributos federais, cujos fatos geradores tenham ocorrido a partir de 1º de janeiro de 1995, devem ser calculados, no mês de JUNHO de 2026, nos percentuais abaixo indicados, conforme o mês em que se venceu o prazo legal para pagamento:</t>
  </si>
  <si>
    <t>Ano/Mês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</si>
  <si>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</si>
  <si>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</si>
  <si>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</si>
  <si>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</si>
  <si>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</si>
  <si>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</si>
  <si>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</si>
  <si>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</si>
  <si>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</si>
  <si>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</si>
  <si>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</si>
  <si>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</si>
  <si>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https://sicalc.receita.economia.gov.br/sicalc/selic/consulta</t>
  </si>
  <si>
    <t xml:space="preserve">     Taxa de Juros de Longo Prazo 
TJLP</t>
  </si>
  <si>
    <t>TAXA DE JUROS DE LONGO PRAZO</t>
  </si>
  <si>
    <t>TJLP</t>
  </si>
  <si>
    <t>Taxa (% a/a)</t>
  </si>
  <si>
    <t>OBS: Dia 29/06/09, o Governo reduziu a TJLP de 6,25% para 6,0%</t>
  </si>
  <si>
    <t>Fonte: http://www.bndes.gov.br/</t>
  </si>
  <si>
    <t>* Fator de atualização =  fator que atualiza valores de meses passados, cotados</t>
  </si>
  <si>
    <t>em moeda corrente, até o último mês da tabela acima.</t>
  </si>
  <si>
    <t>http://www.bndes.gov.br/SiteBNDES/bndes/bndes_pt/Ferramentas_e_Normas/Custos_Financeiros/Taxa_de_Juros_de_Longo_Prazo_TJLP/index.html</t>
  </si>
  <si>
    <t>DÓLAR DO ÚLTIMO DIA DO MÊS 
CÂMBIO LIVRE | VENDA</t>
  </si>
  <si>
    <t>COTAÇÕES EM REAL</t>
  </si>
  <si>
    <t>Base: Dezembro 1993 = 100</t>
  </si>
  <si>
    <t>EVOLUÇÃO DO SALÁRIO MÍNIMO</t>
  </si>
  <si>
    <t>Base: Janeiro 1995 = 100</t>
  </si>
  <si>
    <t>R$</t>
  </si>
  <si>
    <t>índice nominal</t>
  </si>
  <si>
    <t>IGPDI</t>
  </si>
  <si>
    <t>índice real</t>
  </si>
  <si>
    <t xml:space="preserve">     * R$ 1,00 = Cr$ 2.750,00 em 01/07/94</t>
  </si>
  <si>
    <t xml:space="preserve">   (**) Salário deflacionado pelo IGP-DI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</si>
</sst>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mmm\-yy"/>
    <numFmt numFmtId="165" formatCode="0.00_ ;[Red]\-0.00\ "/>
    <numFmt numFmtId="166" formatCode="0.00000"/>
    <numFmt numFmtId="167" formatCode="#,##0.00_);[Red]\(#,##0.00\)"/>
    <numFmt numFmtId="168" formatCode="0.0000E+00"/>
    <numFmt numFmtId="169" formatCode="mmmm\-yy"/>
    <numFmt numFmtId="170" formatCode="0.0000"/>
    <numFmt numFmtId="171" formatCode="#,##0.0000"/>
    <numFmt numFmtId="172" formatCode="#,##0.000"/>
    <numFmt numFmtId="173" formatCode="0.00000_ ;[Red]\-0.00000\ "/>
    <numFmt numFmtId="174" formatCode="0.000"/>
    <numFmt numFmtId="175" formatCode="#,##0.00_ ;[Red]\-#,##0.00\ "/>
    <numFmt numFmtId="176" formatCode="_(* #,##0.0000_);_(* \(#,##0.0000\);_(* &quot;-&quot;??_);_(@_)"/>
    <numFmt numFmtId="177" formatCode="#,##0.00;[Red]#,##0.00"/>
    <numFmt numFmtId="178" formatCode="#,##0.000_);[Red]\(#,##0.000\)"/>
    <numFmt numFmtId="179" formatCode="#,##0.0000_);[Red]\(#,##0.0000\)"/>
    <numFmt numFmtId="180" formatCode="0.00000000"/>
  </numFmts>
  <fonts count="8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u/>
      <sz val="10.45"/>
      <color indexed="12"/>
      <name val="Arial"/>
      <family val="2"/>
    </font>
    <font>
      <b/>
      <sz val="10"/>
      <color rgb="FF184782"/>
      <name val="Aptos Narrow"/>
      <family val="2"/>
      <scheme val="minor"/>
    </font>
    <font>
      <sz val="10"/>
      <name val="Arial"/>
      <family val="2"/>
    </font>
    <font>
      <b/>
      <sz val="18"/>
      <color rgb="FF184782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name val="Aptos Narrow"/>
      <family val="2"/>
      <scheme val="minor"/>
    </font>
    <font>
      <sz val="10"/>
      <name val="Times New Roman"/>
      <family val="1"/>
    </font>
    <font>
      <b/>
      <sz val="12"/>
      <name val="Aptos Narrow"/>
      <family val="2"/>
      <scheme val="minor"/>
    </font>
    <font>
      <sz val="12"/>
      <color rgb="FF184782"/>
      <name val="Aptos Narrow"/>
      <family val="2"/>
      <scheme val="minor"/>
    </font>
    <font>
      <b/>
      <sz val="10"/>
      <name val="Aptos Narrow"/>
      <family val="2"/>
      <scheme val="minor"/>
    </font>
    <font>
      <b/>
      <sz val="15"/>
      <color rgb="FF184782"/>
      <name val="Aptos Narrow"/>
      <family val="2"/>
      <scheme val="minor"/>
    </font>
    <font>
      <sz val="12"/>
      <name val="Calibri"/>
      <family val="2"/>
    </font>
    <font>
      <b/>
      <i/>
      <sz val="12"/>
      <name val="Aptos Narrow"/>
      <family val="2"/>
      <scheme val="minor"/>
    </font>
    <font>
      <i/>
      <sz val="12"/>
      <name val="Aptos Narrow"/>
      <family val="2"/>
      <scheme val="minor"/>
    </font>
    <font>
      <b/>
      <sz val="12"/>
      <color rgb="FF184782"/>
      <name val="Calibri"/>
      <family val="2"/>
    </font>
    <font>
      <b/>
      <sz val="12"/>
      <name val="Calibri"/>
      <family val="2"/>
    </font>
    <font>
      <b/>
      <sz val="11"/>
      <color theme="0"/>
      <name val="Calibri"/>
      <family val="2"/>
    </font>
    <font>
      <sz val="11.5"/>
      <name val="Calibri"/>
      <family val="2"/>
    </font>
    <font>
      <b/>
      <sz val="11.5"/>
      <color rgb="FF184782"/>
      <name val="Calibri"/>
      <family val="2"/>
    </font>
    <font>
      <b/>
      <sz val="9"/>
      <color rgb="FF184782"/>
      <name val="Calibri"/>
      <family val="2"/>
    </font>
    <font>
      <sz val="11"/>
      <name val="Calibri"/>
      <family val="2"/>
    </font>
    <font>
      <b/>
      <sz val="16"/>
      <color rgb="FF184782"/>
      <name val="Calibri"/>
      <family val="2"/>
    </font>
    <font>
      <b/>
      <sz val="13"/>
      <color indexed="9"/>
      <name val="Calibri"/>
      <family val="2"/>
    </font>
    <font>
      <b/>
      <i/>
      <sz val="13"/>
      <color indexed="9"/>
      <name val="Calibri"/>
      <family val="2"/>
    </font>
    <font>
      <b/>
      <sz val="12"/>
      <color theme="0"/>
      <name val="Calibri"/>
      <family val="2"/>
    </font>
    <font>
      <b/>
      <sz val="13"/>
      <color theme="0"/>
      <name val="Calibri"/>
      <family val="2"/>
    </font>
    <font>
      <b/>
      <sz val="11"/>
      <name val="Calibri"/>
      <family val="2"/>
    </font>
    <font>
      <sz val="11.6"/>
      <name val="Calibri"/>
      <family val="2"/>
    </font>
    <font>
      <b/>
      <sz val="10"/>
      <color rgb="FF184782"/>
      <name val="Calibri"/>
      <family val="2"/>
    </font>
    <font>
      <b/>
      <sz val="14"/>
      <color rgb="FF184782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b/>
      <sz val="11"/>
      <color rgb="FF184782"/>
      <name val="Calibri"/>
      <family val="2"/>
    </font>
    <font>
      <sz val="10"/>
      <name val="Calibri"/>
      <family val="2"/>
    </font>
    <font>
      <b/>
      <sz val="18"/>
      <color rgb="FF184782"/>
      <name val="Calibri"/>
      <family val="2"/>
    </font>
    <font>
      <sz val="12"/>
      <color theme="0"/>
      <name val="Calibri"/>
      <family val="2"/>
    </font>
    <font>
      <sz val="12"/>
      <color rgb="FFFF0000"/>
      <name val="Calibri"/>
      <family val="2"/>
    </font>
    <font>
      <sz val="9"/>
      <color rgb="FF003399"/>
      <name val="Calibri"/>
      <family val="2"/>
    </font>
    <font>
      <sz val="10"/>
      <color rgb="FFFF0000"/>
      <name val="Calibri"/>
      <family val="2"/>
    </font>
    <font>
      <b/>
      <i/>
      <sz val="10"/>
      <color rgb="FF184782"/>
      <name val="Calibri"/>
      <family val="2"/>
    </font>
    <font>
      <sz val="10"/>
      <color theme="0"/>
      <name val="Calibri"/>
      <family val="2"/>
    </font>
    <font>
      <b/>
      <sz val="11.5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13"/>
      <name val="Calibri"/>
      <family val="2"/>
    </font>
    <font>
      <sz val="13"/>
      <color indexed="8"/>
      <name val="Calibri"/>
      <family val="2"/>
    </font>
    <font>
      <u/>
      <sz val="10.45"/>
      <color indexed="12"/>
      <name val="Calibri"/>
      <family val="2"/>
    </font>
    <font>
      <sz val="10"/>
      <color indexed="8"/>
      <name val="Calibri"/>
      <family val="2"/>
    </font>
    <font>
      <b/>
      <i/>
      <sz val="16"/>
      <color theme="0"/>
      <name val="Calibri"/>
      <family val="2"/>
    </font>
    <font>
      <b/>
      <i/>
      <sz val="14"/>
      <color theme="0"/>
      <name val="Calibri"/>
      <family val="2"/>
    </font>
    <font>
      <b/>
      <i/>
      <sz val="20"/>
      <color rgb="FF184782"/>
      <name val="Calibri"/>
      <family val="2"/>
    </font>
    <font>
      <b/>
      <sz val="14"/>
      <color theme="0"/>
      <name val="Calibri"/>
      <family val="2"/>
    </font>
    <font>
      <sz val="8"/>
      <color rgb="FFFF0000"/>
      <name val="Calibri"/>
      <family val="2"/>
    </font>
    <font>
      <sz val="11.5"/>
      <color theme="0"/>
      <name val="Calibri"/>
      <family val="2"/>
    </font>
    <font>
      <b/>
      <sz val="26"/>
      <color rgb="FF184782"/>
      <name val="Calibri"/>
      <family val="2"/>
    </font>
    <font>
      <b/>
      <i/>
      <sz val="10.5"/>
      <color theme="0"/>
      <name val="Calibri"/>
      <family val="2"/>
    </font>
    <font>
      <b/>
      <sz val="11.5"/>
      <color theme="0"/>
      <name val="Calibri"/>
      <family val="2"/>
    </font>
    <font>
      <sz val="12"/>
      <color rgb="FF555555"/>
      <name val="Calibri"/>
      <family val="2"/>
    </font>
    <font>
      <b/>
      <sz val="13"/>
      <name val="Calibri"/>
      <family val="2"/>
    </font>
    <font>
      <sz val="13"/>
      <color theme="0"/>
      <name val="Calibri"/>
      <family val="2"/>
    </font>
    <font>
      <sz val="9"/>
      <color rgb="FF000000"/>
      <name val="Calibri"/>
      <family val="2"/>
    </font>
    <font>
      <sz val="11"/>
      <color rgb="FF184782"/>
      <name val="Calibri"/>
      <family val="2"/>
    </font>
    <font>
      <sz val="12"/>
      <color rgb="FF184782"/>
      <name val="Calibri"/>
      <family val="2"/>
    </font>
    <font>
      <b/>
      <sz val="12"/>
      <color indexed="9"/>
      <name val="Calibri"/>
      <family val="2"/>
    </font>
    <font>
      <b/>
      <i/>
      <sz val="8"/>
      <color indexed="10"/>
      <name val="Calibri"/>
      <family val="2"/>
    </font>
    <font>
      <b/>
      <sz val="10"/>
      <name val="Calibri"/>
      <family val="2"/>
    </font>
    <font>
      <b/>
      <sz val="8.5"/>
      <color rgb="FF184782"/>
      <name val="Calibri"/>
      <family val="2"/>
    </font>
    <font>
      <u/>
      <sz val="10.45"/>
      <color theme="0"/>
      <name val="Calibri"/>
      <family val="2"/>
    </font>
    <font>
      <i/>
      <sz val="12"/>
      <color rgb="FF184782"/>
      <name val="Calibri"/>
      <family val="2"/>
    </font>
    <font>
      <b/>
      <sz val="15"/>
      <color rgb="FF184782"/>
      <name val="Calibri"/>
      <family val="2"/>
    </font>
    <font>
      <b/>
      <sz val="14"/>
      <name val="Calibri"/>
      <family val="2"/>
    </font>
    <font>
      <b/>
      <i/>
      <sz val="13"/>
      <name val="Calibri"/>
      <family val="2"/>
    </font>
    <font>
      <sz val="8"/>
      <name val="Aptos Narrow"/>
      <family val="2"/>
      <scheme val="minor"/>
    </font>
    <font>
      <sz val="10"/>
      <color rgb="FF000000"/>
      <name val="Verdana"/>
      <family val="2"/>
    </font>
    <font>
      <sz val="11"/>
      <color rgb="FF57607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84782"/>
        <bgColor indexed="64"/>
      </patternFill>
    </fill>
    <fill>
      <patternFill patternType="solid">
        <fgColor rgb="FFCF9E4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184682"/>
        <bgColor indexed="64"/>
      </patternFill>
    </fill>
  </fills>
  <borders count="152">
    <border>
      <left/>
      <right/>
      <top/>
      <bottom/>
      <diagonal/>
    </border>
    <border>
      <left/>
      <right/>
      <top/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/>
      <top style="thin">
        <color theme="0" tint="-0.14996795556505021"/>
      </top>
      <bottom/>
      <diagonal/>
    </border>
    <border>
      <left style="medium">
        <color rgb="FF184782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rgb="FF184782"/>
      </top>
      <bottom/>
      <diagonal/>
    </border>
    <border>
      <left style="medium">
        <color theme="0" tint="-0.14996795556505021"/>
      </left>
      <right/>
      <top style="medium">
        <color theme="0" tint="-0.14993743705557422"/>
      </top>
      <bottom/>
      <diagonal/>
    </border>
    <border>
      <left style="medium">
        <color theme="0" tint="-0.14996795556505021"/>
      </left>
      <right/>
      <top/>
      <bottom style="medium">
        <color theme="0" tint="-0.14993743705557422"/>
      </bottom>
      <diagonal/>
    </border>
    <border>
      <left style="medium">
        <color rgb="FF184782"/>
      </left>
      <right style="medium">
        <color rgb="FF184782"/>
      </right>
      <top/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/>
      <bottom style="medium">
        <color rgb="FF184782"/>
      </bottom>
      <diagonal/>
    </border>
    <border>
      <left style="medium">
        <color rgb="FF184782"/>
      </left>
      <right style="medium">
        <color rgb="FF184782"/>
      </right>
      <top style="medium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/>
      <right style="medium">
        <color rgb="FF184782"/>
      </right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/>
      <top style="medium">
        <color rgb="FF184782"/>
      </top>
      <bottom/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/>
      <diagonal/>
    </border>
    <border>
      <left style="medium">
        <color rgb="FF184782"/>
      </left>
      <right/>
      <top style="medium">
        <color theme="0" tint="-0.14996795556505021"/>
      </top>
      <bottom style="medium">
        <color rgb="FF184782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/>
      <bottom style="thin">
        <color theme="0" tint="-0.14996795556505021"/>
      </bottom>
      <diagonal/>
    </border>
    <border>
      <left style="medium">
        <color rgb="FF184782"/>
      </left>
      <right style="medium">
        <color rgb="FF184782"/>
      </right>
      <top style="medium">
        <color rgb="FF184782"/>
      </top>
      <bottom/>
      <diagonal/>
    </border>
    <border>
      <left/>
      <right style="medium">
        <color theme="0" tint="-0.14996795556505021"/>
      </right>
      <top/>
      <bottom style="thin">
        <color theme="0" tint="-0.14996795556505021"/>
      </bottom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/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rgb="FF184782"/>
      </right>
      <top/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/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rgb="FF184782"/>
      </right>
      <top/>
      <bottom/>
      <diagonal/>
    </border>
    <border>
      <left/>
      <right style="medium">
        <color rgb="FF184782"/>
      </right>
      <top style="medium">
        <color rgb="FF184782"/>
      </top>
      <bottom/>
      <diagonal/>
    </border>
    <border>
      <left/>
      <right style="medium">
        <color rgb="FF184782"/>
      </right>
      <top/>
      <bottom/>
      <diagonal/>
    </border>
    <border>
      <left style="medium">
        <color rgb="FFCF9E4D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theme="0" tint="-0.14993743705557422"/>
      </bottom>
      <diagonal/>
    </border>
    <border>
      <left style="medium">
        <color theme="0" tint="-0.14990691854609822"/>
      </left>
      <right/>
      <top/>
      <bottom style="medium">
        <color theme="0" tint="-0.14993743705557422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/>
      <diagonal/>
    </border>
    <border>
      <left style="medium">
        <color theme="0" tint="-0.14990691854609822"/>
      </left>
      <right style="medium">
        <color theme="0" tint="-0.1498764000366222"/>
      </right>
      <top style="medium">
        <color theme="0" tint="-0.14993743705557422"/>
      </top>
      <bottom/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93743705557422"/>
      </top>
      <bottom/>
      <diagonal/>
    </border>
    <border>
      <left style="medium">
        <color theme="0" tint="-0.1498458815271462"/>
      </left>
      <right style="medium">
        <color theme="0" tint="-0.14981536301767021"/>
      </right>
      <top style="medium">
        <color theme="0" tint="-0.14993743705557422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93743705557422"/>
      </top>
      <bottom/>
      <diagonal/>
    </border>
    <border>
      <left style="medium">
        <color theme="0" tint="-0.14978484450819421"/>
      </left>
      <right style="medium">
        <color theme="0" tint="-0.1497543259987182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 tint="-0.14987640003662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 tint="-0.14981536301767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78484450819421"/>
      </left>
      <right style="medium">
        <color theme="0" tint="-0.149754325998718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theme="0" tint="-0.149906918546098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0691854609822"/>
      </left>
      <right style="medium">
        <color theme="0" tint="-0.14987640003662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8764000366222"/>
      </left>
      <right style="medium">
        <color theme="0" tint="-0.149845881527146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8458815271462"/>
      </left>
      <right style="medium">
        <color theme="0" tint="-0.14981536301767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81536301767021"/>
      </left>
      <right style="medium">
        <color theme="0" tint="-0.149784844508194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78484450819421"/>
      </left>
      <right style="medium">
        <color theme="0" tint="-0.14975432599871821"/>
      </right>
      <top style="thin">
        <color theme="0" tint="-0.14996795556505021"/>
      </top>
      <bottom style="medium">
        <color rgb="FF184782"/>
      </bottom>
      <diagonal/>
    </border>
    <border>
      <left/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/>
      <diagonal/>
    </border>
    <border>
      <left style="medium">
        <color rgb="FF184782"/>
      </left>
      <right style="medium">
        <color theme="0" tint="-0.14993743705557422"/>
      </right>
      <top/>
      <bottom style="medium">
        <color rgb="FF18478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rgb="FF184782"/>
      </bottom>
      <diagonal/>
    </border>
    <border>
      <left style="medium">
        <color theme="0" tint="-0.14993743705557422"/>
      </left>
      <right style="medium">
        <color rgb="FF184782"/>
      </right>
      <top/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84682"/>
      </left>
      <right/>
      <top style="medium">
        <color theme="0" tint="-0.14996795556505021"/>
      </top>
      <bottom/>
      <diagonal/>
    </border>
    <border>
      <left style="medium">
        <color rgb="FF184682"/>
      </left>
      <right/>
      <top/>
      <bottom/>
      <diagonal/>
    </border>
    <border>
      <left style="medium">
        <color rgb="FF184682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682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theme="0" tint="-0.14993743705557422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rgb="FF18468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rgb="FF1846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6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thin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/>
      <top/>
      <bottom style="medium">
        <color rgb="FF184782"/>
      </bottom>
      <diagonal/>
    </border>
    <border>
      <left style="medium">
        <color rgb="FF184682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medium">
        <color theme="0" tint="-0.14996795556505021"/>
      </right>
      <top style="thin">
        <color theme="0" tint="-0.14993743705557422"/>
      </top>
      <bottom/>
      <diagonal/>
    </border>
    <border>
      <left style="medium">
        <color theme="0" tint="-0.14996795556505021"/>
      </left>
      <right/>
      <top style="thin">
        <color theme="0" tint="-0.14993743705557422"/>
      </top>
      <bottom/>
      <diagonal/>
    </border>
    <border>
      <left style="medium">
        <color rgb="FF18478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/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rgb="FF184782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ck">
        <color theme="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9" fontId="10" fillId="0" borderId="0" applyFont="0" applyFill="0" applyBorder="0" applyAlignment="0" applyProtection="0"/>
    <xf numFmtId="0" fontId="10" fillId="0" borderId="0"/>
    <xf numFmtId="44" fontId="1" fillId="0" borderId="0" applyFont="0" applyFill="0" applyBorder="0" applyAlignment="0" applyProtection="0"/>
  </cellStyleXfs>
  <cellXfs count="814">
    <xf numFmtId="0" fontId="0" fillId="0" borderId="0" xfId="0"/>
    <xf numFmtId="0" fontId="2" fillId="0" borderId="0" xfId="0" applyFont="1"/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/>
    </xf>
    <xf numFmtId="169" fontId="3" fillId="2" borderId="1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0" xfId="0" quotePrefix="1" applyFont="1" applyAlignment="1">
      <alignment horizontal="left" vertical="center"/>
    </xf>
    <xf numFmtId="0" fontId="9" fillId="5" borderId="0" xfId="0" applyFont="1" applyFill="1" applyAlignment="1">
      <alignment vertical="center"/>
    </xf>
    <xf numFmtId="0" fontId="13" fillId="0" borderId="126" xfId="0" applyFont="1" applyBorder="1" applyAlignment="1">
      <alignment vertical="center"/>
    </xf>
    <xf numFmtId="0" fontId="13" fillId="0" borderId="126" xfId="0" applyFont="1" applyBorder="1" applyAlignment="1">
      <alignment horizontal="center" vertical="center"/>
    </xf>
    <xf numFmtId="0" fontId="9" fillId="0" borderId="126" xfId="0" applyFont="1" applyBorder="1" applyAlignment="1">
      <alignment vertical="center"/>
    </xf>
    <xf numFmtId="4" fontId="9" fillId="0" borderId="126" xfId="0" applyNumberFormat="1" applyFont="1" applyBorder="1" applyAlignment="1">
      <alignment horizontal="center" vertical="center"/>
    </xf>
    <xf numFmtId="2" fontId="9" fillId="0" borderId="126" xfId="0" applyNumberFormat="1" applyFont="1" applyBorder="1" applyAlignment="1">
      <alignment horizontal="center" vertical="center"/>
    </xf>
    <xf numFmtId="17" fontId="16" fillId="0" borderId="0" xfId="0" applyNumberFormat="1" applyFont="1"/>
    <xf numFmtId="0" fontId="17" fillId="0" borderId="0" xfId="0" applyFont="1"/>
    <xf numFmtId="0" fontId="16" fillId="0" borderId="0" xfId="0" applyFont="1"/>
    <xf numFmtId="0" fontId="15" fillId="8" borderId="26" xfId="0" applyFont="1" applyFill="1" applyBorder="1" applyAlignment="1">
      <alignment vertical="center"/>
    </xf>
    <xf numFmtId="49" fontId="15" fillId="8" borderId="26" xfId="0" applyNumberFormat="1" applyFont="1" applyFill="1" applyBorder="1" applyAlignment="1">
      <alignment vertical="center"/>
    </xf>
    <xf numFmtId="0" fontId="15" fillId="8" borderId="26" xfId="0" applyFont="1" applyFill="1" applyBorder="1" applyAlignment="1">
      <alignment horizontal="left" vertical="center" wrapText="1"/>
    </xf>
    <xf numFmtId="0" fontId="15" fillId="8" borderId="34" xfId="0" applyFont="1" applyFill="1" applyBorder="1" applyAlignment="1">
      <alignment vertical="center"/>
    </xf>
    <xf numFmtId="0" fontId="19" fillId="8" borderId="22" xfId="0" applyFont="1" applyFill="1" applyBorder="1" applyAlignment="1">
      <alignment horizontal="left" vertical="top" wrapText="1"/>
    </xf>
    <xf numFmtId="0" fontId="19" fillId="8" borderId="26" xfId="0" applyFont="1" applyFill="1" applyBorder="1" applyAlignment="1">
      <alignment horizontal="left" vertical="top" wrapText="1"/>
    </xf>
    <xf numFmtId="0" fontId="19" fillId="8" borderId="26" xfId="0" applyFont="1" applyFill="1" applyBorder="1" applyAlignment="1">
      <alignment horizontal="left" vertical="top" shrinkToFit="1"/>
    </xf>
    <xf numFmtId="17" fontId="20" fillId="3" borderId="2" xfId="0" applyNumberFormat="1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35" xfId="0" applyFont="1" applyFill="1" applyBorder="1" applyAlignment="1">
      <alignment horizontal="center" vertical="center" wrapText="1"/>
    </xf>
    <xf numFmtId="167" fontId="21" fillId="0" borderId="125" xfId="0" applyNumberFormat="1" applyFont="1" applyBorder="1" applyAlignment="1">
      <alignment horizontal="center" vertical="center"/>
    </xf>
    <xf numFmtId="167" fontId="21" fillId="0" borderId="20" xfId="0" applyNumberFormat="1" applyFont="1" applyBorder="1" applyAlignment="1">
      <alignment horizontal="center" vertical="center"/>
    </xf>
    <xf numFmtId="167" fontId="21" fillId="0" borderId="39" xfId="0" applyNumberFormat="1" applyFont="1" applyBorder="1" applyAlignment="1">
      <alignment horizontal="center" vertical="center"/>
    </xf>
    <xf numFmtId="167" fontId="21" fillId="0" borderId="75" xfId="0" applyNumberFormat="1" applyFont="1" applyBorder="1" applyAlignment="1">
      <alignment horizontal="center" vertical="center"/>
    </xf>
    <xf numFmtId="167" fontId="21" fillId="0" borderId="40" xfId="0" applyNumberFormat="1" applyFont="1" applyBorder="1" applyAlignment="1">
      <alignment horizontal="center" vertical="center"/>
    </xf>
    <xf numFmtId="167" fontId="21" fillId="0" borderId="24" xfId="0" applyNumberFormat="1" applyFont="1" applyBorder="1" applyAlignment="1">
      <alignment horizontal="center" vertical="center"/>
    </xf>
    <xf numFmtId="177" fontId="21" fillId="0" borderId="40" xfId="0" applyNumberFormat="1" applyFont="1" applyBorder="1" applyAlignment="1">
      <alignment horizontal="center" vertical="center"/>
    </xf>
    <xf numFmtId="178" fontId="21" fillId="0" borderId="75" xfId="0" applyNumberFormat="1" applyFont="1" applyBorder="1" applyAlignment="1">
      <alignment horizontal="center" vertical="center"/>
    </xf>
    <xf numFmtId="43" fontId="21" fillId="0" borderId="75" xfId="1" applyFont="1" applyBorder="1" applyAlignment="1">
      <alignment horizontal="center" vertical="center"/>
    </xf>
    <xf numFmtId="43" fontId="21" fillId="0" borderId="106" xfId="1" applyFont="1" applyBorder="1" applyAlignment="1">
      <alignment horizontal="center" vertical="center"/>
    </xf>
    <xf numFmtId="167" fontId="21" fillId="0" borderId="32" xfId="0" applyNumberFormat="1" applyFont="1" applyBorder="1" applyAlignment="1">
      <alignment horizontal="center" vertical="center"/>
    </xf>
    <xf numFmtId="179" fontId="21" fillId="0" borderId="32" xfId="0" applyNumberFormat="1" applyFont="1" applyBorder="1" applyAlignment="1">
      <alignment horizontal="center" vertical="center"/>
    </xf>
    <xf numFmtId="167" fontId="22" fillId="8" borderId="2" xfId="0" applyNumberFormat="1" applyFont="1" applyFill="1" applyBorder="1" applyAlignment="1">
      <alignment horizontal="center" vertical="center"/>
    </xf>
    <xf numFmtId="167" fontId="22" fillId="8" borderId="14" xfId="0" applyNumberFormat="1" applyFont="1" applyFill="1" applyBorder="1" applyAlignment="1">
      <alignment horizontal="center" vertical="center"/>
    </xf>
    <xf numFmtId="167" fontId="23" fillId="8" borderId="14" xfId="0" applyNumberFormat="1" applyFont="1" applyFill="1" applyBorder="1" applyAlignment="1">
      <alignment horizontal="center" vertical="center" wrapText="1"/>
    </xf>
    <xf numFmtId="167" fontId="22" fillId="8" borderId="35" xfId="0" applyNumberFormat="1" applyFont="1" applyFill="1" applyBorder="1" applyAlignment="1">
      <alignment horizontal="center" vertical="center"/>
    </xf>
    <xf numFmtId="167" fontId="21" fillId="6" borderId="37" xfId="0" applyNumberFormat="1" applyFont="1" applyFill="1" applyBorder="1" applyAlignment="1">
      <alignment horizontal="center" vertical="center"/>
    </xf>
    <xf numFmtId="14" fontId="24" fillId="6" borderId="47" xfId="0" applyNumberFormat="1" applyFont="1" applyFill="1" applyBorder="1" applyAlignment="1">
      <alignment horizontal="center" vertical="center"/>
    </xf>
    <xf numFmtId="167" fontId="21" fillId="6" borderId="47" xfId="0" applyNumberFormat="1" applyFont="1" applyFill="1" applyBorder="1" applyAlignment="1">
      <alignment horizontal="left" vertical="center"/>
    </xf>
    <xf numFmtId="167" fontId="23" fillId="8" borderId="14" xfId="0" applyNumberFormat="1" applyFont="1" applyFill="1" applyBorder="1" applyAlignment="1">
      <alignment horizontal="center" vertical="center"/>
    </xf>
    <xf numFmtId="167" fontId="21" fillId="0" borderId="64" xfId="0" applyNumberFormat="1" applyFont="1" applyBorder="1" applyAlignment="1">
      <alignment horizontal="center" vertical="center"/>
    </xf>
    <xf numFmtId="167" fontId="21" fillId="0" borderId="47" xfId="0" applyNumberFormat="1" applyFont="1" applyBorder="1" applyAlignment="1">
      <alignment horizontal="center" vertical="center"/>
    </xf>
    <xf numFmtId="167" fontId="21" fillId="0" borderId="38" xfId="0" applyNumberFormat="1" applyFont="1" applyBorder="1" applyAlignment="1">
      <alignment horizontal="center" vertical="center"/>
    </xf>
    <xf numFmtId="0" fontId="15" fillId="0" borderId="0" xfId="0" applyFont="1"/>
    <xf numFmtId="0" fontId="26" fillId="2" borderId="3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7" fillId="2" borderId="5" xfId="0" quotePrefix="1" applyFont="1" applyFill="1" applyBorder="1" applyAlignment="1">
      <alignment horizontal="center" vertical="center"/>
    </xf>
    <xf numFmtId="0" fontId="27" fillId="2" borderId="3" xfId="0" quotePrefix="1" applyFont="1" applyFill="1" applyBorder="1" applyAlignment="1">
      <alignment horizontal="center" vertical="center"/>
    </xf>
    <xf numFmtId="0" fontId="28" fillId="3" borderId="7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9" fillId="3" borderId="9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8" xfId="0" applyFont="1" applyFill="1" applyBorder="1" applyAlignment="1">
      <alignment horizontal="center" vertical="center"/>
    </xf>
    <xf numFmtId="17" fontId="30" fillId="0" borderId="11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/>
    </xf>
    <xf numFmtId="164" fontId="31" fillId="0" borderId="14" xfId="0" applyNumberFormat="1" applyFont="1" applyBorder="1" applyAlignment="1">
      <alignment horizontal="center"/>
    </xf>
    <xf numFmtId="4" fontId="31" fillId="0" borderId="14" xfId="0" applyNumberFormat="1" applyFont="1" applyBorder="1" applyAlignment="1">
      <alignment horizontal="center"/>
    </xf>
    <xf numFmtId="165" fontId="31" fillId="0" borderId="14" xfId="0" applyNumberFormat="1" applyFont="1" applyBorder="1" applyAlignment="1">
      <alignment horizontal="center"/>
    </xf>
    <xf numFmtId="165" fontId="31" fillId="0" borderId="5" xfId="0" applyNumberFormat="1" applyFont="1" applyBorder="1" applyAlignment="1">
      <alignment horizontal="center"/>
    </xf>
    <xf numFmtId="166" fontId="31" fillId="0" borderId="15" xfId="0" applyNumberFormat="1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164" fontId="31" fillId="0" borderId="17" xfId="0" applyNumberFormat="1" applyFont="1" applyBorder="1" applyAlignment="1">
      <alignment horizontal="center"/>
    </xf>
    <xf numFmtId="4" fontId="31" fillId="0" borderId="17" xfId="0" applyNumberFormat="1" applyFont="1" applyBorder="1" applyAlignment="1">
      <alignment horizontal="center"/>
    </xf>
    <xf numFmtId="165" fontId="31" fillId="0" borderId="17" xfId="0" applyNumberFormat="1" applyFont="1" applyBorder="1" applyAlignment="1">
      <alignment horizontal="center"/>
    </xf>
    <xf numFmtId="165" fontId="31" fillId="0" borderId="9" xfId="0" applyNumberFormat="1" applyFont="1" applyBorder="1" applyAlignment="1">
      <alignment horizontal="center"/>
    </xf>
    <xf numFmtId="166" fontId="31" fillId="0" borderId="18" xfId="0" applyNumberFormat="1" applyFont="1" applyBorder="1" applyAlignment="1">
      <alignment horizontal="center"/>
    </xf>
    <xf numFmtId="0" fontId="31" fillId="0" borderId="17" xfId="0" applyFont="1" applyBorder="1" applyAlignment="1">
      <alignment horizontal="center"/>
    </xf>
    <xf numFmtId="49" fontId="31" fillId="0" borderId="17" xfId="0" applyNumberFormat="1" applyFont="1" applyBorder="1" applyAlignment="1">
      <alignment horizontal="center"/>
    </xf>
    <xf numFmtId="167" fontId="31" fillId="0" borderId="17" xfId="0" applyNumberFormat="1" applyFont="1" applyBorder="1" applyAlignment="1">
      <alignment horizontal="center"/>
    </xf>
    <xf numFmtId="167" fontId="31" fillId="0" borderId="9" xfId="0" applyNumberFormat="1" applyFont="1" applyBorder="1" applyAlignment="1">
      <alignment horizontal="center"/>
    </xf>
    <xf numFmtId="0" fontId="31" fillId="0" borderId="16" xfId="3" applyFont="1" applyBorder="1" applyAlignment="1" applyProtection="1">
      <alignment horizontal="left" indent="1"/>
    </xf>
    <xf numFmtId="0" fontId="31" fillId="0" borderId="16" xfId="0" applyFont="1" applyBorder="1" applyAlignment="1">
      <alignment horizontal="left" indent="1"/>
    </xf>
    <xf numFmtId="0" fontId="31" fillId="0" borderId="19" xfId="0" applyFont="1" applyBorder="1" applyAlignment="1">
      <alignment horizontal="center"/>
    </xf>
    <xf numFmtId="49" fontId="31" fillId="0" borderId="20" xfId="0" applyNumberFormat="1" applyFont="1" applyBorder="1" applyAlignment="1">
      <alignment horizontal="center"/>
    </xf>
    <xf numFmtId="4" fontId="31" fillId="0" borderId="20" xfId="0" applyNumberFormat="1" applyFont="1" applyBorder="1" applyAlignment="1">
      <alignment horizontal="center"/>
    </xf>
    <xf numFmtId="167" fontId="31" fillId="0" borderId="20" xfId="0" applyNumberFormat="1" applyFont="1" applyBorder="1" applyAlignment="1">
      <alignment horizontal="center"/>
    </xf>
    <xf numFmtId="167" fontId="31" fillId="0" borderId="21" xfId="0" applyNumberFormat="1" applyFont="1" applyBorder="1" applyAlignment="1">
      <alignment horizontal="center"/>
    </xf>
    <xf numFmtId="166" fontId="31" fillId="0" borderId="22" xfId="0" applyNumberFormat="1" applyFont="1" applyBorder="1" applyAlignment="1">
      <alignment horizontal="center"/>
    </xf>
    <xf numFmtId="0" fontId="31" fillId="0" borderId="23" xfId="0" applyFont="1" applyBorder="1" applyAlignment="1">
      <alignment horizontal="center"/>
    </xf>
    <xf numFmtId="49" fontId="31" fillId="0" borderId="24" xfId="0" applyNumberFormat="1" applyFont="1" applyBorder="1" applyAlignment="1">
      <alignment horizontal="center"/>
    </xf>
    <xf numFmtId="4" fontId="31" fillId="0" borderId="24" xfId="0" applyNumberFormat="1" applyFont="1" applyBorder="1" applyAlignment="1">
      <alignment horizontal="center"/>
    </xf>
    <xf numFmtId="167" fontId="31" fillId="0" borderId="24" xfId="0" applyNumberFormat="1" applyFont="1" applyBorder="1" applyAlignment="1">
      <alignment horizontal="center"/>
    </xf>
    <xf numFmtId="167" fontId="31" fillId="0" borderId="25" xfId="0" applyNumberFormat="1" applyFont="1" applyBorder="1" applyAlignment="1">
      <alignment horizontal="center"/>
    </xf>
    <xf numFmtId="166" fontId="31" fillId="0" borderId="26" xfId="0" applyNumberFormat="1" applyFont="1" applyBorder="1" applyAlignment="1">
      <alignment horizontal="center"/>
    </xf>
    <xf numFmtId="0" fontId="31" fillId="0" borderId="27" xfId="0" applyFont="1" applyBorder="1" applyAlignment="1">
      <alignment horizontal="center"/>
    </xf>
    <xf numFmtId="49" fontId="31" fillId="0" borderId="28" xfId="0" applyNumberFormat="1" applyFont="1" applyBorder="1" applyAlignment="1">
      <alignment horizontal="center"/>
    </xf>
    <xf numFmtId="4" fontId="31" fillId="0" borderId="28" xfId="0" applyNumberFormat="1" applyFont="1" applyBorder="1" applyAlignment="1">
      <alignment horizontal="center"/>
    </xf>
    <xf numFmtId="167" fontId="31" fillId="0" borderId="28" xfId="0" applyNumberFormat="1" applyFont="1" applyBorder="1" applyAlignment="1">
      <alignment horizontal="center"/>
    </xf>
    <xf numFmtId="167" fontId="31" fillId="0" borderId="29" xfId="0" applyNumberFormat="1" applyFont="1" applyBorder="1" applyAlignment="1">
      <alignment horizontal="center"/>
    </xf>
    <xf numFmtId="166" fontId="31" fillId="0" borderId="30" xfId="0" applyNumberFormat="1" applyFont="1" applyBorder="1" applyAlignment="1">
      <alignment horizontal="center"/>
    </xf>
    <xf numFmtId="0" fontId="31" fillId="0" borderId="31" xfId="0" applyFont="1" applyBorder="1" applyAlignment="1">
      <alignment horizontal="center"/>
    </xf>
    <xf numFmtId="49" fontId="31" fillId="0" borderId="32" xfId="0" applyNumberFormat="1" applyFont="1" applyBorder="1" applyAlignment="1">
      <alignment horizontal="center"/>
    </xf>
    <xf numFmtId="4" fontId="31" fillId="0" borderId="32" xfId="0" applyNumberFormat="1" applyFont="1" applyBorder="1" applyAlignment="1">
      <alignment horizontal="center"/>
    </xf>
    <xf numFmtId="167" fontId="31" fillId="0" borderId="32" xfId="0" applyNumberFormat="1" applyFont="1" applyBorder="1" applyAlignment="1">
      <alignment horizontal="center"/>
    </xf>
    <xf numFmtId="167" fontId="31" fillId="0" borderId="33" xfId="0" applyNumberFormat="1" applyFont="1" applyBorder="1" applyAlignment="1">
      <alignment horizontal="center"/>
    </xf>
    <xf numFmtId="166" fontId="31" fillId="0" borderId="34" xfId="0" applyNumberFormat="1" applyFont="1" applyBorder="1" applyAlignment="1">
      <alignment horizontal="center"/>
    </xf>
    <xf numFmtId="0" fontId="32" fillId="0" borderId="0" xfId="0" applyFont="1" applyAlignment="1">
      <alignment vertical="top"/>
    </xf>
    <xf numFmtId="0" fontId="32" fillId="0" borderId="0" xfId="0" applyFont="1" applyAlignment="1">
      <alignment vertical="top" wrapText="1"/>
    </xf>
    <xf numFmtId="0" fontId="32" fillId="0" borderId="0" xfId="0" applyFont="1"/>
    <xf numFmtId="0" fontId="32" fillId="0" borderId="2" xfId="0" applyFont="1" applyBorder="1"/>
    <xf numFmtId="9" fontId="32" fillId="0" borderId="35" xfId="2" applyFont="1" applyBorder="1"/>
    <xf numFmtId="4" fontId="15" fillId="0" borderId="0" xfId="0" applyNumberFormat="1" applyFont="1"/>
    <xf numFmtId="0" fontId="32" fillId="0" borderId="16" xfId="0" applyFont="1" applyBorder="1"/>
    <xf numFmtId="9" fontId="32" fillId="0" borderId="36" xfId="2" applyFont="1" applyBorder="1"/>
    <xf numFmtId="0" fontId="32" fillId="0" borderId="37" xfId="0" applyFont="1" applyBorder="1"/>
    <xf numFmtId="9" fontId="32" fillId="0" borderId="38" xfId="2" applyFont="1" applyBorder="1"/>
    <xf numFmtId="0" fontId="15" fillId="0" borderId="0" xfId="4" applyFont="1"/>
    <xf numFmtId="17" fontId="30" fillId="0" borderId="11" xfId="4" applyNumberFormat="1" applyFont="1" applyBorder="1" applyAlignment="1">
      <alignment horizontal="center" vertical="center"/>
    </xf>
    <xf numFmtId="0" fontId="30" fillId="0" borderId="12" xfId="4" applyFont="1" applyBorder="1" applyAlignment="1">
      <alignment horizontal="center" vertical="center"/>
    </xf>
    <xf numFmtId="0" fontId="34" fillId="0" borderId="19" xfId="4" applyFont="1" applyBorder="1" applyAlignment="1">
      <alignment horizontal="center"/>
    </xf>
    <xf numFmtId="0" fontId="34" fillId="0" borderId="20" xfId="4" applyFont="1" applyBorder="1" applyAlignment="1">
      <alignment horizontal="center"/>
    </xf>
    <xf numFmtId="4" fontId="34" fillId="0" borderId="20" xfId="4" applyNumberFormat="1" applyFont="1" applyBorder="1" applyAlignment="1">
      <alignment horizontal="center" vertical="center"/>
    </xf>
    <xf numFmtId="0" fontId="34" fillId="0" borderId="20" xfId="4" applyFont="1" applyBorder="1"/>
    <xf numFmtId="0" fontId="34" fillId="0" borderId="0" xfId="4" applyFont="1"/>
    <xf numFmtId="0" fontId="34" fillId="0" borderId="23" xfId="4" applyFont="1" applyBorder="1" applyAlignment="1">
      <alignment horizontal="center"/>
    </xf>
    <xf numFmtId="0" fontId="34" fillId="0" borderId="24" xfId="4" applyFont="1" applyBorder="1" applyAlignment="1">
      <alignment horizontal="center"/>
    </xf>
    <xf numFmtId="4" fontId="34" fillId="0" borderId="24" xfId="4" applyNumberFormat="1" applyFont="1" applyBorder="1" applyAlignment="1">
      <alignment horizontal="center" vertical="center"/>
    </xf>
    <xf numFmtId="167" fontId="31" fillId="0" borderId="24" xfId="4" applyNumberFormat="1" applyFont="1" applyBorder="1" applyAlignment="1">
      <alignment horizontal="center" vertical="center"/>
    </xf>
    <xf numFmtId="167" fontId="34" fillId="0" borderId="24" xfId="4" applyNumberFormat="1" applyFont="1" applyBorder="1" applyAlignment="1">
      <alignment horizontal="center"/>
    </xf>
    <xf numFmtId="167" fontId="34" fillId="0" borderId="25" xfId="4" applyNumberFormat="1" applyFont="1" applyBorder="1" applyAlignment="1">
      <alignment horizontal="center" vertical="center"/>
    </xf>
    <xf numFmtId="0" fontId="34" fillId="0" borderId="27" xfId="4" applyFont="1" applyBorder="1" applyAlignment="1">
      <alignment horizontal="center"/>
    </xf>
    <xf numFmtId="0" fontId="34" fillId="0" borderId="28" xfId="4" applyFont="1" applyBorder="1" applyAlignment="1">
      <alignment horizontal="center"/>
    </xf>
    <xf numFmtId="167" fontId="34" fillId="0" borderId="28" xfId="4" applyNumberFormat="1" applyFont="1" applyBorder="1" applyAlignment="1">
      <alignment horizontal="center"/>
    </xf>
    <xf numFmtId="4" fontId="34" fillId="0" borderId="28" xfId="4" applyNumberFormat="1" applyFont="1" applyBorder="1" applyAlignment="1">
      <alignment horizontal="center" vertical="center"/>
    </xf>
    <xf numFmtId="0" fontId="34" fillId="0" borderId="31" xfId="4" applyFont="1" applyBorder="1" applyAlignment="1">
      <alignment horizontal="center"/>
    </xf>
    <xf numFmtId="0" fontId="32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/>
    </xf>
    <xf numFmtId="0" fontId="32" fillId="0" borderId="2" xfId="0" applyFont="1" applyBorder="1" applyAlignment="1">
      <alignment vertical="top" wrapText="1"/>
    </xf>
    <xf numFmtId="0" fontId="32" fillId="0" borderId="35" xfId="0" applyFont="1" applyBorder="1" applyAlignment="1">
      <alignment horizontal="center" vertical="center" wrapText="1"/>
    </xf>
    <xf numFmtId="0" fontId="32" fillId="0" borderId="16" xfId="0" applyFont="1" applyBorder="1" applyAlignment="1">
      <alignment vertical="top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vertical="top" wrapText="1"/>
    </xf>
    <xf numFmtId="0" fontId="32" fillId="0" borderId="38" xfId="0" applyFont="1" applyBorder="1" applyAlignment="1">
      <alignment vertical="top" wrapText="1"/>
    </xf>
    <xf numFmtId="0" fontId="31" fillId="0" borderId="14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4" fontId="31" fillId="0" borderId="9" xfId="0" applyNumberFormat="1" applyFont="1" applyBorder="1" applyAlignment="1">
      <alignment horizontal="center"/>
    </xf>
    <xf numFmtId="2" fontId="31" fillId="0" borderId="17" xfId="0" applyNumberFormat="1" applyFont="1" applyBorder="1" applyAlignment="1">
      <alignment horizontal="center"/>
    </xf>
    <xf numFmtId="2" fontId="31" fillId="0" borderId="20" xfId="0" applyNumberFormat="1" applyFont="1" applyBorder="1" applyAlignment="1">
      <alignment horizontal="center"/>
    </xf>
    <xf numFmtId="4" fontId="31" fillId="0" borderId="21" xfId="0" applyNumberFormat="1" applyFont="1" applyBorder="1" applyAlignment="1">
      <alignment horizontal="center"/>
    </xf>
    <xf numFmtId="2" fontId="31" fillId="0" borderId="24" xfId="0" applyNumberFormat="1" applyFont="1" applyBorder="1" applyAlignment="1">
      <alignment horizontal="center"/>
    </xf>
    <xf numFmtId="4" fontId="31" fillId="0" borderId="25" xfId="0" applyNumberFormat="1" applyFont="1" applyBorder="1" applyAlignment="1">
      <alignment horizontal="center"/>
    </xf>
    <xf numFmtId="4" fontId="31" fillId="0" borderId="29" xfId="0" applyNumberFormat="1" applyFont="1" applyBorder="1" applyAlignment="1">
      <alignment horizontal="center"/>
    </xf>
    <xf numFmtId="4" fontId="31" fillId="0" borderId="33" xfId="0" applyNumberFormat="1" applyFont="1" applyBorder="1" applyAlignment="1">
      <alignment horizontal="center"/>
    </xf>
    <xf numFmtId="43" fontId="32" fillId="0" borderId="0" xfId="1" applyFont="1"/>
    <xf numFmtId="43" fontId="15" fillId="0" borderId="0" xfId="1" applyFont="1"/>
    <xf numFmtId="43" fontId="15" fillId="0" borderId="0" xfId="1" applyFont="1" applyBorder="1"/>
    <xf numFmtId="43" fontId="35" fillId="0" borderId="0" xfId="1" applyFont="1" applyBorder="1" applyAlignment="1">
      <alignment horizontal="right"/>
    </xf>
    <xf numFmtId="2" fontId="15" fillId="0" borderId="0" xfId="0" applyNumberFormat="1" applyFont="1"/>
    <xf numFmtId="2" fontId="35" fillId="0" borderId="0" xfId="5" applyNumberFormat="1" applyFont="1" applyAlignment="1">
      <alignment horizontal="right"/>
    </xf>
    <xf numFmtId="166" fontId="15" fillId="0" borderId="0" xfId="0" applyNumberFormat="1" applyFont="1"/>
    <xf numFmtId="0" fontId="36" fillId="0" borderId="0" xfId="0" applyFont="1"/>
    <xf numFmtId="167" fontId="30" fillId="0" borderId="12" xfId="0" applyNumberFormat="1" applyFont="1" applyBorder="1" applyAlignment="1">
      <alignment horizontal="center" vertical="center"/>
    </xf>
    <xf numFmtId="167" fontId="31" fillId="0" borderId="14" xfId="0" applyNumberFormat="1" applyFont="1" applyBorder="1" applyAlignment="1">
      <alignment horizontal="center"/>
    </xf>
    <xf numFmtId="167" fontId="31" fillId="0" borderId="5" xfId="0" applyNumberFormat="1" applyFont="1" applyBorder="1" applyAlignment="1">
      <alignment horizontal="center"/>
    </xf>
    <xf numFmtId="0" fontId="31" fillId="0" borderId="23" xfId="3" applyFont="1" applyBorder="1" applyAlignment="1" applyProtection="1">
      <alignment horizontal="center"/>
    </xf>
    <xf numFmtId="43" fontId="37" fillId="0" borderId="0" xfId="1" applyFont="1"/>
    <xf numFmtId="43" fontId="31" fillId="0" borderId="0" xfId="1" applyFont="1" applyAlignment="1">
      <alignment horizontal="center"/>
    </xf>
    <xf numFmtId="4" fontId="31" fillId="0" borderId="0" xfId="0" applyNumberFormat="1" applyFont="1" applyAlignment="1">
      <alignment horizontal="center"/>
    </xf>
    <xf numFmtId="2" fontId="31" fillId="0" borderId="0" xfId="0" applyNumberFormat="1" applyFont="1" applyAlignment="1">
      <alignment horizontal="center"/>
    </xf>
    <xf numFmtId="166" fontId="31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left" vertical="top"/>
    </xf>
    <xf numFmtId="0" fontId="32" fillId="0" borderId="0" xfId="0" applyFont="1" applyAlignment="1">
      <alignment horizontal="left" vertical="top"/>
    </xf>
    <xf numFmtId="0" fontId="31" fillId="0" borderId="0" xfId="0" applyFont="1" applyAlignment="1">
      <alignment horizontal="center"/>
    </xf>
    <xf numFmtId="166" fontId="38" fillId="0" borderId="0" xfId="0" applyNumberFormat="1" applyFont="1" applyAlignment="1">
      <alignment horizontal="center"/>
    </xf>
    <xf numFmtId="166" fontId="31" fillId="0" borderId="44" xfId="0" applyNumberFormat="1" applyFont="1" applyBorder="1" applyAlignment="1">
      <alignment horizontal="center"/>
    </xf>
    <xf numFmtId="167" fontId="31" fillId="0" borderId="12" xfId="0" applyNumberFormat="1" applyFont="1" applyBorder="1" applyAlignment="1">
      <alignment horizontal="center"/>
    </xf>
    <xf numFmtId="43" fontId="38" fillId="0" borderId="0" xfId="1" applyFont="1" applyAlignment="1">
      <alignment horizontal="center"/>
    </xf>
    <xf numFmtId="49" fontId="34" fillId="0" borderId="0" xfId="0" applyNumberFormat="1" applyFont="1"/>
    <xf numFmtId="0" fontId="15" fillId="0" borderId="0" xfId="0" applyFont="1" applyAlignment="1">
      <alignment horizontal="left"/>
    </xf>
    <xf numFmtId="0" fontId="33" fillId="0" borderId="0" xfId="0" applyFont="1" applyAlignment="1">
      <alignment vertical="center" wrapText="1"/>
    </xf>
    <xf numFmtId="0" fontId="27" fillId="0" borderId="0" xfId="0" quotePrefix="1" applyFont="1" applyAlignment="1">
      <alignment vertical="center"/>
    </xf>
    <xf numFmtId="0" fontId="40" fillId="0" borderId="0" xfId="0" applyFont="1"/>
    <xf numFmtId="0" fontId="34" fillId="0" borderId="0" xfId="0" applyFont="1"/>
    <xf numFmtId="0" fontId="41" fillId="0" borderId="0" xfId="0" applyFont="1"/>
    <xf numFmtId="168" fontId="40" fillId="0" borderId="0" xfId="0" applyNumberFormat="1" applyFont="1"/>
    <xf numFmtId="4" fontId="38" fillId="4" borderId="0" xfId="0" applyNumberFormat="1" applyFont="1" applyFill="1" applyAlignment="1">
      <alignment horizontal="center" vertical="center" wrapText="1"/>
    </xf>
    <xf numFmtId="2" fontId="34" fillId="0" borderId="0" xfId="0" applyNumberFormat="1" applyFont="1"/>
    <xf numFmtId="4" fontId="38" fillId="0" borderId="0" xfId="0" applyNumberFormat="1" applyFont="1" applyAlignment="1">
      <alignment horizontal="center" vertical="center" wrapText="1"/>
    </xf>
    <xf numFmtId="17" fontId="42" fillId="0" borderId="0" xfId="0" applyNumberFormat="1" applyFont="1" applyAlignment="1">
      <alignment horizontal="left" vertical="center" wrapText="1"/>
    </xf>
    <xf numFmtId="0" fontId="42" fillId="0" borderId="0" xfId="0" applyFont="1" applyAlignment="1">
      <alignment horizontal="right" vertical="center" wrapText="1"/>
    </xf>
    <xf numFmtId="0" fontId="37" fillId="0" borderId="0" xfId="0" applyFont="1"/>
    <xf numFmtId="0" fontId="43" fillId="0" borderId="0" xfId="0" applyFont="1" applyAlignment="1">
      <alignment horizontal="right" vertical="center"/>
    </xf>
    <xf numFmtId="0" fontId="32" fillId="0" borderId="0" xfId="0" applyFont="1" applyAlignment="1">
      <alignment horizontal="left"/>
    </xf>
    <xf numFmtId="17" fontId="30" fillId="0" borderId="37" xfId="0" applyNumberFormat="1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167" fontId="30" fillId="0" borderId="47" xfId="0" applyNumberFormat="1" applyFont="1" applyBorder="1" applyAlignment="1">
      <alignment horizontal="center" vertical="center"/>
    </xf>
    <xf numFmtId="40" fontId="31" fillId="0" borderId="14" xfId="0" applyNumberFormat="1" applyFont="1" applyBorder="1" applyAlignment="1">
      <alignment horizontal="center"/>
    </xf>
    <xf numFmtId="40" fontId="31" fillId="0" borderId="5" xfId="0" applyNumberFormat="1" applyFont="1" applyBorder="1" applyAlignment="1">
      <alignment horizontal="center"/>
    </xf>
    <xf numFmtId="40" fontId="31" fillId="0" borderId="17" xfId="0" applyNumberFormat="1" applyFont="1" applyBorder="1" applyAlignment="1">
      <alignment horizontal="center"/>
    </xf>
    <xf numFmtId="40" fontId="31" fillId="0" borderId="9" xfId="0" applyNumberFormat="1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49" fontId="31" fillId="0" borderId="12" xfId="0" applyNumberFormat="1" applyFont="1" applyBorder="1" applyAlignment="1">
      <alignment horizontal="center"/>
    </xf>
    <xf numFmtId="4" fontId="31" fillId="0" borderId="12" xfId="0" applyNumberFormat="1" applyFont="1" applyBorder="1" applyAlignment="1">
      <alignment horizontal="center"/>
    </xf>
    <xf numFmtId="40" fontId="31" fillId="0" borderId="12" xfId="0" applyNumberFormat="1" applyFont="1" applyBorder="1" applyAlignment="1">
      <alignment horizontal="center"/>
    </xf>
    <xf numFmtId="40" fontId="31" fillId="0" borderId="10" xfId="0" applyNumberFormat="1" applyFont="1" applyBorder="1" applyAlignment="1">
      <alignment horizontal="center"/>
    </xf>
    <xf numFmtId="166" fontId="31" fillId="0" borderId="49" xfId="0" applyNumberFormat="1" applyFont="1" applyBorder="1" applyAlignment="1">
      <alignment horizontal="center"/>
    </xf>
    <xf numFmtId="40" fontId="31" fillId="0" borderId="24" xfId="0" applyNumberFormat="1" applyFont="1" applyBorder="1" applyAlignment="1">
      <alignment horizontal="center"/>
    </xf>
    <xf numFmtId="40" fontId="31" fillId="0" borderId="25" xfId="0" applyNumberFormat="1" applyFont="1" applyBorder="1" applyAlignment="1">
      <alignment horizontal="center"/>
    </xf>
    <xf numFmtId="166" fontId="31" fillId="0" borderId="0" xfId="0" quotePrefix="1" applyNumberFormat="1" applyFont="1" applyAlignment="1">
      <alignment horizontal="center"/>
    </xf>
    <xf numFmtId="0" fontId="21" fillId="0" borderId="2" xfId="0" applyFont="1" applyBorder="1" applyAlignment="1">
      <alignment horizontal="center" vertical="center"/>
    </xf>
    <xf numFmtId="164" fontId="21" fillId="0" borderId="14" xfId="0" applyNumberFormat="1" applyFont="1" applyBorder="1" applyAlignment="1">
      <alignment horizontal="center" vertical="center"/>
    </xf>
    <xf numFmtId="4" fontId="21" fillId="0" borderId="14" xfId="0" applyNumberFormat="1" applyFont="1" applyBorder="1" applyAlignment="1">
      <alignment horizontal="center" vertical="center"/>
    </xf>
    <xf numFmtId="167" fontId="21" fillId="0" borderId="14" xfId="0" applyNumberFormat="1" applyFont="1" applyBorder="1" applyAlignment="1">
      <alignment horizontal="center" vertical="center"/>
    </xf>
    <xf numFmtId="167" fontId="21" fillId="0" borderId="5" xfId="0" applyNumberFormat="1" applyFont="1" applyBorder="1" applyAlignment="1">
      <alignment horizontal="center" vertical="center"/>
    </xf>
    <xf numFmtId="166" fontId="21" fillId="0" borderId="15" xfId="0" applyNumberFormat="1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21" fillId="0" borderId="16" xfId="0" applyFont="1" applyBorder="1" applyAlignment="1">
      <alignment horizontal="center" vertical="center"/>
    </xf>
    <xf numFmtId="164" fontId="21" fillId="0" borderId="17" xfId="0" applyNumberFormat="1" applyFont="1" applyBorder="1" applyAlignment="1">
      <alignment horizontal="center" vertical="center"/>
    </xf>
    <xf numFmtId="4" fontId="21" fillId="0" borderId="17" xfId="0" applyNumberFormat="1" applyFont="1" applyBorder="1" applyAlignment="1">
      <alignment horizontal="center" vertical="center"/>
    </xf>
    <xf numFmtId="167" fontId="21" fillId="0" borderId="17" xfId="0" applyNumberFormat="1" applyFont="1" applyBorder="1" applyAlignment="1">
      <alignment horizontal="center" vertical="center"/>
    </xf>
    <xf numFmtId="167" fontId="21" fillId="0" borderId="9" xfId="0" applyNumberFormat="1" applyFont="1" applyBorder="1" applyAlignment="1">
      <alignment horizontal="center" vertical="center"/>
    </xf>
    <xf numFmtId="166" fontId="21" fillId="0" borderId="18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64" fontId="21" fillId="0" borderId="12" xfId="0" applyNumberFormat="1" applyFont="1" applyBorder="1" applyAlignment="1">
      <alignment horizontal="center" vertical="center"/>
    </xf>
    <xf numFmtId="4" fontId="21" fillId="0" borderId="12" xfId="0" applyNumberFormat="1" applyFont="1" applyBorder="1" applyAlignment="1">
      <alignment horizontal="center" vertical="center"/>
    </xf>
    <xf numFmtId="167" fontId="21" fillId="0" borderId="12" xfId="0" applyNumberFormat="1" applyFont="1" applyBorder="1" applyAlignment="1">
      <alignment horizontal="center" vertical="center"/>
    </xf>
    <xf numFmtId="167" fontId="21" fillId="0" borderId="10" xfId="0" applyNumberFormat="1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164" fontId="21" fillId="0" borderId="51" xfId="0" applyNumberFormat="1" applyFont="1" applyBorder="1" applyAlignment="1">
      <alignment horizontal="center" vertical="center"/>
    </xf>
    <xf numFmtId="4" fontId="21" fillId="0" borderId="51" xfId="0" applyNumberFormat="1" applyFont="1" applyBorder="1" applyAlignment="1">
      <alignment horizontal="center" vertical="center"/>
    </xf>
    <xf numFmtId="167" fontId="21" fillId="0" borderId="51" xfId="0" applyNumberFormat="1" applyFont="1" applyBorder="1" applyAlignment="1">
      <alignment horizontal="center" vertical="center"/>
    </xf>
    <xf numFmtId="167" fontId="21" fillId="0" borderId="52" xfId="0" applyNumberFormat="1" applyFont="1" applyBorder="1" applyAlignment="1">
      <alignment horizontal="center" vertical="center"/>
    </xf>
    <xf numFmtId="166" fontId="21" fillId="0" borderId="22" xfId="0" applyNumberFormat="1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164" fontId="21" fillId="0" borderId="24" xfId="0" applyNumberFormat="1" applyFont="1" applyBorder="1" applyAlignment="1">
      <alignment horizontal="center" vertical="center"/>
    </xf>
    <xf numFmtId="4" fontId="21" fillId="0" borderId="24" xfId="0" applyNumberFormat="1" applyFont="1" applyBorder="1" applyAlignment="1">
      <alignment horizontal="center" vertical="center"/>
    </xf>
    <xf numFmtId="167" fontId="21" fillId="0" borderId="25" xfId="0" applyNumberFormat="1" applyFont="1" applyBorder="1" applyAlignment="1">
      <alignment horizontal="center" vertical="center"/>
    </xf>
    <xf numFmtId="166" fontId="21" fillId="0" borderId="26" xfId="0" applyNumberFormat="1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164" fontId="21" fillId="0" borderId="28" xfId="0" applyNumberFormat="1" applyFont="1" applyBorder="1" applyAlignment="1">
      <alignment horizontal="center" vertical="center"/>
    </xf>
    <xf numFmtId="4" fontId="21" fillId="0" borderId="28" xfId="0" applyNumberFormat="1" applyFont="1" applyBorder="1" applyAlignment="1">
      <alignment horizontal="center" vertical="center"/>
    </xf>
    <xf numFmtId="167" fontId="21" fillId="0" borderId="28" xfId="0" applyNumberFormat="1" applyFont="1" applyBorder="1" applyAlignment="1">
      <alignment horizontal="center" vertical="center"/>
    </xf>
    <xf numFmtId="167" fontId="21" fillId="0" borderId="29" xfId="0" applyNumberFormat="1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164" fontId="21" fillId="0" borderId="32" xfId="0" applyNumberFormat="1" applyFont="1" applyBorder="1" applyAlignment="1">
      <alignment horizontal="center" vertical="center"/>
    </xf>
    <xf numFmtId="4" fontId="21" fillId="0" borderId="32" xfId="0" applyNumberFormat="1" applyFont="1" applyBorder="1" applyAlignment="1">
      <alignment horizontal="center" vertical="center"/>
    </xf>
    <xf numFmtId="167" fontId="21" fillId="0" borderId="33" xfId="0" applyNumberFormat="1" applyFont="1" applyBorder="1" applyAlignment="1">
      <alignment horizontal="center" vertical="center"/>
    </xf>
    <xf numFmtId="166" fontId="21" fillId="0" borderId="34" xfId="0" applyNumberFormat="1" applyFont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6" fontId="21" fillId="0" borderId="0" xfId="0" quotePrefix="1" applyNumberFormat="1" applyFont="1" applyAlignment="1">
      <alignment horizontal="center" vertical="center"/>
    </xf>
    <xf numFmtId="49" fontId="32" fillId="0" borderId="0" xfId="0" applyNumberFormat="1" applyFont="1"/>
    <xf numFmtId="0" fontId="32" fillId="0" borderId="0" xfId="0" applyFont="1" applyAlignment="1">
      <alignment vertical="center"/>
    </xf>
    <xf numFmtId="0" fontId="26" fillId="2" borderId="2" xfId="0" applyFont="1" applyFill="1" applyBorder="1" applyAlignment="1">
      <alignment horizontal="left" vertical="center"/>
    </xf>
    <xf numFmtId="0" fontId="28" fillId="3" borderId="6" xfId="0" applyFont="1" applyFill="1" applyBorder="1" applyAlignment="1">
      <alignment horizontal="left" vertical="center"/>
    </xf>
    <xf numFmtId="169" fontId="21" fillId="0" borderId="14" xfId="0" applyNumberFormat="1" applyFont="1" applyBorder="1" applyAlignment="1">
      <alignment horizontal="center" vertical="center"/>
    </xf>
    <xf numFmtId="169" fontId="21" fillId="0" borderId="17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4" fontId="21" fillId="0" borderId="20" xfId="0" applyNumberFormat="1" applyFont="1" applyBorder="1" applyAlignment="1">
      <alignment horizontal="center" vertical="center"/>
    </xf>
    <xf numFmtId="167" fontId="21" fillId="0" borderId="21" xfId="0" applyNumberFormat="1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166" fontId="21" fillId="0" borderId="0" xfId="0" applyNumberFormat="1" applyFont="1" applyAlignment="1">
      <alignment horizontal="center" vertical="center"/>
    </xf>
    <xf numFmtId="0" fontId="45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38" fillId="0" borderId="0" xfId="0" quotePrefix="1" applyFont="1" applyAlignment="1">
      <alignment vertical="center"/>
    </xf>
    <xf numFmtId="0" fontId="30" fillId="0" borderId="46" xfId="0" applyFont="1" applyBorder="1" applyAlignment="1">
      <alignment horizontal="center" vertical="center"/>
    </xf>
    <xf numFmtId="17" fontId="21" fillId="0" borderId="2" xfId="0" applyNumberFormat="1" applyFont="1" applyBorder="1" applyAlignment="1">
      <alignment horizontal="center" vertical="center"/>
    </xf>
    <xf numFmtId="167" fontId="21" fillId="0" borderId="14" xfId="1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/>
    </xf>
    <xf numFmtId="4" fontId="21" fillId="0" borderId="14" xfId="1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38" fillId="5" borderId="0" xfId="0" applyFont="1" applyFill="1" applyAlignment="1">
      <alignment vertical="center"/>
    </xf>
    <xf numFmtId="17" fontId="21" fillId="0" borderId="16" xfId="0" applyNumberFormat="1" applyFont="1" applyBorder="1" applyAlignment="1">
      <alignment horizontal="center" vertical="center"/>
    </xf>
    <xf numFmtId="167" fontId="21" fillId="0" borderId="17" xfId="0" applyNumberFormat="1" applyFont="1" applyBorder="1" applyAlignment="1">
      <alignment horizontal="right" vertical="center"/>
    </xf>
    <xf numFmtId="2" fontId="21" fillId="0" borderId="17" xfId="0" applyNumberFormat="1" applyFont="1" applyBorder="1" applyAlignment="1">
      <alignment horizontal="center" vertical="center"/>
    </xf>
    <xf numFmtId="4" fontId="21" fillId="0" borderId="17" xfId="1" applyNumberFormat="1" applyFont="1" applyBorder="1" applyAlignment="1">
      <alignment horizontal="center" vertical="center"/>
    </xf>
    <xf numFmtId="4" fontId="21" fillId="0" borderId="36" xfId="0" applyNumberFormat="1" applyFont="1" applyBorder="1" applyAlignment="1">
      <alignment horizontal="center" vertical="center"/>
    </xf>
    <xf numFmtId="40" fontId="46" fillId="0" borderId="17" xfId="0" applyNumberFormat="1" applyFont="1" applyBorder="1" applyAlignment="1">
      <alignment horizontal="right" vertical="center"/>
    </xf>
    <xf numFmtId="0" fontId="46" fillId="0" borderId="36" xfId="0" applyFont="1" applyBorder="1" applyAlignment="1">
      <alignment vertical="center"/>
    </xf>
    <xf numFmtId="10" fontId="21" fillId="0" borderId="17" xfId="2" applyNumberFormat="1" applyFont="1" applyBorder="1" applyAlignment="1">
      <alignment horizontal="center" vertical="center"/>
    </xf>
    <xf numFmtId="17" fontId="21" fillId="0" borderId="19" xfId="0" applyNumberFormat="1" applyFont="1" applyBorder="1" applyAlignment="1">
      <alignment horizontal="center" vertical="center"/>
    </xf>
    <xf numFmtId="167" fontId="21" fillId="0" borderId="20" xfId="0" applyNumberFormat="1" applyFont="1" applyBorder="1" applyAlignment="1">
      <alignment horizontal="right" vertical="center"/>
    </xf>
    <xf numFmtId="10" fontId="21" fillId="0" borderId="20" xfId="2" applyNumberFormat="1" applyFont="1" applyBorder="1" applyAlignment="1">
      <alignment horizontal="center" vertical="center"/>
    </xf>
    <xf numFmtId="167" fontId="21" fillId="0" borderId="20" xfId="1" applyNumberFormat="1" applyFont="1" applyBorder="1" applyAlignment="1">
      <alignment horizontal="center" vertical="center"/>
    </xf>
    <xf numFmtId="17" fontId="21" fillId="0" borderId="23" xfId="0" applyNumberFormat="1" applyFont="1" applyBorder="1" applyAlignment="1">
      <alignment horizontal="center" vertical="center"/>
    </xf>
    <xf numFmtId="167" fontId="21" fillId="0" borderId="24" xfId="0" applyNumberFormat="1" applyFont="1" applyBorder="1" applyAlignment="1">
      <alignment horizontal="right" vertical="center"/>
    </xf>
    <xf numFmtId="10" fontId="21" fillId="0" borderId="24" xfId="2" applyNumberFormat="1" applyFont="1" applyBorder="1" applyAlignment="1">
      <alignment horizontal="center" vertical="center"/>
    </xf>
    <xf numFmtId="167" fontId="21" fillId="0" borderId="24" xfId="1" applyNumberFormat="1" applyFont="1" applyBorder="1" applyAlignment="1">
      <alignment horizontal="center" vertical="center"/>
    </xf>
    <xf numFmtId="17" fontId="21" fillId="0" borderId="27" xfId="0" applyNumberFormat="1" applyFont="1" applyBorder="1" applyAlignment="1">
      <alignment horizontal="center" vertical="center"/>
    </xf>
    <xf numFmtId="167" fontId="21" fillId="0" borderId="28" xfId="0" applyNumberFormat="1" applyFont="1" applyBorder="1" applyAlignment="1">
      <alignment horizontal="right" vertical="center"/>
    </xf>
    <xf numFmtId="10" fontId="21" fillId="0" borderId="28" xfId="2" applyNumberFormat="1" applyFont="1" applyBorder="1" applyAlignment="1">
      <alignment horizontal="center" vertical="center"/>
    </xf>
    <xf numFmtId="167" fontId="21" fillId="0" borderId="28" xfId="1" applyNumberFormat="1" applyFont="1" applyBorder="1" applyAlignment="1">
      <alignment horizontal="center" vertical="center"/>
    </xf>
    <xf numFmtId="167" fontId="21" fillId="0" borderId="55" xfId="0" applyNumberFormat="1" applyFont="1" applyBorder="1" applyAlignment="1">
      <alignment horizontal="center" vertical="center"/>
    </xf>
    <xf numFmtId="10" fontId="47" fillId="0" borderId="56" xfId="6" applyNumberFormat="1" applyFont="1" applyBorder="1" applyAlignment="1" applyProtection="1">
      <alignment horizontal="center"/>
      <protection hidden="1"/>
    </xf>
    <xf numFmtId="17" fontId="21" fillId="0" borderId="31" xfId="0" applyNumberFormat="1" applyFont="1" applyBorder="1" applyAlignment="1">
      <alignment horizontal="center" vertical="center"/>
    </xf>
    <xf numFmtId="167" fontId="21" fillId="0" borderId="32" xfId="0" applyNumberFormat="1" applyFont="1" applyBorder="1" applyAlignment="1">
      <alignment horizontal="right" vertical="center"/>
    </xf>
    <xf numFmtId="10" fontId="21" fillId="0" borderId="32" xfId="2" applyNumberFormat="1" applyFont="1" applyBorder="1" applyAlignment="1">
      <alignment horizontal="center" vertical="center"/>
    </xf>
    <xf numFmtId="167" fontId="21" fillId="0" borderId="32" xfId="1" applyNumberFormat="1" applyFont="1" applyBorder="1" applyAlignment="1">
      <alignment horizontal="center" vertical="center"/>
    </xf>
    <xf numFmtId="167" fontId="21" fillId="0" borderId="57" xfId="0" applyNumberFormat="1" applyFont="1" applyBorder="1" applyAlignment="1">
      <alignment horizontal="center" vertical="center"/>
    </xf>
    <xf numFmtId="0" fontId="44" fillId="5" borderId="0" xfId="0" quotePrefix="1" applyFont="1" applyFill="1" applyAlignment="1">
      <alignment horizontal="left" vertical="center"/>
    </xf>
    <xf numFmtId="4" fontId="38" fillId="5" borderId="0" xfId="0" applyNumberFormat="1" applyFont="1" applyFill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17" fontId="24" fillId="0" borderId="14" xfId="0" applyNumberFormat="1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170" fontId="24" fillId="0" borderId="14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/>
    </xf>
    <xf numFmtId="2" fontId="24" fillId="0" borderId="5" xfId="0" applyNumberFormat="1" applyFont="1" applyBorder="1" applyAlignment="1">
      <alignment horizontal="center" vertical="center"/>
    </xf>
    <xf numFmtId="171" fontId="24" fillId="0" borderId="15" xfId="0" applyNumberFormat="1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17" fontId="24" fillId="0" borderId="17" xfId="0" applyNumberFormat="1" applyFont="1" applyBorder="1" applyAlignment="1">
      <alignment horizontal="center" vertical="center"/>
    </xf>
    <xf numFmtId="4" fontId="24" fillId="0" borderId="17" xfId="0" applyNumberFormat="1" applyFont="1" applyBorder="1" applyAlignment="1">
      <alignment horizontal="center" vertical="center"/>
    </xf>
    <xf numFmtId="170" fontId="24" fillId="0" borderId="17" xfId="0" applyNumberFormat="1" applyFont="1" applyBorder="1" applyAlignment="1">
      <alignment horizontal="center" vertical="center"/>
    </xf>
    <xf numFmtId="2" fontId="24" fillId="0" borderId="17" xfId="0" applyNumberFormat="1" applyFont="1" applyBorder="1" applyAlignment="1">
      <alignment horizontal="center" vertical="center"/>
    </xf>
    <xf numFmtId="2" fontId="24" fillId="0" borderId="9" xfId="0" applyNumberFormat="1" applyFont="1" applyBorder="1" applyAlignment="1">
      <alignment horizontal="center" vertical="center"/>
    </xf>
    <xf numFmtId="171" fontId="24" fillId="0" borderId="18" xfId="0" applyNumberFormat="1" applyFont="1" applyBorder="1" applyAlignment="1">
      <alignment horizontal="center" vertical="center"/>
    </xf>
    <xf numFmtId="171" fontId="48" fillId="0" borderId="17" xfId="0" applyNumberFormat="1" applyFont="1" applyBorder="1" applyAlignment="1">
      <alignment horizontal="center" vertical="center"/>
    </xf>
    <xf numFmtId="164" fontId="48" fillId="0" borderId="17" xfId="0" applyNumberFormat="1" applyFont="1" applyBorder="1" applyAlignment="1">
      <alignment horizontal="center" vertical="center"/>
    </xf>
    <xf numFmtId="4" fontId="48" fillId="0" borderId="17" xfId="0" applyNumberFormat="1" applyFont="1" applyBorder="1" applyAlignment="1">
      <alignment horizontal="center" vertical="center"/>
    </xf>
    <xf numFmtId="49" fontId="24" fillId="0" borderId="17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49" fontId="24" fillId="0" borderId="20" xfId="0" applyNumberFormat="1" applyFont="1" applyBorder="1" applyAlignment="1">
      <alignment horizontal="center" vertical="center"/>
    </xf>
    <xf numFmtId="4" fontId="24" fillId="0" borderId="20" xfId="0" applyNumberFormat="1" applyFont="1" applyBorder="1" applyAlignment="1">
      <alignment horizontal="center" vertical="center"/>
    </xf>
    <xf numFmtId="170" fontId="24" fillId="0" borderId="20" xfId="0" applyNumberFormat="1" applyFont="1" applyBorder="1" applyAlignment="1">
      <alignment horizontal="center" vertical="center"/>
    </xf>
    <xf numFmtId="4" fontId="48" fillId="0" borderId="20" xfId="0" applyNumberFormat="1" applyFont="1" applyBorder="1" applyAlignment="1">
      <alignment horizontal="center" vertical="center"/>
    </xf>
    <xf numFmtId="2" fontId="24" fillId="0" borderId="21" xfId="0" applyNumberFormat="1" applyFont="1" applyBorder="1" applyAlignment="1">
      <alignment horizontal="center" vertical="center"/>
    </xf>
    <xf numFmtId="171" fontId="24" fillId="0" borderId="22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49" fontId="24" fillId="0" borderId="24" xfId="0" applyNumberFormat="1" applyFont="1" applyBorder="1" applyAlignment="1">
      <alignment horizontal="center" vertical="center"/>
    </xf>
    <xf numFmtId="4" fontId="24" fillId="0" borderId="24" xfId="0" applyNumberFormat="1" applyFont="1" applyBorder="1" applyAlignment="1">
      <alignment horizontal="center" vertical="center"/>
    </xf>
    <xf numFmtId="170" fontId="24" fillId="0" borderId="24" xfId="0" applyNumberFormat="1" applyFont="1" applyBorder="1" applyAlignment="1">
      <alignment horizontal="center" vertical="center"/>
    </xf>
    <xf numFmtId="4" fontId="48" fillId="0" borderId="24" xfId="0" applyNumberFormat="1" applyFont="1" applyBorder="1" applyAlignment="1">
      <alignment horizontal="center" vertical="center"/>
    </xf>
    <xf numFmtId="2" fontId="24" fillId="0" borderId="25" xfId="0" applyNumberFormat="1" applyFont="1" applyBorder="1" applyAlignment="1">
      <alignment horizontal="center" vertical="center"/>
    </xf>
    <xf numFmtId="171" fontId="24" fillId="0" borderId="26" xfId="0" applyNumberFormat="1" applyFont="1" applyBorder="1" applyAlignment="1">
      <alignment horizontal="center" vertical="center"/>
    </xf>
    <xf numFmtId="171" fontId="38" fillId="0" borderId="24" xfId="0" applyNumberFormat="1" applyFont="1" applyBorder="1" applyAlignment="1">
      <alignment horizontal="center"/>
    </xf>
    <xf numFmtId="0" fontId="24" fillId="0" borderId="27" xfId="0" applyFont="1" applyBorder="1" applyAlignment="1">
      <alignment horizontal="center" vertical="center"/>
    </xf>
    <xf numFmtId="49" fontId="24" fillId="0" borderId="28" xfId="0" applyNumberFormat="1" applyFont="1" applyBorder="1" applyAlignment="1">
      <alignment horizontal="center" vertical="center"/>
    </xf>
    <xf numFmtId="4" fontId="24" fillId="0" borderId="28" xfId="0" applyNumberFormat="1" applyFont="1" applyBorder="1" applyAlignment="1">
      <alignment horizontal="center" vertical="center"/>
    </xf>
    <xf numFmtId="170" fontId="24" fillId="0" borderId="28" xfId="0" applyNumberFormat="1" applyFont="1" applyBorder="1" applyAlignment="1">
      <alignment horizontal="center" vertical="center"/>
    </xf>
    <xf numFmtId="4" fontId="48" fillId="0" borderId="28" xfId="0" applyNumberFormat="1" applyFont="1" applyBorder="1" applyAlignment="1">
      <alignment horizontal="center" vertical="center"/>
    </xf>
    <xf numFmtId="2" fontId="24" fillId="0" borderId="29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49" fontId="24" fillId="0" borderId="32" xfId="0" applyNumberFormat="1" applyFont="1" applyBorder="1" applyAlignment="1">
      <alignment horizontal="center" vertical="center"/>
    </xf>
    <xf numFmtId="4" fontId="24" fillId="0" borderId="32" xfId="0" applyNumberFormat="1" applyFont="1" applyBorder="1" applyAlignment="1">
      <alignment horizontal="center" vertical="center"/>
    </xf>
    <xf numFmtId="170" fontId="24" fillId="0" borderId="32" xfId="0" applyNumberFormat="1" applyFont="1" applyBorder="1" applyAlignment="1">
      <alignment horizontal="center" vertical="center"/>
    </xf>
    <xf numFmtId="4" fontId="48" fillId="0" borderId="32" xfId="0" applyNumberFormat="1" applyFont="1" applyBorder="1" applyAlignment="1">
      <alignment horizontal="center" vertical="center"/>
    </xf>
    <xf numFmtId="2" fontId="24" fillId="0" borderId="33" xfId="0" applyNumberFormat="1" applyFont="1" applyBorder="1" applyAlignment="1">
      <alignment horizontal="center" vertical="center"/>
    </xf>
    <xf numFmtId="171" fontId="24" fillId="0" borderId="34" xfId="0" applyNumberFormat="1" applyFont="1" applyBorder="1" applyAlignment="1">
      <alignment horizontal="center" vertical="center"/>
    </xf>
    <xf numFmtId="49" fontId="49" fillId="0" borderId="0" xfId="0" applyNumberFormat="1" applyFont="1" applyAlignment="1">
      <alignment horizontal="center" vertical="center"/>
    </xf>
    <xf numFmtId="4" fontId="49" fillId="0" borderId="0" xfId="0" applyNumberFormat="1" applyFont="1" applyAlignment="1">
      <alignment horizontal="center" vertical="center"/>
    </xf>
    <xf numFmtId="170" fontId="49" fillId="0" borderId="0" xfId="0" applyNumberFormat="1" applyFont="1" applyAlignment="1">
      <alignment horizontal="center" vertical="center"/>
    </xf>
    <xf numFmtId="4" fontId="50" fillId="0" borderId="0" xfId="0" applyNumberFormat="1" applyFont="1" applyAlignment="1">
      <alignment horizontal="center" vertical="center"/>
    </xf>
    <xf numFmtId="2" fontId="49" fillId="0" borderId="0" xfId="0" applyNumberFormat="1" applyFont="1" applyAlignment="1">
      <alignment horizontal="center" vertical="center"/>
    </xf>
    <xf numFmtId="171" fontId="49" fillId="0" borderId="0" xfId="0" applyNumberFormat="1" applyFont="1" applyAlignment="1">
      <alignment horizontal="center" vertical="center"/>
    </xf>
    <xf numFmtId="49" fontId="38" fillId="0" borderId="0" xfId="0" applyNumberFormat="1" applyFont="1" applyAlignment="1">
      <alignment horizontal="center" vertical="center"/>
    </xf>
    <xf numFmtId="4" fontId="38" fillId="0" borderId="0" xfId="0" applyNumberFormat="1" applyFont="1" applyAlignment="1">
      <alignment horizontal="center" vertical="center"/>
    </xf>
    <xf numFmtId="170" fontId="38" fillId="5" borderId="0" xfId="0" applyNumberFormat="1" applyFont="1" applyFill="1" applyAlignment="1">
      <alignment horizontal="center" vertical="center"/>
    </xf>
    <xf numFmtId="4" fontId="52" fillId="0" borderId="0" xfId="0" applyNumberFormat="1" applyFont="1" applyAlignment="1">
      <alignment horizontal="center" vertical="center"/>
    </xf>
    <xf numFmtId="2" fontId="38" fillId="0" borderId="0" xfId="0" applyNumberFormat="1" applyFont="1" applyAlignment="1">
      <alignment horizontal="center" vertical="center"/>
    </xf>
    <xf numFmtId="171" fontId="38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vertical="center"/>
    </xf>
    <xf numFmtId="0" fontId="37" fillId="0" borderId="47" xfId="0" applyFont="1" applyBorder="1" applyAlignment="1">
      <alignment horizontal="center" vertical="center" wrapText="1"/>
    </xf>
    <xf numFmtId="0" fontId="37" fillId="0" borderId="65" xfId="0" applyFont="1" applyBorder="1" applyAlignment="1">
      <alignment vertical="center"/>
    </xf>
    <xf numFmtId="0" fontId="51" fillId="0" borderId="67" xfId="3" applyFont="1" applyBorder="1" applyAlignment="1" applyProtection="1">
      <alignment horizontal="center" vertical="center" wrapText="1"/>
    </xf>
    <xf numFmtId="14" fontId="24" fillId="0" borderId="67" xfId="0" applyNumberFormat="1" applyFont="1" applyBorder="1" applyAlignment="1">
      <alignment horizontal="right" vertical="center"/>
    </xf>
    <xf numFmtId="14" fontId="24" fillId="0" borderId="67" xfId="0" applyNumberFormat="1" applyFont="1" applyBorder="1" applyAlignment="1">
      <alignment horizontal="center" vertical="center"/>
    </xf>
    <xf numFmtId="2" fontId="24" fillId="0" borderId="68" xfId="0" applyNumberFormat="1" applyFont="1" applyBorder="1" applyAlignment="1">
      <alignment horizontal="right" vertical="center"/>
    </xf>
    <xf numFmtId="0" fontId="51" fillId="0" borderId="17" xfId="3" applyFont="1" applyBorder="1" applyAlignment="1" applyProtection="1">
      <alignment horizontal="center" vertical="center" wrapText="1"/>
    </xf>
    <xf numFmtId="14" fontId="24" fillId="0" borderId="17" xfId="0" applyNumberFormat="1" applyFont="1" applyBorder="1" applyAlignment="1">
      <alignment horizontal="right" vertical="center"/>
    </xf>
    <xf numFmtId="14" fontId="24" fillId="0" borderId="17" xfId="0" applyNumberFormat="1" applyFont="1" applyBorder="1" applyAlignment="1">
      <alignment horizontal="center" vertical="center"/>
    </xf>
    <xf numFmtId="2" fontId="24" fillId="0" borderId="36" xfId="0" applyNumberFormat="1" applyFont="1" applyBorder="1" applyAlignment="1">
      <alignment horizontal="right" vertical="center"/>
    </xf>
    <xf numFmtId="0" fontId="51" fillId="0" borderId="47" xfId="3" applyFont="1" applyBorder="1" applyAlignment="1" applyProtection="1">
      <alignment horizontal="center" vertical="center" wrapText="1"/>
    </xf>
    <xf numFmtId="14" fontId="24" fillId="0" borderId="47" xfId="0" applyNumberFormat="1" applyFont="1" applyBorder="1" applyAlignment="1">
      <alignment horizontal="right" vertical="center"/>
    </xf>
    <xf numFmtId="14" fontId="24" fillId="0" borderId="47" xfId="0" applyNumberFormat="1" applyFont="1" applyBorder="1" applyAlignment="1">
      <alignment horizontal="center" vertical="center"/>
    </xf>
    <xf numFmtId="2" fontId="24" fillId="0" borderId="38" xfId="0" applyNumberFormat="1" applyFont="1" applyBorder="1" applyAlignment="1">
      <alignment horizontal="right" vertical="center"/>
    </xf>
    <xf numFmtId="0" fontId="51" fillId="0" borderId="14" xfId="3" applyFont="1" applyBorder="1" applyAlignment="1" applyProtection="1">
      <alignment horizontal="center" vertical="center" wrapText="1"/>
    </xf>
    <xf numFmtId="14" fontId="24" fillId="0" borderId="14" xfId="0" applyNumberFormat="1" applyFont="1" applyBorder="1" applyAlignment="1">
      <alignment horizontal="right" vertical="center"/>
    </xf>
    <xf numFmtId="14" fontId="24" fillId="0" borderId="14" xfId="0" applyNumberFormat="1" applyFont="1" applyBorder="1" applyAlignment="1">
      <alignment horizontal="center" vertical="center"/>
    </xf>
    <xf numFmtId="2" fontId="24" fillId="0" borderId="35" xfId="0" applyNumberFormat="1" applyFont="1" applyBorder="1" applyAlignment="1">
      <alignment horizontal="right" vertical="center"/>
    </xf>
    <xf numFmtId="0" fontId="51" fillId="0" borderId="51" xfId="3" applyFont="1" applyBorder="1" applyAlignment="1" applyProtection="1">
      <alignment horizontal="center" vertical="center" wrapText="1"/>
    </xf>
    <xf numFmtId="14" fontId="24" fillId="0" borderId="51" xfId="0" applyNumberFormat="1" applyFont="1" applyBorder="1" applyAlignment="1">
      <alignment horizontal="right" vertical="center"/>
    </xf>
    <xf numFmtId="14" fontId="24" fillId="0" borderId="51" xfId="0" applyNumberFormat="1" applyFont="1" applyBorder="1" applyAlignment="1">
      <alignment horizontal="center" vertical="center"/>
    </xf>
    <xf numFmtId="2" fontId="24" fillId="0" borderId="69" xfId="0" applyNumberFormat="1" applyFont="1" applyBorder="1" applyAlignment="1">
      <alignment horizontal="right" vertical="center"/>
    </xf>
    <xf numFmtId="0" fontId="51" fillId="0" borderId="24" xfId="3" applyFont="1" applyBorder="1" applyAlignment="1" applyProtection="1">
      <alignment horizontal="center" vertical="center" wrapText="1"/>
    </xf>
    <xf numFmtId="14" fontId="24" fillId="0" borderId="24" xfId="0" applyNumberFormat="1" applyFont="1" applyBorder="1" applyAlignment="1">
      <alignment horizontal="right" vertical="center"/>
    </xf>
    <xf numFmtId="14" fontId="24" fillId="0" borderId="24" xfId="0" applyNumberFormat="1" applyFont="1" applyBorder="1" applyAlignment="1">
      <alignment horizontal="center" vertical="center"/>
    </xf>
    <xf numFmtId="2" fontId="24" fillId="0" borderId="40" xfId="0" applyNumberFormat="1" applyFont="1" applyBorder="1" applyAlignment="1">
      <alignment horizontal="right" vertical="center"/>
    </xf>
    <xf numFmtId="0" fontId="51" fillId="0" borderId="32" xfId="3" applyFont="1" applyBorder="1" applyAlignment="1" applyProtection="1">
      <alignment horizontal="center" vertical="center" wrapText="1"/>
    </xf>
    <xf numFmtId="14" fontId="24" fillId="0" borderId="32" xfId="0" applyNumberFormat="1" applyFont="1" applyBorder="1" applyAlignment="1">
      <alignment horizontal="right" vertical="center"/>
    </xf>
    <xf numFmtId="14" fontId="24" fillId="0" borderId="32" xfId="0" applyNumberFormat="1" applyFont="1" applyBorder="1" applyAlignment="1">
      <alignment horizontal="center" vertical="center"/>
    </xf>
    <xf numFmtId="2" fontId="24" fillId="0" borderId="57" xfId="0" applyNumberFormat="1" applyFont="1" applyBorder="1" applyAlignment="1">
      <alignment horizontal="right" vertical="center"/>
    </xf>
    <xf numFmtId="0" fontId="51" fillId="0" borderId="70" xfId="3" applyFont="1" applyBorder="1" applyAlignment="1" applyProtection="1">
      <alignment horizontal="center" vertical="center" wrapText="1"/>
    </xf>
    <xf numFmtId="14" fontId="24" fillId="0" borderId="70" xfId="0" applyNumberFormat="1" applyFont="1" applyBorder="1" applyAlignment="1">
      <alignment horizontal="center" vertical="center"/>
    </xf>
    <xf numFmtId="2" fontId="24" fillId="0" borderId="71" xfId="0" applyNumberFormat="1" applyFont="1" applyBorder="1" applyAlignment="1">
      <alignment horizontal="right" vertical="center"/>
    </xf>
    <xf numFmtId="0" fontId="51" fillId="0" borderId="73" xfId="3" applyFont="1" applyBorder="1" applyAlignment="1" applyProtection="1">
      <alignment horizontal="center" vertical="center" wrapText="1"/>
    </xf>
    <xf numFmtId="0" fontId="51" fillId="0" borderId="75" xfId="3" applyFont="1" applyBorder="1" applyAlignment="1" applyProtection="1">
      <alignment horizontal="center" vertical="center" wrapText="1"/>
    </xf>
    <xf numFmtId="0" fontId="51" fillId="0" borderId="23" xfId="3" applyFont="1" applyBorder="1" applyAlignment="1" applyProtection="1">
      <alignment horizontal="center" vertical="center" wrapText="1"/>
    </xf>
    <xf numFmtId="14" fontId="24" fillId="0" borderId="24" xfId="0" applyNumberFormat="1" applyFont="1" applyBorder="1" applyAlignment="1">
      <alignment horizontal="left" vertical="center"/>
    </xf>
    <xf numFmtId="0" fontId="51" fillId="0" borderId="31" xfId="3" applyFont="1" applyBorder="1" applyAlignment="1" applyProtection="1">
      <alignment horizontal="center" vertical="center" wrapText="1"/>
    </xf>
    <xf numFmtId="14" fontId="24" fillId="0" borderId="32" xfId="0" applyNumberFormat="1" applyFont="1" applyBorder="1" applyAlignment="1">
      <alignment horizontal="left" vertical="center"/>
    </xf>
    <xf numFmtId="0" fontId="51" fillId="0" borderId="77" xfId="3" applyFont="1" applyBorder="1" applyAlignment="1" applyProtection="1">
      <alignment horizontal="center" vertical="center" wrapText="1"/>
    </xf>
    <xf numFmtId="14" fontId="24" fillId="0" borderId="70" xfId="0" applyNumberFormat="1" applyFont="1" applyBorder="1" applyAlignment="1">
      <alignment horizontal="left" vertical="center"/>
    </xf>
    <xf numFmtId="0" fontId="51" fillId="6" borderId="23" xfId="3" applyFont="1" applyFill="1" applyBorder="1" applyAlignment="1" applyProtection="1">
      <alignment horizontal="center" vertical="center" wrapText="1"/>
    </xf>
    <xf numFmtId="14" fontId="24" fillId="6" borderId="24" xfId="0" applyNumberFormat="1" applyFont="1" applyFill="1" applyBorder="1" applyAlignment="1">
      <alignment horizontal="center" vertical="center"/>
    </xf>
    <xf numFmtId="14" fontId="24" fillId="6" borderId="24" xfId="0" applyNumberFormat="1" applyFont="1" applyFill="1" applyBorder="1" applyAlignment="1">
      <alignment horizontal="left" vertical="center"/>
    </xf>
    <xf numFmtId="2" fontId="24" fillId="6" borderId="40" xfId="0" applyNumberFormat="1" applyFont="1" applyFill="1" applyBorder="1" applyAlignment="1">
      <alignment horizontal="right" vertical="center"/>
    </xf>
    <xf numFmtId="0" fontId="51" fillId="7" borderId="23" xfId="3" applyFont="1" applyFill="1" applyBorder="1" applyAlignment="1" applyProtection="1">
      <alignment horizontal="center" vertical="center" wrapText="1"/>
    </xf>
    <xf numFmtId="0" fontId="51" fillId="0" borderId="77" xfId="3" applyFont="1" applyFill="1" applyBorder="1" applyAlignment="1" applyProtection="1">
      <alignment horizontal="center" vertical="center" wrapText="1"/>
    </xf>
    <xf numFmtId="0" fontId="51" fillId="0" borderId="23" xfId="3" applyFont="1" applyFill="1" applyBorder="1" applyAlignment="1" applyProtection="1">
      <alignment horizontal="center" vertical="center" wrapText="1"/>
    </xf>
    <xf numFmtId="0" fontId="51" fillId="0" borderId="31" xfId="3" applyFont="1" applyFill="1" applyBorder="1" applyAlignment="1" applyProtection="1">
      <alignment horizontal="center" vertical="center" wrapText="1"/>
    </xf>
    <xf numFmtId="0" fontId="51" fillId="0" borderId="78" xfId="3" applyFont="1" applyFill="1" applyBorder="1" applyAlignment="1" applyProtection="1">
      <alignment horizontal="center" vertical="center" wrapText="1"/>
    </xf>
    <xf numFmtId="14" fontId="24" fillId="0" borderId="79" xfId="0" applyNumberFormat="1" applyFont="1" applyBorder="1" applyAlignment="1">
      <alignment horizontal="center" vertical="center"/>
    </xf>
    <xf numFmtId="14" fontId="24" fillId="0" borderId="79" xfId="0" applyNumberFormat="1" applyFont="1" applyBorder="1" applyAlignment="1">
      <alignment horizontal="left" vertical="center"/>
    </xf>
    <xf numFmtId="2" fontId="24" fillId="0" borderId="80" xfId="0" applyNumberFormat="1" applyFont="1" applyBorder="1" applyAlignment="1">
      <alignment horizontal="right" vertical="center"/>
    </xf>
    <xf numFmtId="0" fontId="51" fillId="0" borderId="27" xfId="3" applyFont="1" applyFill="1" applyBorder="1" applyAlignment="1" applyProtection="1">
      <alignment horizontal="center" vertical="center" wrapText="1"/>
    </xf>
    <xf numFmtId="14" fontId="24" fillId="0" borderId="28" xfId="0" applyNumberFormat="1" applyFont="1" applyBorder="1" applyAlignment="1">
      <alignment horizontal="center" vertical="center"/>
    </xf>
    <xf numFmtId="14" fontId="24" fillId="0" borderId="28" xfId="0" applyNumberFormat="1" applyFont="1" applyBorder="1" applyAlignment="1">
      <alignment horizontal="left" vertical="center"/>
    </xf>
    <xf numFmtId="2" fontId="24" fillId="0" borderId="55" xfId="0" applyNumberFormat="1" applyFont="1" applyBorder="1" applyAlignment="1">
      <alignment horizontal="right" vertical="center"/>
    </xf>
    <xf numFmtId="0" fontId="51" fillId="0" borderId="50" xfId="3" applyFont="1" applyFill="1" applyBorder="1" applyAlignment="1" applyProtection="1">
      <alignment horizontal="center" vertical="center" wrapText="1"/>
    </xf>
    <xf numFmtId="14" fontId="24" fillId="0" borderId="51" xfId="0" applyNumberFormat="1" applyFont="1" applyBorder="1" applyAlignment="1">
      <alignment horizontal="left" vertical="center"/>
    </xf>
    <xf numFmtId="0" fontId="53" fillId="2" borderId="0" xfId="0" applyFont="1" applyFill="1" applyAlignment="1">
      <alignment horizontal="center" vertical="center" textRotation="90" wrapText="1"/>
    </xf>
    <xf numFmtId="0" fontId="3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7" fillId="2" borderId="37" xfId="0" applyFont="1" applyFill="1" applyBorder="1" applyAlignment="1">
      <alignment horizontal="center" vertical="center"/>
    </xf>
    <xf numFmtId="0" fontId="27" fillId="2" borderId="47" xfId="0" applyFont="1" applyFill="1" applyBorder="1" applyAlignment="1">
      <alignment horizontal="center" vertical="center"/>
    </xf>
    <xf numFmtId="0" fontId="27" fillId="2" borderId="47" xfId="0" applyFont="1" applyFill="1" applyBorder="1" applyAlignment="1">
      <alignment vertical="center"/>
    </xf>
    <xf numFmtId="0" fontId="27" fillId="2" borderId="38" xfId="0" applyFont="1" applyFill="1" applyBorder="1" applyAlignment="1">
      <alignment vertical="center"/>
    </xf>
    <xf numFmtId="2" fontId="21" fillId="0" borderId="14" xfId="0" applyNumberFormat="1" applyFont="1" applyBorder="1" applyAlignment="1">
      <alignment horizontal="center" vertical="center"/>
    </xf>
    <xf numFmtId="4" fontId="21" fillId="0" borderId="35" xfId="0" applyNumberFormat="1" applyFont="1" applyBorder="1" applyAlignment="1">
      <alignment horizontal="center" vertical="center"/>
    </xf>
    <xf numFmtId="2" fontId="21" fillId="0" borderId="36" xfId="0" applyNumberFormat="1" applyFont="1" applyBorder="1" applyAlignment="1">
      <alignment horizontal="center" vertical="center"/>
    </xf>
    <xf numFmtId="17" fontId="21" fillId="0" borderId="17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2" fontId="21" fillId="0" borderId="20" xfId="0" applyNumberFormat="1" applyFont="1" applyBorder="1" applyAlignment="1">
      <alignment horizontal="center" vertical="center"/>
    </xf>
    <xf numFmtId="2" fontId="21" fillId="0" borderId="39" xfId="0" applyNumberFormat="1" applyFont="1" applyBorder="1" applyAlignment="1">
      <alignment horizontal="center" vertical="center"/>
    </xf>
    <xf numFmtId="2" fontId="21" fillId="0" borderId="24" xfId="0" applyNumberFormat="1" applyFont="1" applyBorder="1" applyAlignment="1">
      <alignment horizontal="center" vertical="center"/>
    </xf>
    <xf numFmtId="2" fontId="21" fillId="0" borderId="40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17" fontId="35" fillId="0" borderId="0" xfId="0" applyNumberFormat="1" applyFont="1" applyAlignment="1">
      <alignment horizontal="center" vertical="center" wrapText="1"/>
    </xf>
    <xf numFmtId="2" fontId="21" fillId="0" borderId="28" xfId="0" applyNumberFormat="1" applyFont="1" applyBorder="1" applyAlignment="1">
      <alignment horizontal="center" vertical="center"/>
    </xf>
    <xf numFmtId="2" fontId="21" fillId="0" borderId="55" xfId="0" applyNumberFormat="1" applyFont="1" applyBorder="1" applyAlignment="1">
      <alignment horizontal="center" vertical="center"/>
    </xf>
    <xf numFmtId="17" fontId="57" fillId="0" borderId="0" xfId="0" applyNumberFormat="1" applyFont="1" applyAlignment="1">
      <alignment horizontal="center" vertical="center" wrapText="1"/>
    </xf>
    <xf numFmtId="2" fontId="21" fillId="0" borderId="32" xfId="0" applyNumberFormat="1" applyFont="1" applyBorder="1" applyAlignment="1">
      <alignment horizontal="center" vertical="center"/>
    </xf>
    <xf numFmtId="2" fontId="21" fillId="0" borderId="57" xfId="0" applyNumberFormat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2" fontId="58" fillId="0" borderId="0" xfId="0" applyNumberFormat="1" applyFont="1" applyAlignment="1">
      <alignment horizontal="center" vertical="center"/>
    </xf>
    <xf numFmtId="0" fontId="41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61" fillId="2" borderId="84" xfId="0" applyFont="1" applyFill="1" applyBorder="1" applyAlignment="1">
      <alignment horizontal="center" vertical="center" wrapText="1"/>
    </xf>
    <xf numFmtId="0" fontId="61" fillId="2" borderId="43" xfId="0" applyFont="1" applyFill="1" applyBorder="1" applyAlignment="1">
      <alignment horizontal="center" vertical="center" wrapText="1"/>
    </xf>
    <xf numFmtId="0" fontId="61" fillId="2" borderId="85" xfId="0" applyFont="1" applyFill="1" applyBorder="1" applyAlignment="1">
      <alignment horizontal="center" vertical="center" wrapText="1"/>
    </xf>
    <xf numFmtId="0" fontId="61" fillId="2" borderId="86" xfId="0" applyFont="1" applyFill="1" applyBorder="1" applyAlignment="1">
      <alignment horizontal="center" vertical="center" wrapText="1"/>
    </xf>
    <xf numFmtId="0" fontId="61" fillId="2" borderId="87" xfId="0" applyFont="1" applyFill="1" applyBorder="1" applyAlignment="1">
      <alignment horizontal="center" vertical="center" wrapText="1"/>
    </xf>
    <xf numFmtId="0" fontId="61" fillId="2" borderId="88" xfId="0" applyFont="1" applyFill="1" applyBorder="1" applyAlignment="1">
      <alignment horizontal="center" vertical="center" wrapText="1"/>
    </xf>
    <xf numFmtId="0" fontId="29" fillId="2" borderId="78" xfId="0" applyFont="1" applyFill="1" applyBorder="1" applyAlignment="1">
      <alignment horizontal="left" vertical="center" wrapText="1"/>
    </xf>
    <xf numFmtId="2" fontId="24" fillId="0" borderId="89" xfId="0" applyNumberFormat="1" applyFont="1" applyBorder="1" applyAlignment="1">
      <alignment horizontal="center" vertical="center" wrapText="1"/>
    </xf>
    <xf numFmtId="2" fontId="24" fillId="0" borderId="79" xfId="0" applyNumberFormat="1" applyFont="1" applyBorder="1" applyAlignment="1">
      <alignment horizontal="center" vertical="center" wrapText="1"/>
    </xf>
    <xf numFmtId="2" fontId="24" fillId="0" borderId="13" xfId="0" applyNumberFormat="1" applyFont="1" applyBorder="1" applyAlignment="1">
      <alignment horizontal="center" vertical="center" wrapText="1"/>
    </xf>
    <xf numFmtId="2" fontId="24" fillId="0" borderId="90" xfId="0" applyNumberFormat="1" applyFont="1" applyBorder="1" applyAlignment="1">
      <alignment horizontal="center" vertical="center" wrapText="1"/>
    </xf>
    <xf numFmtId="2" fontId="24" fillId="0" borderId="91" xfId="0" applyNumberFormat="1" applyFont="1" applyBorder="1" applyAlignment="1">
      <alignment horizontal="center" vertical="center" wrapText="1"/>
    </xf>
    <xf numFmtId="2" fontId="24" fillId="0" borderId="92" xfId="0" applyNumberFormat="1" applyFont="1" applyBorder="1" applyAlignment="1">
      <alignment horizontal="center" vertical="center" wrapText="1"/>
    </xf>
    <xf numFmtId="2" fontId="24" fillId="0" borderId="93" xfId="0" applyNumberFormat="1" applyFont="1" applyBorder="1" applyAlignment="1">
      <alignment horizontal="center" vertical="center" wrapText="1"/>
    </xf>
    <xf numFmtId="2" fontId="24" fillId="0" borderId="94" xfId="0" applyNumberFormat="1" applyFont="1" applyBorder="1" applyAlignment="1">
      <alignment horizontal="center" vertical="center" wrapText="1"/>
    </xf>
    <xf numFmtId="2" fontId="24" fillId="0" borderId="95" xfId="0" applyNumberFormat="1" applyFont="1" applyBorder="1" applyAlignment="1">
      <alignment horizontal="center" vertical="center" wrapText="1"/>
    </xf>
    <xf numFmtId="2" fontId="24" fillId="0" borderId="96" xfId="0" applyNumberFormat="1" applyFont="1" applyBorder="1" applyAlignment="1">
      <alignment horizontal="center" vertical="center" wrapText="1"/>
    </xf>
    <xf numFmtId="2" fontId="24" fillId="0" borderId="97" xfId="0" applyNumberFormat="1" applyFont="1" applyBorder="1" applyAlignment="1">
      <alignment horizontal="center" vertical="center" wrapText="1"/>
    </xf>
    <xf numFmtId="2" fontId="24" fillId="0" borderId="98" xfId="0" applyNumberFormat="1" applyFont="1" applyBorder="1" applyAlignment="1">
      <alignment horizontal="center" vertical="center" wrapText="1"/>
    </xf>
    <xf numFmtId="0" fontId="29" fillId="2" borderId="23" xfId="0" applyFont="1" applyFill="1" applyBorder="1" applyAlignment="1">
      <alignment horizontal="left" vertical="center" wrapText="1"/>
    </xf>
    <xf numFmtId="2" fontId="24" fillId="0" borderId="75" xfId="0" applyNumberFormat="1" applyFont="1" applyBorder="1" applyAlignment="1">
      <alignment horizontal="center" vertical="center" wrapText="1"/>
    </xf>
    <xf numFmtId="2" fontId="24" fillId="0" borderId="24" xfId="0" applyNumberFormat="1" applyFont="1" applyBorder="1" applyAlignment="1">
      <alignment horizontal="center" vertical="center" wrapText="1"/>
    </xf>
    <xf numFmtId="2" fontId="24" fillId="0" borderId="25" xfId="0" applyNumberFormat="1" applyFont="1" applyBorder="1" applyAlignment="1">
      <alignment horizontal="center" vertical="center" wrapText="1"/>
    </xf>
    <xf numFmtId="2" fontId="24" fillId="0" borderId="99" xfId="0" applyNumberFormat="1" applyFont="1" applyBorder="1" applyAlignment="1">
      <alignment horizontal="center" vertical="center" wrapText="1"/>
    </xf>
    <xf numFmtId="2" fontId="24" fillId="0" borderId="100" xfId="0" applyNumberFormat="1" applyFont="1" applyBorder="1" applyAlignment="1">
      <alignment horizontal="center" vertical="center" wrapText="1"/>
    </xf>
    <xf numFmtId="2" fontId="24" fillId="0" borderId="101" xfId="0" applyNumberFormat="1" applyFont="1" applyBorder="1" applyAlignment="1">
      <alignment horizontal="center" vertical="center" wrapText="1"/>
    </xf>
    <xf numFmtId="2" fontId="24" fillId="0" borderId="102" xfId="0" applyNumberFormat="1" applyFont="1" applyBorder="1" applyAlignment="1">
      <alignment horizontal="center" vertical="center" wrapText="1"/>
    </xf>
    <xf numFmtId="2" fontId="24" fillId="0" borderId="103" xfId="0" applyNumberFormat="1" applyFont="1" applyBorder="1" applyAlignment="1">
      <alignment horizontal="center" vertical="center" wrapText="1"/>
    </xf>
    <xf numFmtId="2" fontId="24" fillId="0" borderId="104" xfId="0" applyNumberFormat="1" applyFont="1" applyBorder="1" applyAlignment="1">
      <alignment horizontal="center" vertical="center" wrapText="1"/>
    </xf>
    <xf numFmtId="2" fontId="24" fillId="0" borderId="105" xfId="0" applyNumberFormat="1" applyFont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left" vertical="center" wrapText="1"/>
    </xf>
    <xf numFmtId="2" fontId="24" fillId="0" borderId="106" xfId="0" applyNumberFormat="1" applyFont="1" applyBorder="1" applyAlignment="1">
      <alignment horizontal="center" vertical="center" wrapText="1"/>
    </xf>
    <xf numFmtId="2" fontId="24" fillId="0" borderId="32" xfId="0" applyNumberFormat="1" applyFont="1" applyBorder="1" applyAlignment="1">
      <alignment horizontal="center" vertical="center" wrapText="1"/>
    </xf>
    <xf numFmtId="2" fontId="24" fillId="0" borderId="107" xfId="0" applyNumberFormat="1" applyFont="1" applyBorder="1" applyAlignment="1">
      <alignment horizontal="center" vertical="center" wrapText="1"/>
    </xf>
    <xf numFmtId="2" fontId="24" fillId="0" borderId="108" xfId="0" applyNumberFormat="1" applyFont="1" applyBorder="1" applyAlignment="1">
      <alignment horizontal="center" vertical="center" wrapText="1"/>
    </xf>
    <xf numFmtId="2" fontId="24" fillId="0" borderId="109" xfId="0" applyNumberFormat="1" applyFont="1" applyBorder="1" applyAlignment="1">
      <alignment horizontal="center" vertical="center" wrapText="1"/>
    </xf>
    <xf numFmtId="2" fontId="24" fillId="0" borderId="110" xfId="0" applyNumberFormat="1" applyFont="1" applyBorder="1" applyAlignment="1">
      <alignment horizontal="center" vertical="center" wrapText="1"/>
    </xf>
    <xf numFmtId="2" fontId="24" fillId="0" borderId="111" xfId="0" applyNumberFormat="1" applyFont="1" applyBorder="1" applyAlignment="1">
      <alignment horizontal="center" vertical="center" wrapText="1"/>
    </xf>
    <xf numFmtId="2" fontId="24" fillId="0" borderId="112" xfId="0" applyNumberFormat="1" applyFont="1" applyBorder="1" applyAlignment="1">
      <alignment horizontal="center" vertical="center" wrapText="1"/>
    </xf>
    <xf numFmtId="2" fontId="24" fillId="0" borderId="113" xfId="0" applyNumberFormat="1" applyFont="1" applyBorder="1" applyAlignment="1">
      <alignment horizontal="center" vertical="center" wrapText="1"/>
    </xf>
    <xf numFmtId="4" fontId="30" fillId="0" borderId="0" xfId="0" quotePrefix="1" applyNumberFormat="1" applyFont="1" applyAlignment="1">
      <alignment horizontal="left" vertical="center"/>
    </xf>
    <xf numFmtId="4" fontId="24" fillId="0" borderId="0" xfId="0" applyNumberFormat="1" applyFont="1" applyAlignment="1">
      <alignment horizontal="left" vertical="center"/>
    </xf>
    <xf numFmtId="4" fontId="24" fillId="0" borderId="41" xfId="0" applyNumberFormat="1" applyFont="1" applyBorder="1" applyAlignment="1">
      <alignment vertical="center"/>
    </xf>
    <xf numFmtId="0" fontId="62" fillId="0" borderId="0" xfId="0" applyFont="1" applyAlignment="1">
      <alignment vertical="top" wrapText="1" indent="1"/>
    </xf>
    <xf numFmtId="0" fontId="19" fillId="0" borderId="0" xfId="0" applyFont="1" applyAlignment="1">
      <alignment horizontal="center" vertical="center" wrapText="1"/>
    </xf>
    <xf numFmtId="0" fontId="15" fillId="4" borderId="0" xfId="0" applyFont="1" applyFill="1"/>
    <xf numFmtId="0" fontId="62" fillId="0" borderId="0" xfId="0" applyFont="1" applyAlignment="1">
      <alignment vertical="center" wrapText="1"/>
    </xf>
    <xf numFmtId="0" fontId="63" fillId="0" borderId="0" xfId="0" applyFont="1" applyAlignment="1">
      <alignment horizontal="left" vertical="center" wrapText="1"/>
    </xf>
    <xf numFmtId="0" fontId="62" fillId="4" borderId="0" xfId="0" applyFont="1" applyFill="1" applyAlignment="1">
      <alignment vertical="top" wrapText="1" indent="1"/>
    </xf>
    <xf numFmtId="2" fontId="49" fillId="0" borderId="0" xfId="0" applyNumberFormat="1" applyFont="1" applyAlignment="1">
      <alignment horizontal="left" vertical="center" wrapText="1"/>
    </xf>
    <xf numFmtId="4" fontId="24" fillId="0" borderId="0" xfId="0" quotePrefix="1" applyNumberFormat="1" applyFont="1" applyAlignment="1">
      <alignment horizontal="left" vertical="center"/>
    </xf>
    <xf numFmtId="0" fontId="19" fillId="6" borderId="0" xfId="0" applyFont="1" applyFill="1" applyAlignment="1">
      <alignment vertical="top" wrapText="1"/>
    </xf>
    <xf numFmtId="0" fontId="19" fillId="6" borderId="0" xfId="0" applyFont="1" applyFill="1" applyAlignment="1">
      <alignment horizontal="center" vertical="center" wrapText="1"/>
    </xf>
    <xf numFmtId="0" fontId="28" fillId="6" borderId="0" xfId="0" applyFont="1" applyFill="1" applyAlignment="1">
      <alignment vertical="center" wrapText="1"/>
    </xf>
    <xf numFmtId="0" fontId="28" fillId="6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vertical="center" wrapText="1"/>
    </xf>
    <xf numFmtId="0" fontId="15" fillId="6" borderId="0" xfId="0" applyFont="1" applyFill="1" applyAlignment="1">
      <alignment vertical="top" wrapText="1"/>
    </xf>
    <xf numFmtId="0" fontId="29" fillId="6" borderId="0" xfId="0" applyFont="1" applyFill="1" applyAlignment="1">
      <alignment vertical="top" wrapText="1"/>
    </xf>
    <xf numFmtId="2" fontId="64" fillId="6" borderId="0" xfId="0" applyNumberFormat="1" applyFont="1" applyFill="1" applyAlignment="1">
      <alignment horizontal="center" vertical="top" wrapText="1"/>
    </xf>
    <xf numFmtId="0" fontId="65" fillId="0" borderId="0" xfId="0" applyFont="1"/>
    <xf numFmtId="2" fontId="15" fillId="6" borderId="0" xfId="0" applyNumberFormat="1" applyFont="1" applyFill="1" applyAlignment="1">
      <alignment vertical="top" wrapText="1"/>
    </xf>
    <xf numFmtId="10" fontId="24" fillId="0" borderId="0" xfId="2" applyNumberFormat="1" applyFont="1" applyAlignment="1">
      <alignment vertical="center"/>
    </xf>
    <xf numFmtId="4" fontId="66" fillId="0" borderId="0" xfId="0" applyNumberFormat="1" applyFont="1" applyAlignment="1">
      <alignment vertical="center"/>
    </xf>
    <xf numFmtId="0" fontId="19" fillId="4" borderId="0" xfId="0" applyFont="1" applyFill="1" applyAlignment="1">
      <alignment vertical="top" wrapText="1"/>
    </xf>
    <xf numFmtId="0" fontId="15" fillId="4" borderId="0" xfId="0" applyFont="1" applyFill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2" fontId="49" fillId="6" borderId="0" xfId="0" applyNumberFormat="1" applyFont="1" applyFill="1" applyAlignment="1">
      <alignment horizontal="center" vertical="top" wrapText="1"/>
    </xf>
    <xf numFmtId="2" fontId="15" fillId="4" borderId="0" xfId="0" applyNumberFormat="1" applyFont="1" applyFill="1" applyAlignment="1">
      <alignment vertical="top" wrapText="1"/>
    </xf>
    <xf numFmtId="0" fontId="15" fillId="4" borderId="0" xfId="0" applyFont="1" applyFill="1" applyAlignment="1">
      <alignment vertical="top" wrapText="1"/>
    </xf>
    <xf numFmtId="0" fontId="18" fillId="4" borderId="0" xfId="0" applyFont="1" applyFill="1" applyAlignment="1">
      <alignment vertical="top" wrapText="1"/>
    </xf>
    <xf numFmtId="0" fontId="67" fillId="4" borderId="0" xfId="0" applyFont="1" applyFill="1" applyAlignment="1">
      <alignment horizontal="center" vertical="center" wrapText="1"/>
    </xf>
    <xf numFmtId="0" fontId="67" fillId="4" borderId="0" xfId="0" applyFont="1" applyFill="1" applyAlignment="1">
      <alignment vertical="top" wrapText="1"/>
    </xf>
    <xf numFmtId="0" fontId="27" fillId="2" borderId="11" xfId="0" applyFont="1" applyFill="1" applyBorder="1" applyAlignment="1">
      <alignment horizontal="center"/>
    </xf>
    <xf numFmtId="0" fontId="27" fillId="2" borderId="12" xfId="0" applyFont="1" applyFill="1" applyBorder="1" applyAlignment="1">
      <alignment horizontal="center"/>
    </xf>
    <xf numFmtId="0" fontId="27" fillId="2" borderId="46" xfId="0" applyFont="1" applyFill="1" applyBorder="1" applyAlignment="1">
      <alignment horizontal="center"/>
    </xf>
    <xf numFmtId="0" fontId="46" fillId="0" borderId="16" xfId="0" applyFont="1" applyBorder="1" applyAlignment="1">
      <alignment horizontal="center"/>
    </xf>
    <xf numFmtId="0" fontId="46" fillId="0" borderId="17" xfId="0" applyFont="1" applyBorder="1" applyAlignment="1">
      <alignment horizontal="center"/>
    </xf>
    <xf numFmtId="170" fontId="46" fillId="0" borderId="36" xfId="0" applyNumberFormat="1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170" fontId="21" fillId="0" borderId="36" xfId="0" applyNumberFormat="1" applyFont="1" applyBorder="1" applyAlignment="1">
      <alignment horizontal="center"/>
    </xf>
    <xf numFmtId="17" fontId="21" fillId="0" borderId="17" xfId="0" applyNumberFormat="1" applyFont="1" applyBorder="1" applyAlignment="1">
      <alignment horizontal="center"/>
    </xf>
    <xf numFmtId="2" fontId="21" fillId="0" borderId="17" xfId="0" applyNumberFormat="1" applyFont="1" applyBorder="1" applyAlignment="1">
      <alignment horizontal="center"/>
    </xf>
    <xf numFmtId="0" fontId="69" fillId="0" borderId="0" xfId="0" applyFont="1"/>
    <xf numFmtId="0" fontId="21" fillId="0" borderId="19" xfId="0" applyFont="1" applyBorder="1" applyAlignment="1">
      <alignment horizontal="center"/>
    </xf>
    <xf numFmtId="17" fontId="21" fillId="0" borderId="20" xfId="0" applyNumberFormat="1" applyFont="1" applyBorder="1" applyAlignment="1">
      <alignment horizontal="center"/>
    </xf>
    <xf numFmtId="2" fontId="21" fillId="0" borderId="20" xfId="0" applyNumberFormat="1" applyFont="1" applyBorder="1" applyAlignment="1">
      <alignment horizontal="center"/>
    </xf>
    <xf numFmtId="170" fontId="21" fillId="0" borderId="39" xfId="0" applyNumberFormat="1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17" fontId="21" fillId="0" borderId="24" xfId="0" applyNumberFormat="1" applyFont="1" applyBorder="1" applyAlignment="1">
      <alignment horizontal="center"/>
    </xf>
    <xf numFmtId="2" fontId="21" fillId="0" borderId="24" xfId="0" applyNumberFormat="1" applyFont="1" applyBorder="1" applyAlignment="1">
      <alignment horizontal="center"/>
    </xf>
    <xf numFmtId="170" fontId="21" fillId="0" borderId="40" xfId="0" applyNumberFormat="1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17" fontId="21" fillId="0" borderId="28" xfId="0" applyNumberFormat="1" applyFont="1" applyBorder="1" applyAlignment="1">
      <alignment horizontal="center"/>
    </xf>
    <xf numFmtId="2" fontId="21" fillId="0" borderId="28" xfId="0" applyNumberFormat="1" applyFont="1" applyBorder="1" applyAlignment="1">
      <alignment horizontal="center"/>
    </xf>
    <xf numFmtId="170" fontId="21" fillId="0" borderId="55" xfId="0" applyNumberFormat="1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17" fontId="21" fillId="0" borderId="32" xfId="0" applyNumberFormat="1" applyFont="1" applyBorder="1" applyAlignment="1">
      <alignment horizontal="center"/>
    </xf>
    <xf numFmtId="2" fontId="21" fillId="0" borderId="32" xfId="0" applyNumberFormat="1" applyFont="1" applyBorder="1" applyAlignment="1">
      <alignment horizontal="center"/>
    </xf>
    <xf numFmtId="170" fontId="21" fillId="0" borderId="57" xfId="0" applyNumberFormat="1" applyFont="1" applyBorder="1" applyAlignment="1">
      <alignment horizontal="center"/>
    </xf>
    <xf numFmtId="0" fontId="70" fillId="0" borderId="0" xfId="0" applyFont="1"/>
    <xf numFmtId="49" fontId="71" fillId="0" borderId="0" xfId="0" applyNumberFormat="1" applyFont="1"/>
    <xf numFmtId="2" fontId="15" fillId="0" borderId="0" xfId="0" applyNumberFormat="1" applyFont="1" applyAlignment="1">
      <alignment horizontal="center"/>
    </xf>
    <xf numFmtId="0" fontId="72" fillId="0" borderId="0" xfId="3" applyFont="1" applyAlignment="1" applyProtection="1"/>
    <xf numFmtId="0" fontId="21" fillId="0" borderId="2" xfId="0" applyFont="1" applyBorder="1" applyAlignment="1">
      <alignment horizontal="center"/>
    </xf>
    <xf numFmtId="164" fontId="21" fillId="0" borderId="14" xfId="0" applyNumberFormat="1" applyFont="1" applyBorder="1" applyAlignment="1">
      <alignment horizontal="center"/>
    </xf>
    <xf numFmtId="172" fontId="21" fillId="0" borderId="14" xfId="0" applyNumberFormat="1" applyFont="1" applyBorder="1" applyAlignment="1">
      <alignment horizontal="center"/>
    </xf>
    <xf numFmtId="167" fontId="21" fillId="0" borderId="14" xfId="0" applyNumberFormat="1" applyFont="1" applyBorder="1" applyAlignment="1">
      <alignment horizontal="center"/>
    </xf>
    <xf numFmtId="167" fontId="21" fillId="0" borderId="5" xfId="0" applyNumberFormat="1" applyFont="1" applyBorder="1" applyAlignment="1">
      <alignment horizontal="center"/>
    </xf>
    <xf numFmtId="173" fontId="21" fillId="0" borderId="15" xfId="0" applyNumberFormat="1" applyFont="1" applyBorder="1" applyAlignment="1">
      <alignment horizontal="center"/>
    </xf>
    <xf numFmtId="164" fontId="21" fillId="0" borderId="17" xfId="0" applyNumberFormat="1" applyFont="1" applyBorder="1" applyAlignment="1">
      <alignment horizontal="center"/>
    </xf>
    <xf numFmtId="172" fontId="21" fillId="0" borderId="17" xfId="0" applyNumberFormat="1" applyFont="1" applyBorder="1" applyAlignment="1">
      <alignment horizontal="center"/>
    </xf>
    <xf numFmtId="167" fontId="21" fillId="0" borderId="17" xfId="0" applyNumberFormat="1" applyFont="1" applyBorder="1" applyAlignment="1">
      <alignment horizontal="center"/>
    </xf>
    <xf numFmtId="167" fontId="21" fillId="0" borderId="9" xfId="0" applyNumberFormat="1" applyFont="1" applyBorder="1" applyAlignment="1">
      <alignment horizontal="center"/>
    </xf>
    <xf numFmtId="173" fontId="21" fillId="0" borderId="18" xfId="0" applyNumberFormat="1" applyFont="1" applyBorder="1" applyAlignment="1">
      <alignment horizontal="center"/>
    </xf>
    <xf numFmtId="172" fontId="21" fillId="0" borderId="17" xfId="0" quotePrefix="1" applyNumberFormat="1" applyFont="1" applyBorder="1" applyAlignment="1">
      <alignment horizontal="center"/>
    </xf>
    <xf numFmtId="174" fontId="21" fillId="0" borderId="17" xfId="0" applyNumberFormat="1" applyFont="1" applyBorder="1" applyAlignment="1">
      <alignment horizontal="center"/>
    </xf>
    <xf numFmtId="174" fontId="21" fillId="0" borderId="20" xfId="0" applyNumberFormat="1" applyFont="1" applyBorder="1" applyAlignment="1">
      <alignment horizontal="center"/>
    </xf>
    <xf numFmtId="167" fontId="21" fillId="0" borderId="20" xfId="0" applyNumberFormat="1" applyFont="1" applyBorder="1" applyAlignment="1">
      <alignment horizontal="center"/>
    </xf>
    <xf numFmtId="167" fontId="21" fillId="0" borderId="21" xfId="0" applyNumberFormat="1" applyFont="1" applyBorder="1" applyAlignment="1">
      <alignment horizontal="center"/>
    </xf>
    <xf numFmtId="173" fontId="21" fillId="0" borderId="22" xfId="0" applyNumberFormat="1" applyFont="1" applyBorder="1" applyAlignment="1">
      <alignment horizontal="center"/>
    </xf>
    <xf numFmtId="174" fontId="21" fillId="0" borderId="24" xfId="0" applyNumberFormat="1" applyFont="1" applyBorder="1" applyAlignment="1">
      <alignment horizontal="center"/>
    </xf>
    <xf numFmtId="167" fontId="21" fillId="0" borderId="24" xfId="0" applyNumberFormat="1" applyFont="1" applyBorder="1" applyAlignment="1">
      <alignment horizontal="center"/>
    </xf>
    <xf numFmtId="167" fontId="21" fillId="0" borderId="25" xfId="0" applyNumberFormat="1" applyFont="1" applyBorder="1" applyAlignment="1">
      <alignment horizontal="center"/>
    </xf>
    <xf numFmtId="173" fontId="21" fillId="0" borderId="26" xfId="0" applyNumberFormat="1" applyFont="1" applyBorder="1" applyAlignment="1">
      <alignment horizontal="center"/>
    </xf>
    <xf numFmtId="2" fontId="40" fillId="0" borderId="0" xfId="0" applyNumberFormat="1" applyFont="1"/>
    <xf numFmtId="174" fontId="21" fillId="0" borderId="28" xfId="0" applyNumberFormat="1" applyFont="1" applyBorder="1" applyAlignment="1">
      <alignment horizontal="center"/>
    </xf>
    <xf numFmtId="167" fontId="21" fillId="0" borderId="28" xfId="0" applyNumberFormat="1" applyFont="1" applyBorder="1" applyAlignment="1">
      <alignment horizontal="center"/>
    </xf>
    <xf numFmtId="167" fontId="21" fillId="0" borderId="29" xfId="0" applyNumberFormat="1" applyFont="1" applyBorder="1" applyAlignment="1">
      <alignment horizontal="center"/>
    </xf>
    <xf numFmtId="174" fontId="21" fillId="0" borderId="32" xfId="0" applyNumberFormat="1" applyFont="1" applyBorder="1" applyAlignment="1">
      <alignment horizontal="center"/>
    </xf>
    <xf numFmtId="167" fontId="21" fillId="0" borderId="32" xfId="0" applyNumberFormat="1" applyFont="1" applyBorder="1" applyAlignment="1">
      <alignment horizontal="center"/>
    </xf>
    <xf numFmtId="167" fontId="21" fillId="0" borderId="33" xfId="0" applyNumberFormat="1" applyFont="1" applyBorder="1" applyAlignment="1">
      <alignment horizontal="center"/>
    </xf>
    <xf numFmtId="173" fontId="21" fillId="0" borderId="34" xfId="0" applyNumberFormat="1" applyFont="1" applyBorder="1" applyAlignment="1">
      <alignment horizontal="center"/>
    </xf>
    <xf numFmtId="0" fontId="37" fillId="0" borderId="0" xfId="0" applyFont="1" applyAlignment="1">
      <alignment horizontal="left" vertical="center"/>
    </xf>
    <xf numFmtId="17" fontId="15" fillId="0" borderId="0" xfId="0" applyNumberFormat="1" applyFont="1" applyAlignment="1">
      <alignment horizontal="center"/>
    </xf>
    <xf numFmtId="174" fontId="15" fillId="0" borderId="0" xfId="0" applyNumberFormat="1" applyFont="1" applyAlignment="1">
      <alignment horizontal="center"/>
    </xf>
    <xf numFmtId="2" fontId="38" fillId="5" borderId="0" xfId="0" applyNumberFormat="1" applyFont="1" applyFill="1" applyAlignment="1">
      <alignment horizontal="center"/>
    </xf>
    <xf numFmtId="2" fontId="38" fillId="0" borderId="0" xfId="0" applyNumberFormat="1" applyFont="1" applyAlignment="1">
      <alignment horizontal="center"/>
    </xf>
    <xf numFmtId="170" fontId="38" fillId="0" borderId="0" xfId="0" applyNumberFormat="1" applyFont="1" applyAlignment="1">
      <alignment horizontal="center"/>
    </xf>
    <xf numFmtId="49" fontId="73" fillId="0" borderId="0" xfId="0" applyNumberFormat="1" applyFont="1"/>
    <xf numFmtId="49" fontId="67" fillId="0" borderId="0" xfId="0" applyNumberFormat="1" applyFont="1"/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7" fontId="15" fillId="0" borderId="0" xfId="0" applyNumberFormat="1" applyFont="1" applyAlignment="1">
      <alignment horizontal="left"/>
    </xf>
    <xf numFmtId="0" fontId="38" fillId="0" borderId="0" xfId="0" applyFont="1"/>
    <xf numFmtId="0" fontId="15" fillId="0" borderId="0" xfId="0" quotePrefix="1" applyFont="1" applyAlignment="1">
      <alignment horizontal="left"/>
    </xf>
    <xf numFmtId="0" fontId="39" fillId="0" borderId="0" xfId="0" applyFont="1" applyAlignment="1">
      <alignment vertical="center" wrapText="1"/>
    </xf>
    <xf numFmtId="0" fontId="75" fillId="0" borderId="0" xfId="0" applyFont="1" applyAlignment="1">
      <alignment vertical="center" wrapText="1"/>
    </xf>
    <xf numFmtId="0" fontId="76" fillId="0" borderId="0" xfId="0" quotePrefix="1" applyFont="1" applyAlignment="1">
      <alignment vertical="center"/>
    </xf>
    <xf numFmtId="0" fontId="28" fillId="0" borderId="0" xfId="0" applyFont="1" applyAlignment="1">
      <alignment vertical="center" wrapText="1"/>
    </xf>
    <xf numFmtId="10" fontId="38" fillId="0" borderId="0" xfId="0" applyNumberFormat="1" applyFont="1" applyAlignment="1">
      <alignment horizontal="center"/>
    </xf>
    <xf numFmtId="0" fontId="38" fillId="0" borderId="0" xfId="0" applyFont="1" applyAlignment="1">
      <alignment horizontal="center"/>
    </xf>
    <xf numFmtId="0" fontId="21" fillId="0" borderId="121" xfId="0" applyFont="1" applyBorder="1" applyAlignment="1">
      <alignment horizontal="center"/>
    </xf>
    <xf numFmtId="17" fontId="21" fillId="0" borderId="122" xfId="0" applyNumberFormat="1" applyFont="1" applyBorder="1" applyAlignment="1">
      <alignment horizontal="center"/>
    </xf>
    <xf numFmtId="2" fontId="21" fillId="0" borderId="122" xfId="0" applyNumberFormat="1" applyFont="1" applyBorder="1" applyAlignment="1">
      <alignment horizontal="center"/>
    </xf>
    <xf numFmtId="2" fontId="21" fillId="0" borderId="62" xfId="0" applyNumberFormat="1" applyFont="1" applyBorder="1" applyAlignment="1">
      <alignment horizontal="center"/>
    </xf>
    <xf numFmtId="175" fontId="21" fillId="0" borderId="123" xfId="0" applyNumberFormat="1" applyFont="1" applyBorder="1" applyAlignment="1">
      <alignment horizontal="center"/>
    </xf>
    <xf numFmtId="2" fontId="21" fillId="0" borderId="40" xfId="0" applyNumberFormat="1" applyFont="1" applyBorder="1" applyAlignment="1">
      <alignment horizontal="center"/>
    </xf>
    <xf numFmtId="10" fontId="38" fillId="0" borderId="0" xfId="0" applyNumberFormat="1" applyFont="1" applyAlignment="1">
      <alignment horizontal="center" vertical="center"/>
    </xf>
    <xf numFmtId="10" fontId="38" fillId="0" borderId="0" xfId="0" applyNumberFormat="1" applyFont="1"/>
    <xf numFmtId="10" fontId="38" fillId="0" borderId="0" xfId="0" applyNumberFormat="1" applyFont="1" applyAlignment="1">
      <alignment vertical="center"/>
    </xf>
    <xf numFmtId="10" fontId="15" fillId="0" borderId="0" xfId="0" applyNumberFormat="1" applyFont="1" applyAlignment="1">
      <alignment horizontal="center" vertical="center"/>
    </xf>
    <xf numFmtId="175" fontId="21" fillId="0" borderId="24" xfId="0" applyNumberFormat="1" applyFont="1" applyBorder="1" applyAlignment="1">
      <alignment horizontal="center"/>
    </xf>
    <xf numFmtId="10" fontId="15" fillId="0" borderId="0" xfId="0" applyNumberFormat="1" applyFont="1" applyAlignment="1">
      <alignment horizontal="center"/>
    </xf>
    <xf numFmtId="10" fontId="15" fillId="0" borderId="0" xfId="0" applyNumberFormat="1" applyFont="1" applyAlignment="1">
      <alignment vertical="center"/>
    </xf>
    <xf numFmtId="171" fontId="15" fillId="0" borderId="0" xfId="0" applyNumberFormat="1" applyFont="1" applyAlignment="1">
      <alignment horizontal="center" vertical="center"/>
    </xf>
    <xf numFmtId="175" fontId="21" fillId="0" borderId="0" xfId="0" applyNumberFormat="1" applyFont="1" applyAlignment="1">
      <alignment horizontal="center"/>
    </xf>
    <xf numFmtId="176" fontId="15" fillId="0" borderId="0" xfId="1" applyNumberFormat="1" applyFont="1" applyAlignment="1">
      <alignment horizontal="center" vertical="center"/>
    </xf>
    <xf numFmtId="43" fontId="15" fillId="0" borderId="0" xfId="1" applyFont="1" applyAlignment="1">
      <alignment horizontal="center" vertical="center"/>
    </xf>
    <xf numFmtId="4" fontId="15" fillId="0" borderId="0" xfId="1" applyNumberFormat="1" applyFont="1" applyAlignment="1">
      <alignment horizontal="center"/>
    </xf>
    <xf numFmtId="175" fontId="21" fillId="0" borderId="28" xfId="0" applyNumberFormat="1" applyFont="1" applyBorder="1" applyAlignment="1">
      <alignment horizontal="center"/>
    </xf>
    <xf numFmtId="175" fontId="21" fillId="0" borderId="124" xfId="0" applyNumberFormat="1" applyFont="1" applyBorder="1" applyAlignment="1">
      <alignment horizontal="center"/>
    </xf>
    <xf numFmtId="2" fontId="21" fillId="0" borderId="55" xfId="0" applyNumberFormat="1" applyFont="1" applyBorder="1" applyAlignment="1">
      <alignment horizontal="center"/>
    </xf>
    <xf numFmtId="0" fontId="67" fillId="0" borderId="0" xfId="0" applyFont="1" applyAlignment="1">
      <alignment vertical="top"/>
    </xf>
    <xf numFmtId="43" fontId="15" fillId="0" borderId="0" xfId="0" applyNumberFormat="1" applyFont="1"/>
    <xf numFmtId="0" fontId="78" fillId="0" borderId="0" xfId="0" applyFont="1"/>
    <xf numFmtId="0" fontId="30" fillId="0" borderId="10" xfId="4" applyFont="1" applyBorder="1" applyAlignment="1">
      <alignment horizontal="center" vertical="center"/>
    </xf>
    <xf numFmtId="0" fontId="34" fillId="0" borderId="21" xfId="4" applyFont="1" applyBorder="1"/>
    <xf numFmtId="167" fontId="34" fillId="0" borderId="25" xfId="4" applyNumberFormat="1" applyFont="1" applyBorder="1"/>
    <xf numFmtId="166" fontId="34" fillId="0" borderId="129" xfId="4" applyNumberFormat="1" applyFont="1" applyBorder="1" applyAlignment="1">
      <alignment horizontal="center" vertical="center"/>
    </xf>
    <xf numFmtId="166" fontId="34" fillId="0" borderId="130" xfId="4" applyNumberFormat="1" applyFont="1" applyBorder="1" applyAlignment="1">
      <alignment horizontal="center" vertical="center"/>
    </xf>
    <xf numFmtId="0" fontId="4" fillId="0" borderId="0" xfId="3" applyAlignment="1" applyProtection="1">
      <alignment horizontal="left" vertical="center"/>
    </xf>
    <xf numFmtId="44" fontId="15" fillId="0" borderId="0" xfId="8" applyFont="1" applyAlignment="1">
      <alignment vertical="center"/>
    </xf>
    <xf numFmtId="2" fontId="24" fillId="0" borderId="131" xfId="0" applyNumberFormat="1" applyFont="1" applyBorder="1" applyAlignment="1">
      <alignment horizontal="center" vertical="center" wrapText="1"/>
    </xf>
    <xf numFmtId="2" fontId="24" fillId="0" borderId="132" xfId="0" applyNumberFormat="1" applyFont="1" applyBorder="1" applyAlignment="1">
      <alignment horizontal="center" vertical="center" wrapText="1"/>
    </xf>
    <xf numFmtId="2" fontId="24" fillId="0" borderId="133" xfId="0" applyNumberFormat="1" applyFont="1" applyBorder="1" applyAlignment="1">
      <alignment horizontal="center" vertical="center" wrapText="1"/>
    </xf>
    <xf numFmtId="2" fontId="24" fillId="0" borderId="134" xfId="0" applyNumberFormat="1" applyFont="1" applyBorder="1" applyAlignment="1">
      <alignment horizontal="center" vertical="center" wrapText="1"/>
    </xf>
    <xf numFmtId="2" fontId="24" fillId="0" borderId="40" xfId="0" applyNumberFormat="1" applyFont="1" applyBorder="1" applyAlignment="1">
      <alignment horizontal="center" vertical="center" wrapText="1"/>
    </xf>
    <xf numFmtId="2" fontId="24" fillId="0" borderId="57" xfId="0" applyNumberFormat="1" applyFont="1" applyBorder="1" applyAlignment="1">
      <alignment horizontal="center" vertical="center" wrapText="1"/>
    </xf>
    <xf numFmtId="0" fontId="61" fillId="2" borderId="135" xfId="0" applyFont="1" applyFill="1" applyBorder="1" applyAlignment="1">
      <alignment horizontal="center" vertical="center" wrapText="1"/>
    </xf>
    <xf numFmtId="167" fontId="21" fillId="0" borderId="138" xfId="0" applyNumberFormat="1" applyFont="1" applyBorder="1" applyAlignment="1">
      <alignment horizontal="center" vertical="center"/>
    </xf>
    <xf numFmtId="43" fontId="21" fillId="0" borderId="138" xfId="1" applyFont="1" applyBorder="1" applyAlignment="1">
      <alignment horizontal="center" vertical="center"/>
    </xf>
    <xf numFmtId="43" fontId="21" fillId="0" borderId="137" xfId="1" applyFont="1" applyBorder="1" applyAlignment="1">
      <alignment horizontal="center" vertical="center"/>
    </xf>
    <xf numFmtId="167" fontId="21" fillId="6" borderId="139" xfId="0" applyNumberFormat="1" applyFont="1" applyFill="1" applyBorder="1" applyAlignment="1">
      <alignment horizontal="center" vertical="center"/>
    </xf>
    <xf numFmtId="167" fontId="22" fillId="8" borderId="136" xfId="0" applyNumberFormat="1" applyFont="1" applyFill="1" applyBorder="1" applyAlignment="1">
      <alignment horizontal="center" vertical="center" wrapText="1"/>
    </xf>
    <xf numFmtId="180" fontId="38" fillId="0" borderId="0" xfId="0" applyNumberFormat="1" applyFont="1" applyAlignment="1">
      <alignment vertical="center"/>
    </xf>
    <xf numFmtId="167" fontId="31" fillId="0" borderId="55" xfId="0" applyNumberFormat="1" applyFont="1" applyBorder="1" applyAlignment="1">
      <alignment horizontal="center"/>
    </xf>
    <xf numFmtId="167" fontId="31" fillId="0" borderId="57" xfId="0" applyNumberFormat="1" applyFont="1" applyBorder="1" applyAlignment="1">
      <alignment horizontal="center"/>
    </xf>
    <xf numFmtId="0" fontId="63" fillId="0" borderId="0" xfId="0" applyFont="1" applyAlignment="1">
      <alignment horizontal="left" vertical="top" wrapText="1"/>
    </xf>
    <xf numFmtId="0" fontId="21" fillId="0" borderId="140" xfId="0" applyFont="1" applyBorder="1" applyAlignment="1">
      <alignment horizontal="center" vertical="center"/>
    </xf>
    <xf numFmtId="0" fontId="4" fillId="0" borderId="0" xfId="3" applyAlignment="1" applyProtection="1"/>
    <xf numFmtId="0" fontId="34" fillId="0" borderId="32" xfId="4" applyFont="1" applyBorder="1" applyAlignment="1">
      <alignment horizontal="center"/>
    </xf>
    <xf numFmtId="4" fontId="34" fillId="0" borderId="32" xfId="4" applyNumberFormat="1" applyFont="1" applyBorder="1" applyAlignment="1">
      <alignment horizontal="center" vertical="center"/>
    </xf>
    <xf numFmtId="167" fontId="34" fillId="0" borderId="32" xfId="4" applyNumberFormat="1" applyFont="1" applyBorder="1" applyAlignment="1">
      <alignment horizontal="center"/>
    </xf>
    <xf numFmtId="166" fontId="34" fillId="0" borderId="142" xfId="4" applyNumberFormat="1" applyFont="1" applyBorder="1" applyAlignment="1">
      <alignment horizontal="center" vertical="center"/>
    </xf>
    <xf numFmtId="0" fontId="21" fillId="0" borderId="143" xfId="0" applyFont="1" applyBorder="1" applyAlignment="1">
      <alignment horizontal="center" vertical="center"/>
    </xf>
    <xf numFmtId="0" fontId="21" fillId="0" borderId="144" xfId="0" applyFont="1" applyBorder="1" applyAlignment="1">
      <alignment horizontal="center" vertical="center"/>
    </xf>
    <xf numFmtId="4" fontId="21" fillId="0" borderId="124" xfId="0" applyNumberFormat="1" applyFont="1" applyBorder="1" applyAlignment="1">
      <alignment horizontal="center" vertical="center"/>
    </xf>
    <xf numFmtId="167" fontId="21" fillId="0" borderId="124" xfId="0" applyNumberFormat="1" applyFont="1" applyBorder="1" applyAlignment="1">
      <alignment horizontal="center" vertical="center"/>
    </xf>
    <xf numFmtId="167" fontId="21" fillId="0" borderId="145" xfId="0" applyNumberFormat="1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4" fillId="0" borderId="0" xfId="3" applyAlignment="1" applyProtection="1">
      <alignment vertical="center"/>
    </xf>
    <xf numFmtId="0" fontId="21" fillId="0" borderId="146" xfId="0" applyFont="1" applyBorder="1" applyAlignment="1">
      <alignment horizontal="center" vertical="center"/>
    </xf>
    <xf numFmtId="0" fontId="21" fillId="0" borderId="75" xfId="0" applyFont="1" applyBorder="1" applyAlignment="1">
      <alignment horizontal="center" vertical="center"/>
    </xf>
    <xf numFmtId="0" fontId="79" fillId="0" borderId="0" xfId="0" applyFont="1" applyAlignment="1">
      <alignment vertical="center" wrapText="1"/>
    </xf>
    <xf numFmtId="0" fontId="21" fillId="0" borderId="147" xfId="0" applyFont="1" applyBorder="1" applyAlignment="1">
      <alignment horizontal="center" vertical="center"/>
    </xf>
    <xf numFmtId="2" fontId="15" fillId="0" borderId="55" xfId="0" applyNumberFormat="1" applyFont="1" applyBorder="1" applyAlignment="1">
      <alignment horizontal="right" vertical="center"/>
    </xf>
    <xf numFmtId="0" fontId="51" fillId="0" borderId="148" xfId="3" applyFont="1" applyFill="1" applyBorder="1" applyAlignment="1" applyProtection="1">
      <alignment horizontal="center" vertical="center" wrapText="1"/>
    </xf>
    <xf numFmtId="14" fontId="19" fillId="0" borderId="149" xfId="0" applyNumberFormat="1" applyFont="1" applyBorder="1" applyAlignment="1">
      <alignment horizontal="center" vertical="center"/>
    </xf>
    <xf numFmtId="14" fontId="19" fillId="0" borderId="149" xfId="0" applyNumberFormat="1" applyFont="1" applyBorder="1" applyAlignment="1">
      <alignment horizontal="left" vertical="center"/>
    </xf>
    <xf numFmtId="2" fontId="19" fillId="0" borderId="48" xfId="0" applyNumberFormat="1" applyFont="1" applyBorder="1" applyAlignment="1">
      <alignment horizontal="right" vertical="center"/>
    </xf>
    <xf numFmtId="2" fontId="15" fillId="0" borderId="69" xfId="0" applyNumberFormat="1" applyFont="1" applyBorder="1" applyAlignment="1">
      <alignment horizontal="right" vertical="center"/>
    </xf>
    <xf numFmtId="0" fontId="28" fillId="2" borderId="77" xfId="0" applyFont="1" applyFill="1" applyBorder="1" applyAlignment="1">
      <alignment vertical="center" wrapText="1"/>
    </xf>
    <xf numFmtId="167" fontId="31" fillId="0" borderId="40" xfId="0" applyNumberFormat="1" applyFont="1" applyBorder="1" applyAlignment="1">
      <alignment horizontal="center"/>
    </xf>
    <xf numFmtId="17" fontId="15" fillId="0" borderId="150" xfId="0" applyNumberFormat="1" applyFont="1" applyBorder="1" applyAlignment="1">
      <alignment horizontal="left"/>
    </xf>
    <xf numFmtId="174" fontId="15" fillId="0" borderId="150" xfId="0" applyNumberFormat="1" applyFont="1" applyBorder="1" applyAlignment="1">
      <alignment horizontal="center"/>
    </xf>
    <xf numFmtId="0" fontId="15" fillId="0" borderId="150" xfId="0" applyFont="1" applyBorder="1"/>
    <xf numFmtId="17" fontId="15" fillId="0" borderId="151" xfId="0" applyNumberFormat="1" applyFont="1" applyBorder="1" applyAlignment="1">
      <alignment horizontal="left"/>
    </xf>
    <xf numFmtId="174" fontId="15" fillId="0" borderId="151" xfId="0" applyNumberFormat="1" applyFont="1" applyBorder="1" applyAlignment="1">
      <alignment horizontal="center"/>
    </xf>
    <xf numFmtId="0" fontId="15" fillId="0" borderId="151" xfId="0" applyFont="1" applyBorder="1"/>
    <xf numFmtId="2" fontId="38" fillId="0" borderId="0" xfId="0" applyNumberFormat="1" applyFont="1" applyAlignment="1">
      <alignment vertical="center"/>
    </xf>
    <xf numFmtId="2" fontId="15" fillId="0" borderId="40" xfId="0" applyNumberFormat="1" applyFont="1" applyBorder="1" applyAlignment="1">
      <alignment horizontal="right" vertical="center"/>
    </xf>
    <xf numFmtId="14" fontId="15" fillId="0" borderId="24" xfId="0" applyNumberFormat="1" applyFont="1" applyBorder="1" applyAlignment="1">
      <alignment horizontal="center" vertical="center"/>
    </xf>
    <xf numFmtId="14" fontId="15" fillId="0" borderId="24" xfId="0" applyNumberFormat="1" applyFont="1" applyBorder="1" applyAlignment="1">
      <alignment horizontal="left" vertical="center"/>
    </xf>
    <xf numFmtId="14" fontId="15" fillId="0" borderId="32" xfId="0" applyNumberFormat="1" applyFont="1" applyBorder="1" applyAlignment="1">
      <alignment horizontal="center" vertical="center"/>
    </xf>
    <xf numFmtId="14" fontId="15" fillId="0" borderId="32" xfId="0" applyNumberFormat="1" applyFont="1" applyBorder="1" applyAlignment="1">
      <alignment horizontal="left" vertical="center"/>
    </xf>
    <xf numFmtId="2" fontId="15" fillId="0" borderId="57" xfId="0" applyNumberFormat="1" applyFont="1" applyBorder="1" applyAlignment="1">
      <alignment horizontal="right" vertical="center"/>
    </xf>
    <xf numFmtId="175" fontId="21" fillId="0" borderId="32" xfId="0" applyNumberFormat="1" applyFont="1" applyBorder="1" applyAlignment="1">
      <alignment horizontal="center"/>
    </xf>
    <xf numFmtId="2" fontId="21" fillId="0" borderId="57" xfId="0" applyNumberFormat="1" applyFont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8" borderId="72" xfId="0" applyFont="1" applyFill="1" applyBorder="1" applyAlignment="1">
      <alignment horizontal="left" vertical="center"/>
    </xf>
    <xf numFmtId="0" fontId="2" fillId="8" borderId="76" xfId="0" applyFont="1" applyFill="1" applyBorder="1" applyAlignment="1">
      <alignment horizontal="left" vertical="center"/>
    </xf>
    <xf numFmtId="0" fontId="11" fillId="8" borderId="72" xfId="0" applyFont="1" applyFill="1" applyBorder="1" applyAlignment="1">
      <alignment horizontal="left" vertical="center"/>
    </xf>
    <xf numFmtId="0" fontId="11" fillId="8" borderId="76" xfId="0" applyFont="1" applyFill="1" applyBorder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7" fillId="2" borderId="5" xfId="0" quotePrefix="1" applyFont="1" applyFill="1" applyBorder="1" applyAlignment="1">
      <alignment horizontal="center" vertical="center"/>
    </xf>
    <xf numFmtId="0" fontId="27" fillId="2" borderId="3" xfId="0" quotePrefix="1" applyFont="1" applyFill="1" applyBorder="1" applyAlignment="1">
      <alignment horizontal="center" vertical="center"/>
    </xf>
    <xf numFmtId="0" fontId="28" fillId="3" borderId="6" xfId="0" applyFont="1" applyFill="1" applyBorder="1" applyAlignment="1">
      <alignment horizontal="center" vertical="center"/>
    </xf>
    <xf numFmtId="0" fontId="28" fillId="3" borderId="7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9" fillId="3" borderId="9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8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33" fillId="0" borderId="1" xfId="4" applyFont="1" applyBorder="1" applyAlignment="1">
      <alignment horizontal="center" vertical="center" wrapText="1"/>
    </xf>
    <xf numFmtId="0" fontId="26" fillId="2" borderId="2" xfId="4" applyFont="1" applyFill="1" applyBorder="1" applyAlignment="1">
      <alignment horizontal="center" vertical="center"/>
    </xf>
    <xf numFmtId="0" fontId="26" fillId="2" borderId="3" xfId="4" applyFont="1" applyFill="1" applyBorder="1" applyAlignment="1">
      <alignment horizontal="center" vertical="center"/>
    </xf>
    <xf numFmtId="0" fontId="26" fillId="2" borderId="4" xfId="4" applyFont="1" applyFill="1" applyBorder="1" applyAlignment="1">
      <alignment horizontal="center" vertical="center"/>
    </xf>
    <xf numFmtId="0" fontId="27" fillId="2" borderId="5" xfId="4" quotePrefix="1" applyFont="1" applyFill="1" applyBorder="1" applyAlignment="1">
      <alignment horizontal="center" vertical="center"/>
    </xf>
    <xf numFmtId="0" fontId="27" fillId="2" borderId="3" xfId="4" quotePrefix="1" applyFont="1" applyFill="1" applyBorder="1" applyAlignment="1">
      <alignment horizontal="center" vertical="center"/>
    </xf>
    <xf numFmtId="0" fontId="28" fillId="3" borderId="6" xfId="4" applyFont="1" applyFill="1" applyBorder="1" applyAlignment="1">
      <alignment horizontal="center" vertical="center"/>
    </xf>
    <xf numFmtId="0" fontId="28" fillId="3" borderId="7" xfId="4" applyFont="1" applyFill="1" applyBorder="1" applyAlignment="1">
      <alignment horizontal="center" vertical="center"/>
    </xf>
    <xf numFmtId="0" fontId="28" fillId="3" borderId="8" xfId="4" applyFont="1" applyFill="1" applyBorder="1" applyAlignment="1">
      <alignment horizontal="center" vertical="center"/>
    </xf>
    <xf numFmtId="0" fontId="29" fillId="3" borderId="9" xfId="4" applyFont="1" applyFill="1" applyBorder="1" applyAlignment="1">
      <alignment horizontal="center" vertical="center"/>
    </xf>
    <xf numFmtId="0" fontId="29" fillId="3" borderId="7" xfId="4" applyFont="1" applyFill="1" applyBorder="1" applyAlignment="1">
      <alignment horizontal="center" vertical="center"/>
    </xf>
    <xf numFmtId="0" fontId="28" fillId="3" borderId="127" xfId="4" applyFont="1" applyFill="1" applyBorder="1" applyAlignment="1">
      <alignment horizontal="center" vertical="center" wrapText="1"/>
    </xf>
    <xf numFmtId="0" fontId="28" fillId="3" borderId="128" xfId="4" applyFont="1" applyFill="1" applyBorder="1" applyAlignment="1">
      <alignment horizontal="center" vertical="center" wrapText="1"/>
    </xf>
    <xf numFmtId="0" fontId="27" fillId="2" borderId="41" xfId="0" quotePrefix="1" applyFont="1" applyFill="1" applyBorder="1" applyAlignment="1">
      <alignment horizontal="center" vertical="center"/>
    </xf>
    <xf numFmtId="0" fontId="28" fillId="3" borderId="42" xfId="0" applyFont="1" applyFill="1" applyBorder="1" applyAlignment="1">
      <alignment horizontal="center" vertical="center" wrapText="1"/>
    </xf>
    <xf numFmtId="0" fontId="28" fillId="3" borderId="43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0" fontId="27" fillId="2" borderId="45" xfId="0" quotePrefix="1" applyFont="1" applyFill="1" applyBorder="1" applyAlignment="1">
      <alignment horizontal="center" vertical="center"/>
    </xf>
    <xf numFmtId="167" fontId="29" fillId="3" borderId="9" xfId="0" applyNumberFormat="1" applyFont="1" applyFill="1" applyBorder="1" applyAlignment="1">
      <alignment horizontal="center" vertical="center"/>
    </xf>
    <xf numFmtId="167" fontId="29" fillId="3" borderId="7" xfId="0" applyNumberFormat="1" applyFont="1" applyFill="1" applyBorder="1" applyAlignment="1">
      <alignment horizontal="center" vertical="center"/>
    </xf>
    <xf numFmtId="167" fontId="29" fillId="3" borderId="8" xfId="0" applyNumberFormat="1" applyFont="1" applyFill="1" applyBorder="1" applyAlignment="1">
      <alignment horizontal="center" vertical="center"/>
    </xf>
    <xf numFmtId="0" fontId="28" fillId="3" borderId="46" xfId="0" applyFont="1" applyFill="1" applyBorder="1" applyAlignment="1">
      <alignment horizontal="center" vertical="center" wrapText="1"/>
    </xf>
    <xf numFmtId="0" fontId="28" fillId="3" borderId="4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28" fillId="3" borderId="141" xfId="0" applyFont="1" applyFill="1" applyBorder="1" applyAlignment="1">
      <alignment horizontal="center" vertical="center" wrapText="1"/>
    </xf>
    <xf numFmtId="0" fontId="26" fillId="2" borderId="53" xfId="0" applyFont="1" applyFill="1" applyBorder="1" applyAlignment="1">
      <alignment horizontal="center" vertical="center"/>
    </xf>
    <xf numFmtId="0" fontId="29" fillId="3" borderId="54" xfId="0" applyFont="1" applyFill="1" applyBorder="1" applyAlignment="1">
      <alignment horizontal="center" vertical="center"/>
    </xf>
    <xf numFmtId="0" fontId="53" fillId="3" borderId="72" xfId="0" applyFont="1" applyFill="1" applyBorder="1" applyAlignment="1">
      <alignment horizontal="center" vertical="center" textRotation="90" wrapText="1"/>
    </xf>
    <xf numFmtId="0" fontId="53" fillId="3" borderId="74" xfId="0" applyFont="1" applyFill="1" applyBorder="1" applyAlignment="1">
      <alignment horizontal="center" vertical="center" textRotation="90" wrapText="1"/>
    </xf>
    <xf numFmtId="0" fontId="53" fillId="3" borderId="76" xfId="0" applyFont="1" applyFill="1" applyBorder="1" applyAlignment="1">
      <alignment horizontal="center" vertical="center" textRotation="90" wrapText="1"/>
    </xf>
    <xf numFmtId="0" fontId="53" fillId="3" borderId="2" xfId="0" applyFont="1" applyFill="1" applyBorder="1" applyAlignment="1">
      <alignment horizontal="center" vertical="center" textRotation="90" wrapText="1"/>
    </xf>
    <xf numFmtId="0" fontId="53" fillId="3" borderId="16" xfId="0" applyFont="1" applyFill="1" applyBorder="1" applyAlignment="1">
      <alignment horizontal="center" vertical="center" textRotation="90" wrapText="1"/>
    </xf>
    <xf numFmtId="0" fontId="53" fillId="3" borderId="37" xfId="0" applyFont="1" applyFill="1" applyBorder="1" applyAlignment="1">
      <alignment horizontal="center" vertical="center" textRotation="90" wrapText="1"/>
    </xf>
    <xf numFmtId="0" fontId="53" fillId="2" borderId="2" xfId="0" applyFont="1" applyFill="1" applyBorder="1" applyAlignment="1">
      <alignment horizontal="center" vertical="center" textRotation="90" wrapText="1"/>
    </xf>
    <xf numFmtId="0" fontId="53" fillId="2" borderId="16" xfId="0" applyFont="1" applyFill="1" applyBorder="1" applyAlignment="1">
      <alignment horizontal="center" vertical="center" textRotation="90" wrapText="1"/>
    </xf>
    <xf numFmtId="0" fontId="53" fillId="2" borderId="37" xfId="0" applyFont="1" applyFill="1" applyBorder="1" applyAlignment="1">
      <alignment horizontal="center" vertical="center" textRotation="90" wrapText="1"/>
    </xf>
    <xf numFmtId="0" fontId="53" fillId="2" borderId="72" xfId="0" applyFont="1" applyFill="1" applyBorder="1" applyAlignment="1">
      <alignment horizontal="center" vertical="center" textRotation="90" wrapText="1"/>
    </xf>
    <xf numFmtId="0" fontId="53" fillId="2" borderId="74" xfId="0" applyFont="1" applyFill="1" applyBorder="1" applyAlignment="1">
      <alignment horizontal="center" vertical="center" textRotation="90" wrapText="1"/>
    </xf>
    <xf numFmtId="0" fontId="53" fillId="2" borderId="76" xfId="0" applyFont="1" applyFill="1" applyBorder="1" applyAlignment="1">
      <alignment horizontal="center" vertical="center" textRotation="90" wrapText="1"/>
    </xf>
    <xf numFmtId="0" fontId="54" fillId="2" borderId="81" xfId="0" applyFont="1" applyFill="1" applyBorder="1" applyAlignment="1">
      <alignment horizontal="center" vertical="center" textRotation="90" wrapText="1"/>
    </xf>
    <xf numFmtId="0" fontId="54" fillId="2" borderId="82" xfId="0" applyFont="1" applyFill="1" applyBorder="1" applyAlignment="1">
      <alignment horizontal="center" vertical="center" textRotation="90" wrapText="1"/>
    </xf>
    <xf numFmtId="0" fontId="53" fillId="9" borderId="72" xfId="0" applyFont="1" applyFill="1" applyBorder="1" applyAlignment="1">
      <alignment horizontal="center" vertical="center" textRotation="90" wrapText="1"/>
    </xf>
    <xf numFmtId="0" fontId="53" fillId="9" borderId="74" xfId="0" applyFont="1" applyFill="1" applyBorder="1" applyAlignment="1">
      <alignment horizontal="center" vertical="center" textRotation="90" wrapText="1"/>
    </xf>
    <xf numFmtId="0" fontId="54" fillId="2" borderId="72" xfId="0" applyFont="1" applyFill="1" applyBorder="1" applyAlignment="1">
      <alignment horizontal="center" vertical="center" textRotation="90" wrapText="1"/>
    </xf>
    <xf numFmtId="0" fontId="54" fillId="2" borderId="74" xfId="0" applyFont="1" applyFill="1" applyBorder="1" applyAlignment="1">
      <alignment horizontal="center" vertical="center" textRotation="90" wrapText="1"/>
    </xf>
    <xf numFmtId="0" fontId="54" fillId="2" borderId="76" xfId="0" applyFont="1" applyFill="1" applyBorder="1" applyAlignment="1">
      <alignment horizontal="center" vertical="center" textRotation="90" wrapText="1"/>
    </xf>
    <xf numFmtId="0" fontId="26" fillId="2" borderId="58" xfId="0" applyFont="1" applyFill="1" applyBorder="1" applyAlignment="1">
      <alignment horizontal="center" vertical="center"/>
    </xf>
    <xf numFmtId="0" fontId="26" fillId="2" borderId="59" xfId="0" applyFont="1" applyFill="1" applyBorder="1" applyAlignment="1">
      <alignment horizontal="center" vertical="center"/>
    </xf>
    <xf numFmtId="0" fontId="26" fillId="2" borderId="60" xfId="0" applyFont="1" applyFill="1" applyBorder="1" applyAlignment="1">
      <alignment horizontal="center" vertical="center"/>
    </xf>
    <xf numFmtId="0" fontId="37" fillId="0" borderId="61" xfId="0" applyFont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 wrapText="1"/>
    </xf>
    <xf numFmtId="0" fontId="37" fillId="0" borderId="62" xfId="0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/>
    </xf>
    <xf numFmtId="0" fontId="37" fillId="0" borderId="63" xfId="0" applyFont="1" applyBorder="1" applyAlignment="1">
      <alignment horizontal="center" vertical="center" wrapText="1"/>
    </xf>
    <xf numFmtId="0" fontId="37" fillId="0" borderId="64" xfId="0" applyFont="1" applyBorder="1" applyAlignment="1">
      <alignment horizontal="center" vertical="center" wrapText="1"/>
    </xf>
    <xf numFmtId="0" fontId="53" fillId="2" borderId="66" xfId="0" applyFont="1" applyFill="1" applyBorder="1" applyAlignment="1">
      <alignment horizontal="center" vertical="center" textRotation="90" wrapText="1"/>
    </xf>
    <xf numFmtId="49" fontId="53" fillId="3" borderId="16" xfId="0" applyNumberFormat="1" applyFont="1" applyFill="1" applyBorder="1" applyAlignment="1">
      <alignment horizontal="center" vertical="center" textRotation="90" wrapText="1"/>
    </xf>
    <xf numFmtId="49" fontId="53" fillId="3" borderId="37" xfId="0" applyNumberFormat="1" applyFont="1" applyFill="1" applyBorder="1" applyAlignment="1">
      <alignment horizontal="center" vertical="center" textRotation="90" wrapText="1"/>
    </xf>
    <xf numFmtId="49" fontId="53" fillId="2" borderId="16" xfId="0" applyNumberFormat="1" applyFont="1" applyFill="1" applyBorder="1" applyAlignment="1">
      <alignment horizontal="center" vertical="center" textRotation="90" wrapText="1"/>
    </xf>
    <xf numFmtId="49" fontId="53" fillId="2" borderId="37" xfId="0" applyNumberFormat="1" applyFont="1" applyFill="1" applyBorder="1" applyAlignment="1">
      <alignment horizontal="center" vertical="center" textRotation="90" wrapText="1"/>
    </xf>
    <xf numFmtId="0" fontId="29" fillId="2" borderId="2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29" fillId="2" borderId="35" xfId="0" applyFont="1" applyFill="1" applyBorder="1" applyAlignment="1">
      <alignment horizontal="center" vertical="center"/>
    </xf>
    <xf numFmtId="0" fontId="56" fillId="3" borderId="16" xfId="0" applyFont="1" applyFill="1" applyBorder="1" applyAlignment="1">
      <alignment horizontal="center" vertical="center"/>
    </xf>
    <xf numFmtId="0" fontId="56" fillId="3" borderId="17" xfId="0" applyFont="1" applyFill="1" applyBorder="1" applyAlignment="1">
      <alignment horizontal="center" vertical="center"/>
    </xf>
    <xf numFmtId="0" fontId="56" fillId="3" borderId="36" xfId="0" applyFont="1" applyFill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4" fontId="59" fillId="0" borderId="0" xfId="0" applyNumberFormat="1" applyFont="1" applyAlignment="1">
      <alignment horizontal="center" vertical="center"/>
    </xf>
    <xf numFmtId="4" fontId="60" fillId="3" borderId="83" xfId="0" quotePrefix="1" applyNumberFormat="1" applyFont="1" applyFill="1" applyBorder="1" applyAlignment="1">
      <alignment horizontal="center" vertical="center" wrapText="1"/>
    </xf>
    <xf numFmtId="4" fontId="60" fillId="3" borderId="0" xfId="0" quotePrefix="1" applyNumberFormat="1" applyFont="1" applyFill="1" applyAlignment="1">
      <alignment horizontal="center" vertical="center" wrapText="1"/>
    </xf>
    <xf numFmtId="0" fontId="68" fillId="2" borderId="2" xfId="0" applyFont="1" applyFill="1" applyBorder="1" applyAlignment="1">
      <alignment horizontal="center"/>
    </xf>
    <xf numFmtId="0" fontId="68" fillId="2" borderId="14" xfId="0" applyFont="1" applyFill="1" applyBorder="1" applyAlignment="1">
      <alignment horizontal="center"/>
    </xf>
    <xf numFmtId="0" fontId="68" fillId="2" borderId="35" xfId="0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/>
    </xf>
    <xf numFmtId="0" fontId="28" fillId="3" borderId="17" xfId="0" applyFont="1" applyFill="1" applyBorder="1" applyAlignment="1">
      <alignment horizontal="center"/>
    </xf>
    <xf numFmtId="0" fontId="28" fillId="3" borderId="36" xfId="0" applyFont="1" applyFill="1" applyBorder="1" applyAlignment="1">
      <alignment horizontal="center"/>
    </xf>
    <xf numFmtId="0" fontId="39" fillId="0" borderId="0" xfId="0" quotePrefix="1" applyFont="1" applyAlignment="1">
      <alignment horizontal="center" vertical="center" wrapText="1"/>
    </xf>
    <xf numFmtId="0" fontId="39" fillId="0" borderId="1" xfId="0" quotePrefix="1" applyFont="1" applyBorder="1" applyAlignment="1">
      <alignment horizontal="center" vertical="center" wrapText="1"/>
    </xf>
    <xf numFmtId="2" fontId="30" fillId="0" borderId="117" xfId="0" applyNumberFormat="1" applyFont="1" applyBorder="1" applyAlignment="1">
      <alignment horizontal="center" vertical="center"/>
    </xf>
    <xf numFmtId="2" fontId="30" fillId="0" borderId="120" xfId="0" applyNumberFormat="1" applyFont="1" applyBorder="1" applyAlignment="1">
      <alignment horizontal="center" vertical="center"/>
    </xf>
    <xf numFmtId="0" fontId="74" fillId="0" borderId="0" xfId="0" quotePrefix="1" applyFont="1" applyAlignment="1">
      <alignment horizontal="center" vertical="center" wrapText="1"/>
    </xf>
    <xf numFmtId="0" fontId="74" fillId="0" borderId="1" xfId="0" quotePrefix="1" applyFont="1" applyBorder="1" applyAlignment="1">
      <alignment horizontal="center" vertical="center" wrapText="1"/>
    </xf>
    <xf numFmtId="0" fontId="29" fillId="3" borderId="114" xfId="0" applyFont="1" applyFill="1" applyBorder="1" applyAlignment="1">
      <alignment horizontal="center" vertical="center"/>
    </xf>
    <xf numFmtId="17" fontId="30" fillId="0" borderId="115" xfId="0" applyNumberFormat="1" applyFont="1" applyBorder="1" applyAlignment="1">
      <alignment horizontal="center" vertical="center"/>
    </xf>
    <xf numFmtId="17" fontId="30" fillId="0" borderId="118" xfId="0" applyNumberFormat="1" applyFont="1" applyBorder="1" applyAlignment="1">
      <alignment horizontal="center" vertical="center"/>
    </xf>
    <xf numFmtId="0" fontId="30" fillId="0" borderId="116" xfId="0" applyFont="1" applyBorder="1" applyAlignment="1">
      <alignment horizontal="center" vertical="center"/>
    </xf>
    <xf numFmtId="0" fontId="30" fillId="0" borderId="119" xfId="0" applyFont="1" applyBorder="1" applyAlignment="1">
      <alignment horizontal="center" vertical="center"/>
    </xf>
    <xf numFmtId="2" fontId="30" fillId="0" borderId="116" xfId="0" applyNumberFormat="1" applyFont="1" applyBorder="1" applyAlignment="1">
      <alignment horizontal="center" vertical="center"/>
    </xf>
    <xf numFmtId="2" fontId="30" fillId="0" borderId="119" xfId="0" applyNumberFormat="1" applyFont="1" applyBorder="1" applyAlignment="1">
      <alignment horizontal="center" vertical="center"/>
    </xf>
  </cellXfs>
  <cellStyles count="9">
    <cellStyle name="Hiperlink" xfId="3" builtinId="8"/>
    <cellStyle name="Moeda" xfId="8" builtinId="4"/>
    <cellStyle name="Normal" xfId="0" builtinId="0"/>
    <cellStyle name="Normal 2" xfId="7" xr:uid="{37B74C69-B1AC-425D-9860-1E99EA5D72DB}"/>
    <cellStyle name="Normal 7" xfId="4" xr:uid="{847AAB2D-FBB6-45F6-92C6-47CC8A258D86}"/>
    <cellStyle name="Normal_ipca_201707SerieHist" xfId="5" xr:uid="{89F94805-36E1-44E9-A0F5-A25E920F5E8C}"/>
    <cellStyle name="Porcentagem" xfId="2" builtinId="5"/>
    <cellStyle name="Porcentagem 2" xfId="6" xr:uid="{442730E3-527D-4346-BD1C-28F94B67AFC5}"/>
    <cellStyle name="Vírgula" xfId="1" builtinId="3"/>
  </cellStyles>
  <dxfs count="0"/>
  <tableStyles count="0" defaultTableStyle="TableStyleMedium2" defaultPivotStyle="PivotStyleLight16"/>
  <colors>
    <mruColors>
      <color rgb="FFCF9E4D"/>
      <color rgb="FF1846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393</xdr:row>
      <xdr:rowOff>0</xdr:rowOff>
    </xdr:from>
    <xdr:to>
      <xdr:col>7</xdr:col>
      <xdr:colOff>9525</xdr:colOff>
      <xdr:row>393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3785E793-2A77-E669-2BC0-92F0EEB7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588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393</xdr:row>
      <xdr:rowOff>0</xdr:rowOff>
    </xdr:from>
    <xdr:to>
      <xdr:col>7</xdr:col>
      <xdr:colOff>9525</xdr:colOff>
      <xdr:row>393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41797DEA-50B9-7341-48D5-C7A9CE76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3588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393</xdr:row>
      <xdr:rowOff>0</xdr:rowOff>
    </xdr:from>
    <xdr:to>
      <xdr:col>7</xdr:col>
      <xdr:colOff>9525</xdr:colOff>
      <xdr:row>393</xdr:row>
      <xdr:rowOff>9525</xdr:rowOff>
    </xdr:to>
    <xdr:pic>
      <xdr:nvPicPr>
        <xdr:cNvPr id="4" name="xgdvConsulta_IADL" descr="Left Arrow">
          <a:extLst>
            <a:ext uri="{FF2B5EF4-FFF2-40B4-BE49-F238E27FC236}">
              <a16:creationId xmlns:a16="http://schemas.microsoft.com/office/drawing/2014/main" id="{0C09F06C-75FD-978E-A205-65B6C478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588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393</xdr:row>
      <xdr:rowOff>0</xdr:rowOff>
    </xdr:from>
    <xdr:to>
      <xdr:col>7</xdr:col>
      <xdr:colOff>9525</xdr:colOff>
      <xdr:row>393</xdr:row>
      <xdr:rowOff>9525</xdr:rowOff>
    </xdr:to>
    <xdr:pic>
      <xdr:nvPicPr>
        <xdr:cNvPr id="5" name="xgdvConsulta_IADR" descr="Right Arrow">
          <a:extLst>
            <a:ext uri="{FF2B5EF4-FFF2-40B4-BE49-F238E27FC236}">
              <a16:creationId xmlns:a16="http://schemas.microsoft.com/office/drawing/2014/main" id="{18A05EE7-85A7-823E-9277-5275C4F5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3588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394</xdr:row>
      <xdr:rowOff>0</xdr:rowOff>
    </xdr:from>
    <xdr:ext cx="9525" cy="9525"/>
    <xdr:pic>
      <xdr:nvPicPr>
        <xdr:cNvPr id="6" name="xgdvConsulta_IADD" descr="Down Arrow">
          <a:extLst>
            <a:ext uri="{FF2B5EF4-FFF2-40B4-BE49-F238E27FC236}">
              <a16:creationId xmlns:a16="http://schemas.microsoft.com/office/drawing/2014/main" id="{034FECDC-9807-4A6D-9767-986649A22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7" name="xgdvConsulta_IADU" descr="Up Arrow">
          <a:extLst>
            <a:ext uri="{FF2B5EF4-FFF2-40B4-BE49-F238E27FC236}">
              <a16:creationId xmlns:a16="http://schemas.microsoft.com/office/drawing/2014/main" id="{5B07A489-A15F-4DE9-83C4-0BE3EFB6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8" name="xgdvConsulta_IADL" descr="Left Arrow">
          <a:extLst>
            <a:ext uri="{FF2B5EF4-FFF2-40B4-BE49-F238E27FC236}">
              <a16:creationId xmlns:a16="http://schemas.microsoft.com/office/drawing/2014/main" id="{0D8196BA-17C3-4673-A9C9-B3F2AACE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9" name="xgdvConsulta_IADR" descr="Right Arrow">
          <a:extLst>
            <a:ext uri="{FF2B5EF4-FFF2-40B4-BE49-F238E27FC236}">
              <a16:creationId xmlns:a16="http://schemas.microsoft.com/office/drawing/2014/main" id="{4B6A2950-6676-4437-AA25-A44D2AA69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0" name="xgdvConsulta_IADD" descr="Down Arrow">
          <a:extLst>
            <a:ext uri="{FF2B5EF4-FFF2-40B4-BE49-F238E27FC236}">
              <a16:creationId xmlns:a16="http://schemas.microsoft.com/office/drawing/2014/main" id="{50CE3EE2-B5E5-4595-9420-3E72FD8B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1" name="xgdvConsulta_IADU" descr="Up Arrow">
          <a:extLst>
            <a:ext uri="{FF2B5EF4-FFF2-40B4-BE49-F238E27FC236}">
              <a16:creationId xmlns:a16="http://schemas.microsoft.com/office/drawing/2014/main" id="{1502C6AA-EFEE-48E5-A188-5C7AC39E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2" name="xgdvConsulta_IADL" descr="Left Arrow">
          <a:extLst>
            <a:ext uri="{FF2B5EF4-FFF2-40B4-BE49-F238E27FC236}">
              <a16:creationId xmlns:a16="http://schemas.microsoft.com/office/drawing/2014/main" id="{67B75856-C6C4-46B0-9D52-D69C6BA2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3" name="xgdvConsulta_IADR" descr="Right Arrow">
          <a:extLst>
            <a:ext uri="{FF2B5EF4-FFF2-40B4-BE49-F238E27FC236}">
              <a16:creationId xmlns:a16="http://schemas.microsoft.com/office/drawing/2014/main" id="{3C55C149-4E48-4354-9917-B7898258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14" name="xgdvConsulta_IADD" descr="Down Arrow">
          <a:extLst>
            <a:ext uri="{FF2B5EF4-FFF2-40B4-BE49-F238E27FC236}">
              <a16:creationId xmlns:a16="http://schemas.microsoft.com/office/drawing/2014/main" id="{98B775B4-71DC-413B-B866-87DE75E3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6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15" name="xgdvConsulta_IADU" descr="Up Arrow">
          <a:extLst>
            <a:ext uri="{FF2B5EF4-FFF2-40B4-BE49-F238E27FC236}">
              <a16:creationId xmlns:a16="http://schemas.microsoft.com/office/drawing/2014/main" id="{98549155-8E88-4CDD-9B49-8C20B6F6B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6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16" name="xgdvConsulta_IADL" descr="Left Arrow">
          <a:extLst>
            <a:ext uri="{FF2B5EF4-FFF2-40B4-BE49-F238E27FC236}">
              <a16:creationId xmlns:a16="http://schemas.microsoft.com/office/drawing/2014/main" id="{42F34F94-A4E2-441C-A337-08C6E39C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6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17" name="xgdvConsulta_IADR" descr="Right Arrow">
          <a:extLst>
            <a:ext uri="{FF2B5EF4-FFF2-40B4-BE49-F238E27FC236}">
              <a16:creationId xmlns:a16="http://schemas.microsoft.com/office/drawing/2014/main" id="{9DD65652-DB9B-4056-8387-B9E835E4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6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18" name="xgdvConsulta_IADD" descr="Down Arrow">
          <a:extLst>
            <a:ext uri="{FF2B5EF4-FFF2-40B4-BE49-F238E27FC236}">
              <a16:creationId xmlns:a16="http://schemas.microsoft.com/office/drawing/2014/main" id="{8D5C64D9-51CB-4664-8971-E820CEC3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6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19" name="xgdvConsulta_IADU" descr="Up Arrow">
          <a:extLst>
            <a:ext uri="{FF2B5EF4-FFF2-40B4-BE49-F238E27FC236}">
              <a16:creationId xmlns:a16="http://schemas.microsoft.com/office/drawing/2014/main" id="{AFD96AE2-30D2-4935-828D-BC9BA642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6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20" name="xgdvConsulta_IADL" descr="Left Arrow">
          <a:extLst>
            <a:ext uri="{FF2B5EF4-FFF2-40B4-BE49-F238E27FC236}">
              <a16:creationId xmlns:a16="http://schemas.microsoft.com/office/drawing/2014/main" id="{AC0AF040-1DD3-48F3-8606-44F74D33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6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21" name="xgdvConsulta_IADR" descr="Right Arrow">
          <a:extLst>
            <a:ext uri="{FF2B5EF4-FFF2-40B4-BE49-F238E27FC236}">
              <a16:creationId xmlns:a16="http://schemas.microsoft.com/office/drawing/2014/main" id="{F0F6994D-5EBD-4BC3-8A82-684905A0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6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22" name="xgdvConsulta_IADD" descr="Down Arrow">
          <a:extLst>
            <a:ext uri="{FF2B5EF4-FFF2-40B4-BE49-F238E27FC236}">
              <a16:creationId xmlns:a16="http://schemas.microsoft.com/office/drawing/2014/main" id="{DF377B33-9D00-460F-80C7-12D912F4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23" name="xgdvConsulta_IADU" descr="Up Arrow">
          <a:extLst>
            <a:ext uri="{FF2B5EF4-FFF2-40B4-BE49-F238E27FC236}">
              <a16:creationId xmlns:a16="http://schemas.microsoft.com/office/drawing/2014/main" id="{AF4ECD17-6170-43F5-B14E-4B1076B1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24" name="xgdvConsulta_IADL" descr="Left Arrow">
          <a:extLst>
            <a:ext uri="{FF2B5EF4-FFF2-40B4-BE49-F238E27FC236}">
              <a16:creationId xmlns:a16="http://schemas.microsoft.com/office/drawing/2014/main" id="{2FF9130F-C117-4FAE-8EDE-51B8069A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25" name="xgdvConsulta_IADR" descr="Right Arrow">
          <a:extLst>
            <a:ext uri="{FF2B5EF4-FFF2-40B4-BE49-F238E27FC236}">
              <a16:creationId xmlns:a16="http://schemas.microsoft.com/office/drawing/2014/main" id="{C05A1238-FB0D-447F-AC71-CD4320786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26" name="xgdvConsulta_IADD" descr="Down Arrow">
          <a:extLst>
            <a:ext uri="{FF2B5EF4-FFF2-40B4-BE49-F238E27FC236}">
              <a16:creationId xmlns:a16="http://schemas.microsoft.com/office/drawing/2014/main" id="{C76779FD-BF28-48EB-8D6F-E4DA1912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6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27" name="xgdvConsulta_IADU" descr="Up Arrow">
          <a:extLst>
            <a:ext uri="{FF2B5EF4-FFF2-40B4-BE49-F238E27FC236}">
              <a16:creationId xmlns:a16="http://schemas.microsoft.com/office/drawing/2014/main" id="{85FC74CA-E0B7-4C6F-837D-AF8E3A0C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6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28" name="xgdvConsulta_IADL" descr="Left Arrow">
          <a:extLst>
            <a:ext uri="{FF2B5EF4-FFF2-40B4-BE49-F238E27FC236}">
              <a16:creationId xmlns:a16="http://schemas.microsoft.com/office/drawing/2014/main" id="{CD901080-6C12-4B3C-95F0-4511B4EA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6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29" name="xgdvConsulta_IADR" descr="Right Arrow">
          <a:extLst>
            <a:ext uri="{FF2B5EF4-FFF2-40B4-BE49-F238E27FC236}">
              <a16:creationId xmlns:a16="http://schemas.microsoft.com/office/drawing/2014/main" id="{02D62970-6026-49B6-BF6F-B5384093C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6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30" name="xgdvConsulta_IADD" descr="Down Arrow">
          <a:extLst>
            <a:ext uri="{FF2B5EF4-FFF2-40B4-BE49-F238E27FC236}">
              <a16:creationId xmlns:a16="http://schemas.microsoft.com/office/drawing/2014/main" id="{01351E58-5B48-4B2E-A55B-5E2E0D9C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31" name="xgdvConsulta_IADU" descr="Up Arrow">
          <a:extLst>
            <a:ext uri="{FF2B5EF4-FFF2-40B4-BE49-F238E27FC236}">
              <a16:creationId xmlns:a16="http://schemas.microsoft.com/office/drawing/2014/main" id="{5589432D-5C5F-48EF-AC2C-E9BBFD7FC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32" name="xgdvConsulta_IADL" descr="Left Arrow">
          <a:extLst>
            <a:ext uri="{FF2B5EF4-FFF2-40B4-BE49-F238E27FC236}">
              <a16:creationId xmlns:a16="http://schemas.microsoft.com/office/drawing/2014/main" id="{1330E00F-89DB-4D6C-97E5-2DB2B44B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33" name="xgdvConsulta_IADR" descr="Right Arrow">
          <a:extLst>
            <a:ext uri="{FF2B5EF4-FFF2-40B4-BE49-F238E27FC236}">
              <a16:creationId xmlns:a16="http://schemas.microsoft.com/office/drawing/2014/main" id="{523AFBE1-5EEB-4FDB-8458-051DEA68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34" name="xgdvConsulta_IADD" descr="Down Arrow">
          <a:extLst>
            <a:ext uri="{FF2B5EF4-FFF2-40B4-BE49-F238E27FC236}">
              <a16:creationId xmlns:a16="http://schemas.microsoft.com/office/drawing/2014/main" id="{F08F54CA-6FB1-4C3A-A416-F9AA4D3D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35" name="xgdvConsulta_IADU" descr="Up Arrow">
          <a:extLst>
            <a:ext uri="{FF2B5EF4-FFF2-40B4-BE49-F238E27FC236}">
              <a16:creationId xmlns:a16="http://schemas.microsoft.com/office/drawing/2014/main" id="{6A30878E-1AC4-464C-BADA-ACA393B1A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36" name="xgdvConsulta_IADL" descr="Left Arrow">
          <a:extLst>
            <a:ext uri="{FF2B5EF4-FFF2-40B4-BE49-F238E27FC236}">
              <a16:creationId xmlns:a16="http://schemas.microsoft.com/office/drawing/2014/main" id="{F42C3C10-7B80-45E7-9A3E-4DD45888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37" name="xgdvConsulta_IADR" descr="Right Arrow">
          <a:extLst>
            <a:ext uri="{FF2B5EF4-FFF2-40B4-BE49-F238E27FC236}">
              <a16:creationId xmlns:a16="http://schemas.microsoft.com/office/drawing/2014/main" id="{52478AC5-C2C1-429C-9499-844672655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8" name="xgdvConsulta_IADD" descr="Down Arrow">
          <a:extLst>
            <a:ext uri="{FF2B5EF4-FFF2-40B4-BE49-F238E27FC236}">
              <a16:creationId xmlns:a16="http://schemas.microsoft.com/office/drawing/2014/main" id="{340F0923-9F43-49EE-934B-64FB6864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9" name="xgdvConsulta_IADU" descr="Up Arrow">
          <a:extLst>
            <a:ext uri="{FF2B5EF4-FFF2-40B4-BE49-F238E27FC236}">
              <a16:creationId xmlns:a16="http://schemas.microsoft.com/office/drawing/2014/main" id="{747C8247-2F22-4F47-80E4-3CFEC511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40" name="xgdvConsulta_IADL" descr="Left Arrow">
          <a:extLst>
            <a:ext uri="{FF2B5EF4-FFF2-40B4-BE49-F238E27FC236}">
              <a16:creationId xmlns:a16="http://schemas.microsoft.com/office/drawing/2014/main" id="{5715001A-53CE-4E09-A2EB-37186A09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41" name="xgdvConsulta_IADR" descr="Right Arrow">
          <a:extLst>
            <a:ext uri="{FF2B5EF4-FFF2-40B4-BE49-F238E27FC236}">
              <a16:creationId xmlns:a16="http://schemas.microsoft.com/office/drawing/2014/main" id="{19640F01-F772-46BB-B8B8-0E9AB66F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42" name="xgdvConsulta_IADD" descr="Down Arrow">
          <a:extLst>
            <a:ext uri="{FF2B5EF4-FFF2-40B4-BE49-F238E27FC236}">
              <a16:creationId xmlns:a16="http://schemas.microsoft.com/office/drawing/2014/main" id="{24309C4E-CCAE-4852-8F4E-745EA7D70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43" name="xgdvConsulta_IADU" descr="Up Arrow">
          <a:extLst>
            <a:ext uri="{FF2B5EF4-FFF2-40B4-BE49-F238E27FC236}">
              <a16:creationId xmlns:a16="http://schemas.microsoft.com/office/drawing/2014/main" id="{6BB7C113-2C90-4A0C-AAAE-CB24BCDC0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44" name="xgdvConsulta_IADL" descr="Left Arrow">
          <a:extLst>
            <a:ext uri="{FF2B5EF4-FFF2-40B4-BE49-F238E27FC236}">
              <a16:creationId xmlns:a16="http://schemas.microsoft.com/office/drawing/2014/main" id="{99022CF4-B2B1-4138-AACF-ABC953737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45" name="xgdvConsulta_IADR" descr="Right Arrow">
          <a:extLst>
            <a:ext uri="{FF2B5EF4-FFF2-40B4-BE49-F238E27FC236}">
              <a16:creationId xmlns:a16="http://schemas.microsoft.com/office/drawing/2014/main" id="{51A0DFCB-54FA-4CA2-ABE9-3E95237C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46" name="xgdvConsulta_IADD" descr="Down Arrow">
          <a:extLst>
            <a:ext uri="{FF2B5EF4-FFF2-40B4-BE49-F238E27FC236}">
              <a16:creationId xmlns:a16="http://schemas.microsoft.com/office/drawing/2014/main" id="{2F8DEDE3-D52D-4308-B8FB-BB10A25D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47" name="xgdvConsulta_IADU" descr="Up Arrow">
          <a:extLst>
            <a:ext uri="{FF2B5EF4-FFF2-40B4-BE49-F238E27FC236}">
              <a16:creationId xmlns:a16="http://schemas.microsoft.com/office/drawing/2014/main" id="{649695D9-F670-4475-B4DB-67248168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48" name="xgdvConsulta_IADL" descr="Left Arrow">
          <a:extLst>
            <a:ext uri="{FF2B5EF4-FFF2-40B4-BE49-F238E27FC236}">
              <a16:creationId xmlns:a16="http://schemas.microsoft.com/office/drawing/2014/main" id="{D4178F76-CA7E-4897-BF49-886FB8E4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49" name="xgdvConsulta_IADR" descr="Right Arrow">
          <a:extLst>
            <a:ext uri="{FF2B5EF4-FFF2-40B4-BE49-F238E27FC236}">
              <a16:creationId xmlns:a16="http://schemas.microsoft.com/office/drawing/2014/main" id="{BADB5AA6-79CD-4C32-BAF2-18F7C469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0" name="xgdvConsulta_IADD" descr="Down Arrow">
          <a:extLst>
            <a:ext uri="{FF2B5EF4-FFF2-40B4-BE49-F238E27FC236}">
              <a16:creationId xmlns:a16="http://schemas.microsoft.com/office/drawing/2014/main" id="{3AD6F132-F7E6-4C7B-ACE7-05345091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1" name="xgdvConsulta_IADU" descr="Up Arrow">
          <a:extLst>
            <a:ext uri="{FF2B5EF4-FFF2-40B4-BE49-F238E27FC236}">
              <a16:creationId xmlns:a16="http://schemas.microsoft.com/office/drawing/2014/main" id="{494EDF39-E0E9-42FB-BAA6-2B3C3094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2" name="xgdvConsulta_IADL" descr="Left Arrow">
          <a:extLst>
            <a:ext uri="{FF2B5EF4-FFF2-40B4-BE49-F238E27FC236}">
              <a16:creationId xmlns:a16="http://schemas.microsoft.com/office/drawing/2014/main" id="{C71F1E5C-DC26-4221-AECE-135F2CFCD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3" name="xgdvConsulta_IADR" descr="Right Arrow">
          <a:extLst>
            <a:ext uri="{FF2B5EF4-FFF2-40B4-BE49-F238E27FC236}">
              <a16:creationId xmlns:a16="http://schemas.microsoft.com/office/drawing/2014/main" id="{56AD0A22-5EB4-4FDE-AA3D-CE9D0B87B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4" name="xgdvConsulta_IADD" descr="Down Arrow">
          <a:extLst>
            <a:ext uri="{FF2B5EF4-FFF2-40B4-BE49-F238E27FC236}">
              <a16:creationId xmlns:a16="http://schemas.microsoft.com/office/drawing/2014/main" id="{E258E8C9-715D-4C9D-B6F3-8013448A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5" name="xgdvConsulta_IADU" descr="Up Arrow">
          <a:extLst>
            <a:ext uri="{FF2B5EF4-FFF2-40B4-BE49-F238E27FC236}">
              <a16:creationId xmlns:a16="http://schemas.microsoft.com/office/drawing/2014/main" id="{8E4A1B80-5899-490E-8AF5-5714F3D6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6" name="xgdvConsulta_IADL" descr="Left Arrow">
          <a:extLst>
            <a:ext uri="{FF2B5EF4-FFF2-40B4-BE49-F238E27FC236}">
              <a16:creationId xmlns:a16="http://schemas.microsoft.com/office/drawing/2014/main" id="{5FC5D67A-170C-4364-B7B5-5668D199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7" name="xgdvConsulta_IADR" descr="Right Arrow">
          <a:extLst>
            <a:ext uri="{FF2B5EF4-FFF2-40B4-BE49-F238E27FC236}">
              <a16:creationId xmlns:a16="http://schemas.microsoft.com/office/drawing/2014/main" id="{E41F3E23-E063-45B7-A72F-8352B7B76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58" name="xgdvConsulta_IADD" descr="Down Arrow">
          <a:extLst>
            <a:ext uri="{FF2B5EF4-FFF2-40B4-BE49-F238E27FC236}">
              <a16:creationId xmlns:a16="http://schemas.microsoft.com/office/drawing/2014/main" id="{EB130A56-3C69-420A-8C34-B4832599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59" name="xgdvConsulta_IADU" descr="Up Arrow">
          <a:extLst>
            <a:ext uri="{FF2B5EF4-FFF2-40B4-BE49-F238E27FC236}">
              <a16:creationId xmlns:a16="http://schemas.microsoft.com/office/drawing/2014/main" id="{CBB39CF3-83B2-4B21-AB08-2DCEE1F3E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60" name="xgdvConsulta_IADL" descr="Left Arrow">
          <a:extLst>
            <a:ext uri="{FF2B5EF4-FFF2-40B4-BE49-F238E27FC236}">
              <a16:creationId xmlns:a16="http://schemas.microsoft.com/office/drawing/2014/main" id="{C3AEEA9D-E29F-44A8-9CCE-709D6B04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61" name="xgdvConsulta_IADR" descr="Right Arrow">
          <a:extLst>
            <a:ext uri="{FF2B5EF4-FFF2-40B4-BE49-F238E27FC236}">
              <a16:creationId xmlns:a16="http://schemas.microsoft.com/office/drawing/2014/main" id="{F987E1F8-17D8-49CB-8CB8-1FA853FE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62" name="xgdvConsulta_IADD" descr="Down Arrow">
          <a:extLst>
            <a:ext uri="{FF2B5EF4-FFF2-40B4-BE49-F238E27FC236}">
              <a16:creationId xmlns:a16="http://schemas.microsoft.com/office/drawing/2014/main" id="{DE51F7D5-ABEE-4D7C-9788-4B36829B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63" name="xgdvConsulta_IADU" descr="Up Arrow">
          <a:extLst>
            <a:ext uri="{FF2B5EF4-FFF2-40B4-BE49-F238E27FC236}">
              <a16:creationId xmlns:a16="http://schemas.microsoft.com/office/drawing/2014/main" id="{6B8132BD-1F11-48CC-AB04-8BD42C471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64" name="xgdvConsulta_IADL" descr="Left Arrow">
          <a:extLst>
            <a:ext uri="{FF2B5EF4-FFF2-40B4-BE49-F238E27FC236}">
              <a16:creationId xmlns:a16="http://schemas.microsoft.com/office/drawing/2014/main" id="{3425CA32-D4DD-4E58-9CCF-66155F21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65" name="xgdvConsulta_IADR" descr="Right Arrow">
          <a:extLst>
            <a:ext uri="{FF2B5EF4-FFF2-40B4-BE49-F238E27FC236}">
              <a16:creationId xmlns:a16="http://schemas.microsoft.com/office/drawing/2014/main" id="{338BA4A7-12B6-4682-922D-772BBA48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66" name="xgdvConsulta_IADD" descr="Down Arrow">
          <a:extLst>
            <a:ext uri="{FF2B5EF4-FFF2-40B4-BE49-F238E27FC236}">
              <a16:creationId xmlns:a16="http://schemas.microsoft.com/office/drawing/2014/main" id="{FABF6C9F-1833-469F-AD01-D117A5A6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67" name="xgdvConsulta_IADU" descr="Up Arrow">
          <a:extLst>
            <a:ext uri="{FF2B5EF4-FFF2-40B4-BE49-F238E27FC236}">
              <a16:creationId xmlns:a16="http://schemas.microsoft.com/office/drawing/2014/main" id="{6AB6F9AC-CB90-41C4-9AC6-1CF8DF82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68" name="xgdvConsulta_IADL" descr="Left Arrow">
          <a:extLst>
            <a:ext uri="{FF2B5EF4-FFF2-40B4-BE49-F238E27FC236}">
              <a16:creationId xmlns:a16="http://schemas.microsoft.com/office/drawing/2014/main" id="{F61E5641-FC57-41A7-9A7E-2D8BCB96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69" name="xgdvConsulta_IADR" descr="Right Arrow">
          <a:extLst>
            <a:ext uri="{FF2B5EF4-FFF2-40B4-BE49-F238E27FC236}">
              <a16:creationId xmlns:a16="http://schemas.microsoft.com/office/drawing/2014/main" id="{2B09D2E2-0049-49C8-9A26-2A9A1A1B9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70" name="xgdvConsulta_IADD" descr="Down Arrow">
          <a:extLst>
            <a:ext uri="{FF2B5EF4-FFF2-40B4-BE49-F238E27FC236}">
              <a16:creationId xmlns:a16="http://schemas.microsoft.com/office/drawing/2014/main" id="{E66EDCA5-19AC-4A7A-B6F8-C2327E76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71" name="xgdvConsulta_IADU" descr="Up Arrow">
          <a:extLst>
            <a:ext uri="{FF2B5EF4-FFF2-40B4-BE49-F238E27FC236}">
              <a16:creationId xmlns:a16="http://schemas.microsoft.com/office/drawing/2014/main" id="{3F401DED-6D03-4800-B76B-AB4DFA67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72" name="xgdvConsulta_IADL" descr="Left Arrow">
          <a:extLst>
            <a:ext uri="{FF2B5EF4-FFF2-40B4-BE49-F238E27FC236}">
              <a16:creationId xmlns:a16="http://schemas.microsoft.com/office/drawing/2014/main" id="{5F280151-902F-4191-8416-348546739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73" name="xgdvConsulta_IADR" descr="Right Arrow">
          <a:extLst>
            <a:ext uri="{FF2B5EF4-FFF2-40B4-BE49-F238E27FC236}">
              <a16:creationId xmlns:a16="http://schemas.microsoft.com/office/drawing/2014/main" id="{9829A41E-8EB9-47CA-8AA3-55A74776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74" name="xgdvConsulta_IADD" descr="Down Arrow">
          <a:extLst>
            <a:ext uri="{FF2B5EF4-FFF2-40B4-BE49-F238E27FC236}">
              <a16:creationId xmlns:a16="http://schemas.microsoft.com/office/drawing/2014/main" id="{E3EE97F5-92FB-44D3-8DA8-74D1D45AC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75" name="xgdvConsulta_IADU" descr="Up Arrow">
          <a:extLst>
            <a:ext uri="{FF2B5EF4-FFF2-40B4-BE49-F238E27FC236}">
              <a16:creationId xmlns:a16="http://schemas.microsoft.com/office/drawing/2014/main" id="{299F4203-2D52-452A-8543-A67F11BD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76" name="xgdvConsulta_IADL" descr="Left Arrow">
          <a:extLst>
            <a:ext uri="{FF2B5EF4-FFF2-40B4-BE49-F238E27FC236}">
              <a16:creationId xmlns:a16="http://schemas.microsoft.com/office/drawing/2014/main" id="{A35F1A7D-F868-4E65-A913-80ADCA192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77" name="xgdvConsulta_IADR" descr="Right Arrow">
          <a:extLst>
            <a:ext uri="{FF2B5EF4-FFF2-40B4-BE49-F238E27FC236}">
              <a16:creationId xmlns:a16="http://schemas.microsoft.com/office/drawing/2014/main" id="{54F6BA97-7FD4-4F3D-B26A-BE11C102C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78" name="xgdvConsulta_IADD" descr="Down Arrow">
          <a:extLst>
            <a:ext uri="{FF2B5EF4-FFF2-40B4-BE49-F238E27FC236}">
              <a16:creationId xmlns:a16="http://schemas.microsoft.com/office/drawing/2014/main" id="{04C22043-AF2C-486A-A4F0-FF3C806A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79" name="xgdvConsulta_IADU" descr="Up Arrow">
          <a:extLst>
            <a:ext uri="{FF2B5EF4-FFF2-40B4-BE49-F238E27FC236}">
              <a16:creationId xmlns:a16="http://schemas.microsoft.com/office/drawing/2014/main" id="{39820E9F-7D47-45D1-AB70-0DDED6A1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80" name="xgdvConsulta_IADL" descr="Left Arrow">
          <a:extLst>
            <a:ext uri="{FF2B5EF4-FFF2-40B4-BE49-F238E27FC236}">
              <a16:creationId xmlns:a16="http://schemas.microsoft.com/office/drawing/2014/main" id="{A8C922C6-12F2-431E-9377-049AFEB0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81" name="xgdvConsulta_IADR" descr="Right Arrow">
          <a:extLst>
            <a:ext uri="{FF2B5EF4-FFF2-40B4-BE49-F238E27FC236}">
              <a16:creationId xmlns:a16="http://schemas.microsoft.com/office/drawing/2014/main" id="{1A5B5C45-AF23-49D1-9743-3F2787BF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82" name="xgdvConsulta_IADD" descr="Down Arrow">
          <a:extLst>
            <a:ext uri="{FF2B5EF4-FFF2-40B4-BE49-F238E27FC236}">
              <a16:creationId xmlns:a16="http://schemas.microsoft.com/office/drawing/2014/main" id="{C59FACC3-013E-4EBB-B932-7ADD934A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83" name="xgdvConsulta_IADU" descr="Up Arrow">
          <a:extLst>
            <a:ext uri="{FF2B5EF4-FFF2-40B4-BE49-F238E27FC236}">
              <a16:creationId xmlns:a16="http://schemas.microsoft.com/office/drawing/2014/main" id="{9CA14E6C-C083-4C54-A5A1-C8F37D18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84" name="xgdvConsulta_IADL" descr="Left Arrow">
          <a:extLst>
            <a:ext uri="{FF2B5EF4-FFF2-40B4-BE49-F238E27FC236}">
              <a16:creationId xmlns:a16="http://schemas.microsoft.com/office/drawing/2014/main" id="{320FC219-50B4-440F-A63E-967CA1D8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85" name="xgdvConsulta_IADR" descr="Right Arrow">
          <a:extLst>
            <a:ext uri="{FF2B5EF4-FFF2-40B4-BE49-F238E27FC236}">
              <a16:creationId xmlns:a16="http://schemas.microsoft.com/office/drawing/2014/main" id="{FCE6C2FE-B293-4F35-BD35-E278FD2B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86" name="xgdvConsulta_IADD" descr="Down Arrow">
          <a:extLst>
            <a:ext uri="{FF2B5EF4-FFF2-40B4-BE49-F238E27FC236}">
              <a16:creationId xmlns:a16="http://schemas.microsoft.com/office/drawing/2014/main" id="{740BACBF-B961-44AB-9B97-314F92B04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87" name="xgdvConsulta_IADU" descr="Up Arrow">
          <a:extLst>
            <a:ext uri="{FF2B5EF4-FFF2-40B4-BE49-F238E27FC236}">
              <a16:creationId xmlns:a16="http://schemas.microsoft.com/office/drawing/2014/main" id="{E44F41DD-F639-40D1-BE21-5BF408462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88" name="xgdvConsulta_IADL" descr="Left Arrow">
          <a:extLst>
            <a:ext uri="{FF2B5EF4-FFF2-40B4-BE49-F238E27FC236}">
              <a16:creationId xmlns:a16="http://schemas.microsoft.com/office/drawing/2014/main" id="{ECD67C2D-E767-41D4-AC59-D86F9CBA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89" name="xgdvConsulta_IADR" descr="Right Arrow">
          <a:extLst>
            <a:ext uri="{FF2B5EF4-FFF2-40B4-BE49-F238E27FC236}">
              <a16:creationId xmlns:a16="http://schemas.microsoft.com/office/drawing/2014/main" id="{3E0166D9-A5D5-4395-B14E-E0123CB1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0" name="xgdvConsulta_IADD" descr="Down Arrow">
          <a:extLst>
            <a:ext uri="{FF2B5EF4-FFF2-40B4-BE49-F238E27FC236}">
              <a16:creationId xmlns:a16="http://schemas.microsoft.com/office/drawing/2014/main" id="{898845F6-6F88-4D46-B4E8-DBE56503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1" name="xgdvConsulta_IADU" descr="Up Arrow">
          <a:extLst>
            <a:ext uri="{FF2B5EF4-FFF2-40B4-BE49-F238E27FC236}">
              <a16:creationId xmlns:a16="http://schemas.microsoft.com/office/drawing/2014/main" id="{19766F32-6E63-4F66-BF18-470FE03B1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2" name="xgdvConsulta_IADL" descr="Left Arrow">
          <a:extLst>
            <a:ext uri="{FF2B5EF4-FFF2-40B4-BE49-F238E27FC236}">
              <a16:creationId xmlns:a16="http://schemas.microsoft.com/office/drawing/2014/main" id="{DF312849-6CA7-4E20-B19A-A2D0DC4B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3" name="xgdvConsulta_IADR" descr="Right Arrow">
          <a:extLst>
            <a:ext uri="{FF2B5EF4-FFF2-40B4-BE49-F238E27FC236}">
              <a16:creationId xmlns:a16="http://schemas.microsoft.com/office/drawing/2014/main" id="{DC672C98-B766-4ECA-B2A6-10E98E63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4" name="xgdvConsulta_IADD" descr="Down Arrow">
          <a:extLst>
            <a:ext uri="{FF2B5EF4-FFF2-40B4-BE49-F238E27FC236}">
              <a16:creationId xmlns:a16="http://schemas.microsoft.com/office/drawing/2014/main" id="{066BF993-35F1-46E0-B0D0-206FFE0CE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5" name="xgdvConsulta_IADU" descr="Up Arrow">
          <a:extLst>
            <a:ext uri="{FF2B5EF4-FFF2-40B4-BE49-F238E27FC236}">
              <a16:creationId xmlns:a16="http://schemas.microsoft.com/office/drawing/2014/main" id="{864C96CB-C4FC-4D44-BD72-C70EAB20D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6" name="xgdvConsulta_IADL" descr="Left Arrow">
          <a:extLst>
            <a:ext uri="{FF2B5EF4-FFF2-40B4-BE49-F238E27FC236}">
              <a16:creationId xmlns:a16="http://schemas.microsoft.com/office/drawing/2014/main" id="{347B4FEE-8D8F-483D-B2E6-2684B8F2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7" name="xgdvConsulta_IADR" descr="Right Arrow">
          <a:extLst>
            <a:ext uri="{FF2B5EF4-FFF2-40B4-BE49-F238E27FC236}">
              <a16:creationId xmlns:a16="http://schemas.microsoft.com/office/drawing/2014/main" id="{244296ED-5DCC-4D26-94AB-9E77CC9D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98" name="xgdvConsulta_IADD" descr="Down Arrow">
          <a:extLst>
            <a:ext uri="{FF2B5EF4-FFF2-40B4-BE49-F238E27FC236}">
              <a16:creationId xmlns:a16="http://schemas.microsoft.com/office/drawing/2014/main" id="{06767FCA-5904-4C70-AFCA-C6DFDDF1A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99" name="xgdvConsulta_IADU" descr="Up Arrow">
          <a:extLst>
            <a:ext uri="{FF2B5EF4-FFF2-40B4-BE49-F238E27FC236}">
              <a16:creationId xmlns:a16="http://schemas.microsoft.com/office/drawing/2014/main" id="{04B62643-D3CF-41C9-BFFB-5EE04FAC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0" name="xgdvConsulta_IADL" descr="Left Arrow">
          <a:extLst>
            <a:ext uri="{FF2B5EF4-FFF2-40B4-BE49-F238E27FC236}">
              <a16:creationId xmlns:a16="http://schemas.microsoft.com/office/drawing/2014/main" id="{D4C8987F-1C20-42C5-94F1-CC2DECF01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1" name="xgdvConsulta_IADR" descr="Right Arrow">
          <a:extLst>
            <a:ext uri="{FF2B5EF4-FFF2-40B4-BE49-F238E27FC236}">
              <a16:creationId xmlns:a16="http://schemas.microsoft.com/office/drawing/2014/main" id="{759F5F3C-747F-4F5A-A26B-55202852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2" name="xgdvConsulta_IADD" descr="Down Arrow">
          <a:extLst>
            <a:ext uri="{FF2B5EF4-FFF2-40B4-BE49-F238E27FC236}">
              <a16:creationId xmlns:a16="http://schemas.microsoft.com/office/drawing/2014/main" id="{0DE8B482-FA19-46A5-AD89-729329A4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3" name="xgdvConsulta_IADU" descr="Up Arrow">
          <a:extLst>
            <a:ext uri="{FF2B5EF4-FFF2-40B4-BE49-F238E27FC236}">
              <a16:creationId xmlns:a16="http://schemas.microsoft.com/office/drawing/2014/main" id="{0197D95F-D266-40C3-9B8B-DF50786C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4" name="xgdvConsulta_IADL" descr="Left Arrow">
          <a:extLst>
            <a:ext uri="{FF2B5EF4-FFF2-40B4-BE49-F238E27FC236}">
              <a16:creationId xmlns:a16="http://schemas.microsoft.com/office/drawing/2014/main" id="{B8819CCE-245D-425E-9EBD-ACE1D9993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5" name="xgdvConsulta_IADR" descr="Right Arrow">
          <a:extLst>
            <a:ext uri="{FF2B5EF4-FFF2-40B4-BE49-F238E27FC236}">
              <a16:creationId xmlns:a16="http://schemas.microsoft.com/office/drawing/2014/main" id="{7BDE8E33-E7CA-43B0-8AFB-7DD58EBBF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6" name="xgdvConsulta_IADD" descr="Down Arrow">
          <a:extLst>
            <a:ext uri="{FF2B5EF4-FFF2-40B4-BE49-F238E27FC236}">
              <a16:creationId xmlns:a16="http://schemas.microsoft.com/office/drawing/2014/main" id="{905FC418-3CCC-4D66-BFCE-77B51FAC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7" name="xgdvConsulta_IADU" descr="Up Arrow">
          <a:extLst>
            <a:ext uri="{FF2B5EF4-FFF2-40B4-BE49-F238E27FC236}">
              <a16:creationId xmlns:a16="http://schemas.microsoft.com/office/drawing/2014/main" id="{1CD14ACA-A76E-4A19-B917-8C80B567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8" name="xgdvConsulta_IADL" descr="Left Arrow">
          <a:extLst>
            <a:ext uri="{FF2B5EF4-FFF2-40B4-BE49-F238E27FC236}">
              <a16:creationId xmlns:a16="http://schemas.microsoft.com/office/drawing/2014/main" id="{408CF5C9-353E-4E8A-9A40-8DC3CC44F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9" name="xgdvConsulta_IADR" descr="Right Arrow">
          <a:extLst>
            <a:ext uri="{FF2B5EF4-FFF2-40B4-BE49-F238E27FC236}">
              <a16:creationId xmlns:a16="http://schemas.microsoft.com/office/drawing/2014/main" id="{BFD643A2-ADE3-4D03-B935-015E3B990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0" name="xgdvConsulta_IADD" descr="Down Arrow">
          <a:extLst>
            <a:ext uri="{FF2B5EF4-FFF2-40B4-BE49-F238E27FC236}">
              <a16:creationId xmlns:a16="http://schemas.microsoft.com/office/drawing/2014/main" id="{3446F37E-A0B4-4CFF-BD51-8A333EFD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1" name="xgdvConsulta_IADU" descr="Up Arrow">
          <a:extLst>
            <a:ext uri="{FF2B5EF4-FFF2-40B4-BE49-F238E27FC236}">
              <a16:creationId xmlns:a16="http://schemas.microsoft.com/office/drawing/2014/main" id="{E3DFB8A3-DCAE-49A4-9184-B08ECF004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2" name="xgdvConsulta_IADL" descr="Left Arrow">
          <a:extLst>
            <a:ext uri="{FF2B5EF4-FFF2-40B4-BE49-F238E27FC236}">
              <a16:creationId xmlns:a16="http://schemas.microsoft.com/office/drawing/2014/main" id="{95488303-EEA0-4AEF-8C44-4B9FFF19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3" name="xgdvConsulta_IADR" descr="Right Arrow">
          <a:extLst>
            <a:ext uri="{FF2B5EF4-FFF2-40B4-BE49-F238E27FC236}">
              <a16:creationId xmlns:a16="http://schemas.microsoft.com/office/drawing/2014/main" id="{BB29F41D-B14D-41FA-9BD5-D3D17786A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4" name="xgdvConsulta_IADD" descr="Down Arrow">
          <a:extLst>
            <a:ext uri="{FF2B5EF4-FFF2-40B4-BE49-F238E27FC236}">
              <a16:creationId xmlns:a16="http://schemas.microsoft.com/office/drawing/2014/main" id="{AC80FA87-BA98-43B6-922A-7C6116BB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5" name="xgdvConsulta_IADU" descr="Up Arrow">
          <a:extLst>
            <a:ext uri="{FF2B5EF4-FFF2-40B4-BE49-F238E27FC236}">
              <a16:creationId xmlns:a16="http://schemas.microsoft.com/office/drawing/2014/main" id="{941ECD8B-33B2-4D36-9538-24463F6F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6" name="xgdvConsulta_IADL" descr="Left Arrow">
          <a:extLst>
            <a:ext uri="{FF2B5EF4-FFF2-40B4-BE49-F238E27FC236}">
              <a16:creationId xmlns:a16="http://schemas.microsoft.com/office/drawing/2014/main" id="{E69DD696-5517-47B3-8E49-1E8C50DCB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7" name="xgdvConsulta_IADR" descr="Right Arrow">
          <a:extLst>
            <a:ext uri="{FF2B5EF4-FFF2-40B4-BE49-F238E27FC236}">
              <a16:creationId xmlns:a16="http://schemas.microsoft.com/office/drawing/2014/main" id="{2207E5CF-982E-459D-A548-1A3A1F867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8" name="xgdvConsulta_IADD" descr="Down Arrow">
          <a:extLst>
            <a:ext uri="{FF2B5EF4-FFF2-40B4-BE49-F238E27FC236}">
              <a16:creationId xmlns:a16="http://schemas.microsoft.com/office/drawing/2014/main" id="{0E4F3EB3-6429-477E-89C9-E9FE6CC0E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9" name="xgdvConsulta_IADU" descr="Up Arrow">
          <a:extLst>
            <a:ext uri="{FF2B5EF4-FFF2-40B4-BE49-F238E27FC236}">
              <a16:creationId xmlns:a16="http://schemas.microsoft.com/office/drawing/2014/main" id="{CEF23D6F-1FC9-45C7-89F0-4D2FC3717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20" name="xgdvConsulta_IADL" descr="Left Arrow">
          <a:extLst>
            <a:ext uri="{FF2B5EF4-FFF2-40B4-BE49-F238E27FC236}">
              <a16:creationId xmlns:a16="http://schemas.microsoft.com/office/drawing/2014/main" id="{161E37FF-0CC5-422E-BD42-1F0ADB42C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21" name="xgdvConsulta_IADR" descr="Right Arrow">
          <a:extLst>
            <a:ext uri="{FF2B5EF4-FFF2-40B4-BE49-F238E27FC236}">
              <a16:creationId xmlns:a16="http://schemas.microsoft.com/office/drawing/2014/main" id="{6F871924-2219-48AE-A4F0-7EEE86B6D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2" name="xgdvConsulta_IADD" descr="Down Arrow">
          <a:extLst>
            <a:ext uri="{FF2B5EF4-FFF2-40B4-BE49-F238E27FC236}">
              <a16:creationId xmlns:a16="http://schemas.microsoft.com/office/drawing/2014/main" id="{86E0366B-F7C1-4642-A6BA-DCBC9801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3" name="xgdvConsulta_IADU" descr="Up Arrow">
          <a:extLst>
            <a:ext uri="{FF2B5EF4-FFF2-40B4-BE49-F238E27FC236}">
              <a16:creationId xmlns:a16="http://schemas.microsoft.com/office/drawing/2014/main" id="{82DE0EA3-6482-470A-BE7A-420DDE939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4" name="xgdvConsulta_IADL" descr="Left Arrow">
          <a:extLst>
            <a:ext uri="{FF2B5EF4-FFF2-40B4-BE49-F238E27FC236}">
              <a16:creationId xmlns:a16="http://schemas.microsoft.com/office/drawing/2014/main" id="{9EA25435-E339-46BD-82CC-0633F13F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5" name="xgdvConsulta_IADR" descr="Right Arrow">
          <a:extLst>
            <a:ext uri="{FF2B5EF4-FFF2-40B4-BE49-F238E27FC236}">
              <a16:creationId xmlns:a16="http://schemas.microsoft.com/office/drawing/2014/main" id="{043FBC67-66EC-4788-A8BD-25246913B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6" name="xgdvConsulta_IADD" descr="Down Arrow">
          <a:extLst>
            <a:ext uri="{FF2B5EF4-FFF2-40B4-BE49-F238E27FC236}">
              <a16:creationId xmlns:a16="http://schemas.microsoft.com/office/drawing/2014/main" id="{8D31C6B6-5438-4317-A500-30C6AD8D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7" name="xgdvConsulta_IADU" descr="Up Arrow">
          <a:extLst>
            <a:ext uri="{FF2B5EF4-FFF2-40B4-BE49-F238E27FC236}">
              <a16:creationId xmlns:a16="http://schemas.microsoft.com/office/drawing/2014/main" id="{F350A6CD-46FD-4E1D-A025-4F22EDCA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8" name="xgdvConsulta_IADL" descr="Left Arrow">
          <a:extLst>
            <a:ext uri="{FF2B5EF4-FFF2-40B4-BE49-F238E27FC236}">
              <a16:creationId xmlns:a16="http://schemas.microsoft.com/office/drawing/2014/main" id="{87DA6423-22B0-4544-8BF7-9FCC05DC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9" name="xgdvConsulta_IADR" descr="Right Arrow">
          <a:extLst>
            <a:ext uri="{FF2B5EF4-FFF2-40B4-BE49-F238E27FC236}">
              <a16:creationId xmlns:a16="http://schemas.microsoft.com/office/drawing/2014/main" id="{711EB456-6CCF-4521-B040-BB41B45AA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30" name="xgdvConsulta_IADD" descr="Down Arrow">
          <a:extLst>
            <a:ext uri="{FF2B5EF4-FFF2-40B4-BE49-F238E27FC236}">
              <a16:creationId xmlns:a16="http://schemas.microsoft.com/office/drawing/2014/main" id="{DFB1CC22-440B-4D65-9A32-5E3A906E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31" name="xgdvConsulta_IADU" descr="Up Arrow">
          <a:extLst>
            <a:ext uri="{FF2B5EF4-FFF2-40B4-BE49-F238E27FC236}">
              <a16:creationId xmlns:a16="http://schemas.microsoft.com/office/drawing/2014/main" id="{180C95AF-6ED3-4A64-9502-131E6D95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32" name="xgdvConsulta_IADL" descr="Left Arrow">
          <a:extLst>
            <a:ext uri="{FF2B5EF4-FFF2-40B4-BE49-F238E27FC236}">
              <a16:creationId xmlns:a16="http://schemas.microsoft.com/office/drawing/2014/main" id="{7CD2322E-5B14-417E-9D76-2780FF36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33" name="xgdvConsulta_IADR" descr="Right Arrow">
          <a:extLst>
            <a:ext uri="{FF2B5EF4-FFF2-40B4-BE49-F238E27FC236}">
              <a16:creationId xmlns:a16="http://schemas.microsoft.com/office/drawing/2014/main" id="{B9AB8A55-C485-4974-819B-9C75E5BA7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34" name="xgdvConsulta_IADD" descr="Down Arrow">
          <a:extLst>
            <a:ext uri="{FF2B5EF4-FFF2-40B4-BE49-F238E27FC236}">
              <a16:creationId xmlns:a16="http://schemas.microsoft.com/office/drawing/2014/main" id="{B87B18B1-C9BB-4865-8078-90DD3AC8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35" name="xgdvConsulta_IADU" descr="Up Arrow">
          <a:extLst>
            <a:ext uri="{FF2B5EF4-FFF2-40B4-BE49-F238E27FC236}">
              <a16:creationId xmlns:a16="http://schemas.microsoft.com/office/drawing/2014/main" id="{54FE4B6F-3CD2-42C3-A4B7-83602654B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36" name="xgdvConsulta_IADL" descr="Left Arrow">
          <a:extLst>
            <a:ext uri="{FF2B5EF4-FFF2-40B4-BE49-F238E27FC236}">
              <a16:creationId xmlns:a16="http://schemas.microsoft.com/office/drawing/2014/main" id="{4162AFCE-3D1F-4FA1-888B-B4A53B684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37" name="xgdvConsulta_IADR" descr="Right Arrow">
          <a:extLst>
            <a:ext uri="{FF2B5EF4-FFF2-40B4-BE49-F238E27FC236}">
              <a16:creationId xmlns:a16="http://schemas.microsoft.com/office/drawing/2014/main" id="{0B545D1E-662C-4823-B475-2025E8E3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38" name="xgdvConsulta_IADD" descr="Down Arrow">
          <a:extLst>
            <a:ext uri="{FF2B5EF4-FFF2-40B4-BE49-F238E27FC236}">
              <a16:creationId xmlns:a16="http://schemas.microsoft.com/office/drawing/2014/main" id="{CFFBDD72-31FD-4D66-B9AD-35174B98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39" name="xgdvConsulta_IADU" descr="Up Arrow">
          <a:extLst>
            <a:ext uri="{FF2B5EF4-FFF2-40B4-BE49-F238E27FC236}">
              <a16:creationId xmlns:a16="http://schemas.microsoft.com/office/drawing/2014/main" id="{26EAA08F-C78C-41FB-94A5-572C3D95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40" name="xgdvConsulta_IADL" descr="Left Arrow">
          <a:extLst>
            <a:ext uri="{FF2B5EF4-FFF2-40B4-BE49-F238E27FC236}">
              <a16:creationId xmlns:a16="http://schemas.microsoft.com/office/drawing/2014/main" id="{5BBA3FEB-5B66-4AA5-BEB8-503AB304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41" name="xgdvConsulta_IADR" descr="Right Arrow">
          <a:extLst>
            <a:ext uri="{FF2B5EF4-FFF2-40B4-BE49-F238E27FC236}">
              <a16:creationId xmlns:a16="http://schemas.microsoft.com/office/drawing/2014/main" id="{B4C908E7-2553-44E0-99B1-1AF02BD1E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42" name="xgdvConsulta_IADD" descr="Down Arrow">
          <a:extLst>
            <a:ext uri="{FF2B5EF4-FFF2-40B4-BE49-F238E27FC236}">
              <a16:creationId xmlns:a16="http://schemas.microsoft.com/office/drawing/2014/main" id="{300DDB78-6F65-4DBE-ADD3-49A7A973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43" name="xgdvConsulta_IADU" descr="Up Arrow">
          <a:extLst>
            <a:ext uri="{FF2B5EF4-FFF2-40B4-BE49-F238E27FC236}">
              <a16:creationId xmlns:a16="http://schemas.microsoft.com/office/drawing/2014/main" id="{8449E6D5-6560-474D-86A2-0DFFAD1F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44" name="xgdvConsulta_IADL" descr="Left Arrow">
          <a:extLst>
            <a:ext uri="{FF2B5EF4-FFF2-40B4-BE49-F238E27FC236}">
              <a16:creationId xmlns:a16="http://schemas.microsoft.com/office/drawing/2014/main" id="{D84750DC-E1B8-4E49-9711-C0D24B2F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45" name="xgdvConsulta_IADR" descr="Right Arrow">
          <a:extLst>
            <a:ext uri="{FF2B5EF4-FFF2-40B4-BE49-F238E27FC236}">
              <a16:creationId xmlns:a16="http://schemas.microsoft.com/office/drawing/2014/main" id="{C7A36F6C-9FD3-4A4E-BEE7-33342584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46" name="xgdvConsulta_IADD" descr="Down Arrow">
          <a:extLst>
            <a:ext uri="{FF2B5EF4-FFF2-40B4-BE49-F238E27FC236}">
              <a16:creationId xmlns:a16="http://schemas.microsoft.com/office/drawing/2014/main" id="{F4F1170F-47F6-4FAC-96C7-1754ABFB8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47" name="xgdvConsulta_IADU" descr="Up Arrow">
          <a:extLst>
            <a:ext uri="{FF2B5EF4-FFF2-40B4-BE49-F238E27FC236}">
              <a16:creationId xmlns:a16="http://schemas.microsoft.com/office/drawing/2014/main" id="{3FDAF881-5340-48F4-A179-77EAE5C8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48" name="xgdvConsulta_IADL" descr="Left Arrow">
          <a:extLst>
            <a:ext uri="{FF2B5EF4-FFF2-40B4-BE49-F238E27FC236}">
              <a16:creationId xmlns:a16="http://schemas.microsoft.com/office/drawing/2014/main" id="{F2C41EFF-C9E7-4388-B5F6-DC90C7F8D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49" name="xgdvConsulta_IADR" descr="Right Arrow">
          <a:extLst>
            <a:ext uri="{FF2B5EF4-FFF2-40B4-BE49-F238E27FC236}">
              <a16:creationId xmlns:a16="http://schemas.microsoft.com/office/drawing/2014/main" id="{6260A83C-EB17-4C4C-805C-DB8D2AAB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0" name="xgdvConsulta_IADD" descr="Down Arrow">
          <a:extLst>
            <a:ext uri="{FF2B5EF4-FFF2-40B4-BE49-F238E27FC236}">
              <a16:creationId xmlns:a16="http://schemas.microsoft.com/office/drawing/2014/main" id="{739B6593-07A9-4B22-BBA9-E1532A23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1" name="xgdvConsulta_IADU" descr="Up Arrow">
          <a:extLst>
            <a:ext uri="{FF2B5EF4-FFF2-40B4-BE49-F238E27FC236}">
              <a16:creationId xmlns:a16="http://schemas.microsoft.com/office/drawing/2014/main" id="{0739F6C4-FFEE-4B9A-A4CF-D984FB8FC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2" name="xgdvConsulta_IADL" descr="Left Arrow">
          <a:extLst>
            <a:ext uri="{FF2B5EF4-FFF2-40B4-BE49-F238E27FC236}">
              <a16:creationId xmlns:a16="http://schemas.microsoft.com/office/drawing/2014/main" id="{D5BE1B33-0A07-4B3C-90BA-DFE3D8AB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3" name="xgdvConsulta_IADR" descr="Right Arrow">
          <a:extLst>
            <a:ext uri="{FF2B5EF4-FFF2-40B4-BE49-F238E27FC236}">
              <a16:creationId xmlns:a16="http://schemas.microsoft.com/office/drawing/2014/main" id="{5F8EF710-380A-4C3B-BD24-9101CA344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4" name="xgdvConsulta_IADD" descr="Down Arrow">
          <a:extLst>
            <a:ext uri="{FF2B5EF4-FFF2-40B4-BE49-F238E27FC236}">
              <a16:creationId xmlns:a16="http://schemas.microsoft.com/office/drawing/2014/main" id="{B4335A43-08D9-4B8B-9177-6C1AFD30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5" name="xgdvConsulta_IADU" descr="Up Arrow">
          <a:extLst>
            <a:ext uri="{FF2B5EF4-FFF2-40B4-BE49-F238E27FC236}">
              <a16:creationId xmlns:a16="http://schemas.microsoft.com/office/drawing/2014/main" id="{128C8B5C-4D6A-48AB-A930-F55505B7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6" name="xgdvConsulta_IADL" descr="Left Arrow">
          <a:extLst>
            <a:ext uri="{FF2B5EF4-FFF2-40B4-BE49-F238E27FC236}">
              <a16:creationId xmlns:a16="http://schemas.microsoft.com/office/drawing/2014/main" id="{02B12CBA-A460-46FB-9585-EE6606A7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7" name="xgdvConsulta_IADR" descr="Right Arrow">
          <a:extLst>
            <a:ext uri="{FF2B5EF4-FFF2-40B4-BE49-F238E27FC236}">
              <a16:creationId xmlns:a16="http://schemas.microsoft.com/office/drawing/2014/main" id="{5304ABF4-0F32-40EF-AB47-065533BF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8" name="xgdvConsulta_IADD" descr="Down Arrow">
          <a:extLst>
            <a:ext uri="{FF2B5EF4-FFF2-40B4-BE49-F238E27FC236}">
              <a16:creationId xmlns:a16="http://schemas.microsoft.com/office/drawing/2014/main" id="{4D457CF9-0D59-46B8-9B68-16E44E2D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9" name="xgdvConsulta_IADU" descr="Up Arrow">
          <a:extLst>
            <a:ext uri="{FF2B5EF4-FFF2-40B4-BE49-F238E27FC236}">
              <a16:creationId xmlns:a16="http://schemas.microsoft.com/office/drawing/2014/main" id="{6D4F54B7-3CB0-49F3-9C22-FB3AD341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0" name="xgdvConsulta_IADL" descr="Left Arrow">
          <a:extLst>
            <a:ext uri="{FF2B5EF4-FFF2-40B4-BE49-F238E27FC236}">
              <a16:creationId xmlns:a16="http://schemas.microsoft.com/office/drawing/2014/main" id="{2D9B0C3F-FE30-4D01-997F-8526E042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1" name="xgdvConsulta_IADR" descr="Right Arrow">
          <a:extLst>
            <a:ext uri="{FF2B5EF4-FFF2-40B4-BE49-F238E27FC236}">
              <a16:creationId xmlns:a16="http://schemas.microsoft.com/office/drawing/2014/main" id="{098D71D0-0BA9-479B-AC61-887DC3748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2" name="xgdvConsulta_IADD" descr="Down Arrow">
          <a:extLst>
            <a:ext uri="{FF2B5EF4-FFF2-40B4-BE49-F238E27FC236}">
              <a16:creationId xmlns:a16="http://schemas.microsoft.com/office/drawing/2014/main" id="{6970A6BB-5901-4EA9-86F0-4314D5FC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3" name="xgdvConsulta_IADU" descr="Up Arrow">
          <a:extLst>
            <a:ext uri="{FF2B5EF4-FFF2-40B4-BE49-F238E27FC236}">
              <a16:creationId xmlns:a16="http://schemas.microsoft.com/office/drawing/2014/main" id="{DCB01B90-CBE2-4974-A03E-1D8E916A0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4" name="xgdvConsulta_IADL" descr="Left Arrow">
          <a:extLst>
            <a:ext uri="{FF2B5EF4-FFF2-40B4-BE49-F238E27FC236}">
              <a16:creationId xmlns:a16="http://schemas.microsoft.com/office/drawing/2014/main" id="{F69AF792-5314-4109-A450-D2A0C348D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5" name="xgdvConsulta_IADR" descr="Right Arrow">
          <a:extLst>
            <a:ext uri="{FF2B5EF4-FFF2-40B4-BE49-F238E27FC236}">
              <a16:creationId xmlns:a16="http://schemas.microsoft.com/office/drawing/2014/main" id="{2D440F7E-3251-4CD3-943E-CA7F1B0F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6" name="xgdvConsulta_IADD" descr="Down Arrow">
          <a:extLst>
            <a:ext uri="{FF2B5EF4-FFF2-40B4-BE49-F238E27FC236}">
              <a16:creationId xmlns:a16="http://schemas.microsoft.com/office/drawing/2014/main" id="{BF14DF55-282C-443A-92BD-F857F6A9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7" name="xgdvConsulta_IADU" descr="Up Arrow">
          <a:extLst>
            <a:ext uri="{FF2B5EF4-FFF2-40B4-BE49-F238E27FC236}">
              <a16:creationId xmlns:a16="http://schemas.microsoft.com/office/drawing/2014/main" id="{1818126E-7822-4C4D-BDCA-5C2EC0B2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8" name="xgdvConsulta_IADL" descr="Left Arrow">
          <a:extLst>
            <a:ext uri="{FF2B5EF4-FFF2-40B4-BE49-F238E27FC236}">
              <a16:creationId xmlns:a16="http://schemas.microsoft.com/office/drawing/2014/main" id="{AC166826-86B6-412A-BC63-8F07B8EE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9" name="xgdvConsulta_IADR" descr="Right Arrow">
          <a:extLst>
            <a:ext uri="{FF2B5EF4-FFF2-40B4-BE49-F238E27FC236}">
              <a16:creationId xmlns:a16="http://schemas.microsoft.com/office/drawing/2014/main" id="{1C6FFEFE-E12B-4624-AA86-4A0D98B2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0" name="xgdvConsulta_IADD" descr="Down Arrow">
          <a:extLst>
            <a:ext uri="{FF2B5EF4-FFF2-40B4-BE49-F238E27FC236}">
              <a16:creationId xmlns:a16="http://schemas.microsoft.com/office/drawing/2014/main" id="{8D3C586E-103E-46F0-8576-F418631E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1" name="xgdvConsulta_IADU" descr="Up Arrow">
          <a:extLst>
            <a:ext uri="{FF2B5EF4-FFF2-40B4-BE49-F238E27FC236}">
              <a16:creationId xmlns:a16="http://schemas.microsoft.com/office/drawing/2014/main" id="{B386FB51-161A-46DB-95C3-0260A4DB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2" name="xgdvConsulta_IADL" descr="Left Arrow">
          <a:extLst>
            <a:ext uri="{FF2B5EF4-FFF2-40B4-BE49-F238E27FC236}">
              <a16:creationId xmlns:a16="http://schemas.microsoft.com/office/drawing/2014/main" id="{57DE7967-AA99-4A3B-96E9-AAE3A3F2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3" name="xgdvConsulta_IADR" descr="Right Arrow">
          <a:extLst>
            <a:ext uri="{FF2B5EF4-FFF2-40B4-BE49-F238E27FC236}">
              <a16:creationId xmlns:a16="http://schemas.microsoft.com/office/drawing/2014/main" id="{B52D587C-22AF-4D3E-82A2-2D15A100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4" name="xgdvConsulta_IADD" descr="Down Arrow">
          <a:extLst>
            <a:ext uri="{FF2B5EF4-FFF2-40B4-BE49-F238E27FC236}">
              <a16:creationId xmlns:a16="http://schemas.microsoft.com/office/drawing/2014/main" id="{6B5A0188-FC8B-4714-86BC-CEC28A88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5" name="xgdvConsulta_IADU" descr="Up Arrow">
          <a:extLst>
            <a:ext uri="{FF2B5EF4-FFF2-40B4-BE49-F238E27FC236}">
              <a16:creationId xmlns:a16="http://schemas.microsoft.com/office/drawing/2014/main" id="{BE6BCC68-3C5F-4828-90DF-9AFD8730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6" name="xgdvConsulta_IADL" descr="Left Arrow">
          <a:extLst>
            <a:ext uri="{FF2B5EF4-FFF2-40B4-BE49-F238E27FC236}">
              <a16:creationId xmlns:a16="http://schemas.microsoft.com/office/drawing/2014/main" id="{9476E025-80A5-4F12-9D1F-62A31FBB8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7" name="xgdvConsulta_IADR" descr="Right Arrow">
          <a:extLst>
            <a:ext uri="{FF2B5EF4-FFF2-40B4-BE49-F238E27FC236}">
              <a16:creationId xmlns:a16="http://schemas.microsoft.com/office/drawing/2014/main" id="{593426F7-ED21-49D8-A07F-BD80EF5B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8" name="xgdvConsulta_IADD" descr="Down Arrow">
          <a:extLst>
            <a:ext uri="{FF2B5EF4-FFF2-40B4-BE49-F238E27FC236}">
              <a16:creationId xmlns:a16="http://schemas.microsoft.com/office/drawing/2014/main" id="{819197EA-D038-47D8-8811-B1E1C9A5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9" name="xgdvConsulta_IADU" descr="Up Arrow">
          <a:extLst>
            <a:ext uri="{FF2B5EF4-FFF2-40B4-BE49-F238E27FC236}">
              <a16:creationId xmlns:a16="http://schemas.microsoft.com/office/drawing/2014/main" id="{256C6D32-43C5-4037-8DC2-B29CF92F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80" name="xgdvConsulta_IADL" descr="Left Arrow">
          <a:extLst>
            <a:ext uri="{FF2B5EF4-FFF2-40B4-BE49-F238E27FC236}">
              <a16:creationId xmlns:a16="http://schemas.microsoft.com/office/drawing/2014/main" id="{615543AF-E9AD-47B7-8866-14F9BE1C2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81" name="xgdvConsulta_IADR" descr="Right Arrow">
          <a:extLst>
            <a:ext uri="{FF2B5EF4-FFF2-40B4-BE49-F238E27FC236}">
              <a16:creationId xmlns:a16="http://schemas.microsoft.com/office/drawing/2014/main" id="{20D70102-B4BC-4284-8E29-FD091C72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82" name="xgdvConsulta_IADD" descr="Down Arrow">
          <a:extLst>
            <a:ext uri="{FF2B5EF4-FFF2-40B4-BE49-F238E27FC236}">
              <a16:creationId xmlns:a16="http://schemas.microsoft.com/office/drawing/2014/main" id="{FB8024A8-E31A-4A36-BD69-4E89A0E3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83" name="xgdvConsulta_IADU" descr="Up Arrow">
          <a:extLst>
            <a:ext uri="{FF2B5EF4-FFF2-40B4-BE49-F238E27FC236}">
              <a16:creationId xmlns:a16="http://schemas.microsoft.com/office/drawing/2014/main" id="{368E3AEB-ED6A-45FB-94DE-2D9E911F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84" name="xgdvConsulta_IADL" descr="Left Arrow">
          <a:extLst>
            <a:ext uri="{FF2B5EF4-FFF2-40B4-BE49-F238E27FC236}">
              <a16:creationId xmlns:a16="http://schemas.microsoft.com/office/drawing/2014/main" id="{E95FB4B9-752E-4636-8E57-52DCF479B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85" name="xgdvConsulta_IADR" descr="Right Arrow">
          <a:extLst>
            <a:ext uri="{FF2B5EF4-FFF2-40B4-BE49-F238E27FC236}">
              <a16:creationId xmlns:a16="http://schemas.microsoft.com/office/drawing/2014/main" id="{9F336770-90C0-4B22-933D-083854A1D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60476</xdr:rowOff>
    </xdr:from>
    <xdr:ext cx="9525" cy="9525"/>
    <xdr:pic>
      <xdr:nvPicPr>
        <xdr:cNvPr id="188" name="xgdvConsulta_IADL" descr="Left Arrow">
          <a:extLst>
            <a:ext uri="{FF2B5EF4-FFF2-40B4-BE49-F238E27FC236}">
              <a16:creationId xmlns:a16="http://schemas.microsoft.com/office/drawing/2014/main" id="{6B1FE001-6D4A-45C3-A423-2C202DC5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4107" y="374725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30238</xdr:rowOff>
    </xdr:from>
    <xdr:ext cx="9525" cy="9525"/>
    <xdr:pic>
      <xdr:nvPicPr>
        <xdr:cNvPr id="189" name="xgdvConsulta_IADR" descr="Right Arrow">
          <a:extLst>
            <a:ext uri="{FF2B5EF4-FFF2-40B4-BE49-F238E27FC236}">
              <a16:creationId xmlns:a16="http://schemas.microsoft.com/office/drawing/2014/main" id="{96159D21-C0AC-4C69-B1F2-64385174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333" y="3744232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90" name="xgdvConsulta_IADD" descr="Down Arrow">
          <a:extLst>
            <a:ext uri="{FF2B5EF4-FFF2-40B4-BE49-F238E27FC236}">
              <a16:creationId xmlns:a16="http://schemas.microsoft.com/office/drawing/2014/main" id="{1392DEC4-D4EF-4E26-B2CD-D7FC645C0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572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91" name="xgdvConsulta_IADU" descr="Up Arrow">
          <a:extLst>
            <a:ext uri="{FF2B5EF4-FFF2-40B4-BE49-F238E27FC236}">
              <a16:creationId xmlns:a16="http://schemas.microsoft.com/office/drawing/2014/main" id="{5B9FF831-1B9D-4462-996D-1761DC05F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0357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403</xdr:row>
      <xdr:rowOff>0</xdr:rowOff>
    </xdr:from>
    <xdr:to>
      <xdr:col>7</xdr:col>
      <xdr:colOff>9525</xdr:colOff>
      <xdr:row>403</xdr:row>
      <xdr:rowOff>9525</xdr:rowOff>
    </xdr:to>
    <xdr:pic>
      <xdr:nvPicPr>
        <xdr:cNvPr id="194" name="xgdvConsulta_IADD" descr="Down Arrow">
          <a:extLst>
            <a:ext uri="{FF2B5EF4-FFF2-40B4-BE49-F238E27FC236}">
              <a16:creationId xmlns:a16="http://schemas.microsoft.com/office/drawing/2014/main" id="{C0D21D2C-0A0D-3560-AD08-A521A47F6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828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403</xdr:row>
      <xdr:rowOff>0</xdr:rowOff>
    </xdr:from>
    <xdr:to>
      <xdr:col>7</xdr:col>
      <xdr:colOff>9525</xdr:colOff>
      <xdr:row>403</xdr:row>
      <xdr:rowOff>9525</xdr:rowOff>
    </xdr:to>
    <xdr:pic>
      <xdr:nvPicPr>
        <xdr:cNvPr id="195" name="xgdvConsulta_IADU" descr="Up Arrow">
          <a:extLst>
            <a:ext uri="{FF2B5EF4-FFF2-40B4-BE49-F238E27FC236}">
              <a16:creationId xmlns:a16="http://schemas.microsoft.com/office/drawing/2014/main" id="{EB410DB2-D5B5-2EE6-C6A4-8D068B494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828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403</xdr:row>
      <xdr:rowOff>0</xdr:rowOff>
    </xdr:from>
    <xdr:to>
      <xdr:col>7</xdr:col>
      <xdr:colOff>9525</xdr:colOff>
      <xdr:row>403</xdr:row>
      <xdr:rowOff>9525</xdr:rowOff>
    </xdr:to>
    <xdr:pic>
      <xdr:nvPicPr>
        <xdr:cNvPr id="196" name="xgdvConsulta_IADL" descr="Left Arrow">
          <a:extLst>
            <a:ext uri="{FF2B5EF4-FFF2-40B4-BE49-F238E27FC236}">
              <a16:creationId xmlns:a16="http://schemas.microsoft.com/office/drawing/2014/main" id="{46185FFF-F31E-828B-98DE-14EC8BD9C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828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403</xdr:row>
      <xdr:rowOff>0</xdr:rowOff>
    </xdr:from>
    <xdr:to>
      <xdr:col>7</xdr:col>
      <xdr:colOff>9525</xdr:colOff>
      <xdr:row>403</xdr:row>
      <xdr:rowOff>9525</xdr:rowOff>
    </xdr:to>
    <xdr:pic>
      <xdr:nvPicPr>
        <xdr:cNvPr id="197" name="xgdvConsulta_IADR" descr="Right Arrow">
          <a:extLst>
            <a:ext uri="{FF2B5EF4-FFF2-40B4-BE49-F238E27FC236}">
              <a16:creationId xmlns:a16="http://schemas.microsoft.com/office/drawing/2014/main" id="{C4010DC8-1CAA-F23A-2948-1C13B570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828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404</xdr:row>
      <xdr:rowOff>0</xdr:rowOff>
    </xdr:from>
    <xdr:ext cx="9525" cy="9525"/>
    <xdr:pic>
      <xdr:nvPicPr>
        <xdr:cNvPr id="198" name="xgdvConsulta_IADD" descr="Down Arrow">
          <a:extLst>
            <a:ext uri="{FF2B5EF4-FFF2-40B4-BE49-F238E27FC236}">
              <a16:creationId xmlns:a16="http://schemas.microsoft.com/office/drawing/2014/main" id="{BD996964-9FA9-42B0-A01B-D5C51273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199" name="xgdvConsulta_IADU" descr="Up Arrow">
          <a:extLst>
            <a:ext uri="{FF2B5EF4-FFF2-40B4-BE49-F238E27FC236}">
              <a16:creationId xmlns:a16="http://schemas.microsoft.com/office/drawing/2014/main" id="{9857225F-57F3-40D5-9C76-D8335309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0" name="xgdvConsulta_IADL" descr="Left Arrow">
          <a:extLst>
            <a:ext uri="{FF2B5EF4-FFF2-40B4-BE49-F238E27FC236}">
              <a16:creationId xmlns:a16="http://schemas.microsoft.com/office/drawing/2014/main" id="{60A245F4-592C-4B1C-B284-E79CC8EAF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1" name="xgdvConsulta_IADR" descr="Right Arrow">
          <a:extLst>
            <a:ext uri="{FF2B5EF4-FFF2-40B4-BE49-F238E27FC236}">
              <a16:creationId xmlns:a16="http://schemas.microsoft.com/office/drawing/2014/main" id="{CF3B282C-4052-4536-9716-98043E06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2" name="xgdvConsulta_IADD" descr="Down Arrow">
          <a:extLst>
            <a:ext uri="{FF2B5EF4-FFF2-40B4-BE49-F238E27FC236}">
              <a16:creationId xmlns:a16="http://schemas.microsoft.com/office/drawing/2014/main" id="{7C50FF01-6AF2-4047-A537-31C176B1C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3" name="xgdvConsulta_IADU" descr="Up Arrow">
          <a:extLst>
            <a:ext uri="{FF2B5EF4-FFF2-40B4-BE49-F238E27FC236}">
              <a16:creationId xmlns:a16="http://schemas.microsoft.com/office/drawing/2014/main" id="{291398CC-1497-4572-80F3-04DE5904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4" name="xgdvConsulta_IADL" descr="Left Arrow">
          <a:extLst>
            <a:ext uri="{FF2B5EF4-FFF2-40B4-BE49-F238E27FC236}">
              <a16:creationId xmlns:a16="http://schemas.microsoft.com/office/drawing/2014/main" id="{52BC47F8-2ABE-463C-B81F-6F3ED8D4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5" name="xgdvConsulta_IADR" descr="Right Arrow">
          <a:extLst>
            <a:ext uri="{FF2B5EF4-FFF2-40B4-BE49-F238E27FC236}">
              <a16:creationId xmlns:a16="http://schemas.microsoft.com/office/drawing/2014/main" id="{4DE6583E-7A0A-46D7-A3F8-5805CBBD0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6" name="xgdvConsulta_IADD" descr="Down Arrow">
          <a:extLst>
            <a:ext uri="{FF2B5EF4-FFF2-40B4-BE49-F238E27FC236}">
              <a16:creationId xmlns:a16="http://schemas.microsoft.com/office/drawing/2014/main" id="{1224EB7C-E248-45F8-B3BC-658773BA5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7" name="xgdvConsulta_IADU" descr="Up Arrow">
          <a:extLst>
            <a:ext uri="{FF2B5EF4-FFF2-40B4-BE49-F238E27FC236}">
              <a16:creationId xmlns:a16="http://schemas.microsoft.com/office/drawing/2014/main" id="{71EAC44F-042F-4827-AC6A-6B7828F52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8" name="xgdvConsulta_IADL" descr="Left Arrow">
          <a:extLst>
            <a:ext uri="{FF2B5EF4-FFF2-40B4-BE49-F238E27FC236}">
              <a16:creationId xmlns:a16="http://schemas.microsoft.com/office/drawing/2014/main" id="{FA14F5F6-44AE-40F7-8104-E6312470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9" name="xgdvConsulta_IADR" descr="Right Arrow">
          <a:extLst>
            <a:ext uri="{FF2B5EF4-FFF2-40B4-BE49-F238E27FC236}">
              <a16:creationId xmlns:a16="http://schemas.microsoft.com/office/drawing/2014/main" id="{9803CFAF-402D-4911-8954-D921583C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0" name="xgdvConsulta_IADD" descr="Down Arrow">
          <a:extLst>
            <a:ext uri="{FF2B5EF4-FFF2-40B4-BE49-F238E27FC236}">
              <a16:creationId xmlns:a16="http://schemas.microsoft.com/office/drawing/2014/main" id="{C1BCFB88-3E4D-4819-84F2-8755BB2D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1" name="xgdvConsulta_IADU" descr="Up Arrow">
          <a:extLst>
            <a:ext uri="{FF2B5EF4-FFF2-40B4-BE49-F238E27FC236}">
              <a16:creationId xmlns:a16="http://schemas.microsoft.com/office/drawing/2014/main" id="{DDE31CFB-70B8-4E7E-8909-224C8042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2" name="xgdvConsulta_IADL" descr="Left Arrow">
          <a:extLst>
            <a:ext uri="{FF2B5EF4-FFF2-40B4-BE49-F238E27FC236}">
              <a16:creationId xmlns:a16="http://schemas.microsoft.com/office/drawing/2014/main" id="{E00EC584-2F2E-434E-8572-3C9E71F84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3" name="xgdvConsulta_IADR" descr="Right Arrow">
          <a:extLst>
            <a:ext uri="{FF2B5EF4-FFF2-40B4-BE49-F238E27FC236}">
              <a16:creationId xmlns:a16="http://schemas.microsoft.com/office/drawing/2014/main" id="{946B798B-58BC-4E80-8534-89187D39C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4" name="xgdvConsulta_IADD" descr="Down Arrow">
          <a:extLst>
            <a:ext uri="{FF2B5EF4-FFF2-40B4-BE49-F238E27FC236}">
              <a16:creationId xmlns:a16="http://schemas.microsoft.com/office/drawing/2014/main" id="{F6EB831D-0FFC-481B-9DFD-DDC8BDB2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5" name="xgdvConsulta_IADU" descr="Up Arrow">
          <a:extLst>
            <a:ext uri="{FF2B5EF4-FFF2-40B4-BE49-F238E27FC236}">
              <a16:creationId xmlns:a16="http://schemas.microsoft.com/office/drawing/2014/main" id="{EA4D9113-4553-4E78-92A5-9B29D2BB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6" name="xgdvConsulta_IADL" descr="Left Arrow">
          <a:extLst>
            <a:ext uri="{FF2B5EF4-FFF2-40B4-BE49-F238E27FC236}">
              <a16:creationId xmlns:a16="http://schemas.microsoft.com/office/drawing/2014/main" id="{CB2E0984-712F-4510-B28B-33C37E8BD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7" name="xgdvConsulta_IADR" descr="Right Arrow">
          <a:extLst>
            <a:ext uri="{FF2B5EF4-FFF2-40B4-BE49-F238E27FC236}">
              <a16:creationId xmlns:a16="http://schemas.microsoft.com/office/drawing/2014/main" id="{1A11BD6D-B47D-483D-AD4B-9244E360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8" name="xgdvConsulta_IADD" descr="Down Arrow">
          <a:extLst>
            <a:ext uri="{FF2B5EF4-FFF2-40B4-BE49-F238E27FC236}">
              <a16:creationId xmlns:a16="http://schemas.microsoft.com/office/drawing/2014/main" id="{06DF0467-2C4B-476F-B636-98B77E5C2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9" name="xgdvConsulta_IADU" descr="Up Arrow">
          <a:extLst>
            <a:ext uri="{FF2B5EF4-FFF2-40B4-BE49-F238E27FC236}">
              <a16:creationId xmlns:a16="http://schemas.microsoft.com/office/drawing/2014/main" id="{89EADFBB-E1A1-4D8A-A491-CE968051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20" name="xgdvConsulta_IADL" descr="Left Arrow">
          <a:extLst>
            <a:ext uri="{FF2B5EF4-FFF2-40B4-BE49-F238E27FC236}">
              <a16:creationId xmlns:a16="http://schemas.microsoft.com/office/drawing/2014/main" id="{23ED79DC-65B7-49DA-A627-3B781E65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7559</xdr:rowOff>
    </xdr:from>
    <xdr:ext cx="9525" cy="9525"/>
    <xdr:pic>
      <xdr:nvPicPr>
        <xdr:cNvPr id="221" name="xgdvConsulta_IADR" descr="Right Arrow">
          <a:extLst>
            <a:ext uri="{FF2B5EF4-FFF2-40B4-BE49-F238E27FC236}">
              <a16:creationId xmlns:a16="http://schemas.microsoft.com/office/drawing/2014/main" id="{E9473E5A-906C-48CE-9F32-4BB59D27C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4405" y="3741964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186" name="xgdvConsulta_IADD" descr="Down Arrow">
          <a:extLst>
            <a:ext uri="{FF2B5EF4-FFF2-40B4-BE49-F238E27FC236}">
              <a16:creationId xmlns:a16="http://schemas.microsoft.com/office/drawing/2014/main" id="{8E2EBFF0-4232-4721-9101-0AC7644BA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187" name="xgdvConsulta_IADU" descr="Up Arrow">
          <a:extLst>
            <a:ext uri="{FF2B5EF4-FFF2-40B4-BE49-F238E27FC236}">
              <a16:creationId xmlns:a16="http://schemas.microsoft.com/office/drawing/2014/main" id="{23EFCCFC-1628-45EC-AB27-1699BCD3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192" name="xgdvConsulta_IADL" descr="Left Arrow">
          <a:extLst>
            <a:ext uri="{FF2B5EF4-FFF2-40B4-BE49-F238E27FC236}">
              <a16:creationId xmlns:a16="http://schemas.microsoft.com/office/drawing/2014/main" id="{AB5C3E9E-BD00-4C4B-BE6F-82AE2E514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193" name="xgdvConsulta_IADR" descr="Right Arrow">
          <a:extLst>
            <a:ext uri="{FF2B5EF4-FFF2-40B4-BE49-F238E27FC236}">
              <a16:creationId xmlns:a16="http://schemas.microsoft.com/office/drawing/2014/main" id="{065DF7F9-675C-450C-BC5F-BD0BBCE6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26" name="xgdvConsulta_IADD" descr="Down Arrow">
          <a:extLst>
            <a:ext uri="{FF2B5EF4-FFF2-40B4-BE49-F238E27FC236}">
              <a16:creationId xmlns:a16="http://schemas.microsoft.com/office/drawing/2014/main" id="{C0580985-F0AD-4553-B794-A509B6C2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27" name="xgdvConsulta_IADU" descr="Up Arrow">
          <a:extLst>
            <a:ext uri="{FF2B5EF4-FFF2-40B4-BE49-F238E27FC236}">
              <a16:creationId xmlns:a16="http://schemas.microsoft.com/office/drawing/2014/main" id="{B7245A39-61D9-4A45-AC75-005709AE1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28" name="xgdvConsulta_IADL" descr="Left Arrow">
          <a:extLst>
            <a:ext uri="{FF2B5EF4-FFF2-40B4-BE49-F238E27FC236}">
              <a16:creationId xmlns:a16="http://schemas.microsoft.com/office/drawing/2014/main" id="{9B204D47-E40F-4030-B850-B63ABA658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29" name="xgdvConsulta_IADR" descr="Right Arrow">
          <a:extLst>
            <a:ext uri="{FF2B5EF4-FFF2-40B4-BE49-F238E27FC236}">
              <a16:creationId xmlns:a16="http://schemas.microsoft.com/office/drawing/2014/main" id="{6B2F1116-8F38-4010-AD0C-01207B46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0" name="xgdvConsulta_IADD" descr="Down Arrow">
          <a:extLst>
            <a:ext uri="{FF2B5EF4-FFF2-40B4-BE49-F238E27FC236}">
              <a16:creationId xmlns:a16="http://schemas.microsoft.com/office/drawing/2014/main" id="{E1E59ADD-1C47-43C7-A325-3785763CC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1" name="xgdvConsulta_IADU" descr="Up Arrow">
          <a:extLst>
            <a:ext uri="{FF2B5EF4-FFF2-40B4-BE49-F238E27FC236}">
              <a16:creationId xmlns:a16="http://schemas.microsoft.com/office/drawing/2014/main" id="{95083AB9-CF2D-435B-B8CD-4A9E3703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2" name="xgdvConsulta_IADL" descr="Left Arrow">
          <a:extLst>
            <a:ext uri="{FF2B5EF4-FFF2-40B4-BE49-F238E27FC236}">
              <a16:creationId xmlns:a16="http://schemas.microsoft.com/office/drawing/2014/main" id="{C210019E-369B-47BF-8AD3-355C129E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3" name="xgdvConsulta_IADR" descr="Right Arrow">
          <a:extLst>
            <a:ext uri="{FF2B5EF4-FFF2-40B4-BE49-F238E27FC236}">
              <a16:creationId xmlns:a16="http://schemas.microsoft.com/office/drawing/2014/main" id="{01D79FF0-6B8D-466E-B9AA-88EB05E73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4" name="xgdvConsulta_IADD" descr="Down Arrow">
          <a:extLst>
            <a:ext uri="{FF2B5EF4-FFF2-40B4-BE49-F238E27FC236}">
              <a16:creationId xmlns:a16="http://schemas.microsoft.com/office/drawing/2014/main" id="{B441D57D-D59C-4FE5-8817-C29028ED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5" name="xgdvConsulta_IADU" descr="Up Arrow">
          <a:extLst>
            <a:ext uri="{FF2B5EF4-FFF2-40B4-BE49-F238E27FC236}">
              <a16:creationId xmlns:a16="http://schemas.microsoft.com/office/drawing/2014/main" id="{F8F6B254-2FBF-46AE-92C2-DB880CBC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6" name="xgdvConsulta_IADL" descr="Left Arrow">
          <a:extLst>
            <a:ext uri="{FF2B5EF4-FFF2-40B4-BE49-F238E27FC236}">
              <a16:creationId xmlns:a16="http://schemas.microsoft.com/office/drawing/2014/main" id="{2B23DC47-9F23-4FDE-A8D0-ACFA198E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7" name="xgdvConsulta_IADR" descr="Right Arrow">
          <a:extLst>
            <a:ext uri="{FF2B5EF4-FFF2-40B4-BE49-F238E27FC236}">
              <a16:creationId xmlns:a16="http://schemas.microsoft.com/office/drawing/2014/main" id="{F1D0843D-5433-4B3A-B157-5388BE83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8" name="xgdvConsulta_IADD" descr="Down Arrow">
          <a:extLst>
            <a:ext uri="{FF2B5EF4-FFF2-40B4-BE49-F238E27FC236}">
              <a16:creationId xmlns:a16="http://schemas.microsoft.com/office/drawing/2014/main" id="{81802CA4-2BE5-44CF-9E34-41FB9EF9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572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9" name="xgdvConsulta_IADU" descr="Up Arrow">
          <a:extLst>
            <a:ext uri="{FF2B5EF4-FFF2-40B4-BE49-F238E27FC236}">
              <a16:creationId xmlns:a16="http://schemas.microsoft.com/office/drawing/2014/main" id="{963B0AB5-CFF4-47B8-B0F6-3F3F636B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0357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388</xdr:row>
      <xdr:rowOff>0</xdr:rowOff>
    </xdr:from>
    <xdr:to>
      <xdr:col>8</xdr:col>
      <xdr:colOff>9525</xdr:colOff>
      <xdr:row>388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8D5C7F96-078E-3832-FAE7-2833C88A9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388</xdr:row>
      <xdr:rowOff>0</xdr:rowOff>
    </xdr:from>
    <xdr:to>
      <xdr:col>8</xdr:col>
      <xdr:colOff>9525</xdr:colOff>
      <xdr:row>388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3836E2F1-2531-56E7-3470-612A14038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380</xdr:row>
      <xdr:rowOff>0</xdr:rowOff>
    </xdr:from>
    <xdr:to>
      <xdr:col>8</xdr:col>
      <xdr:colOff>9525</xdr:colOff>
      <xdr:row>380</xdr:row>
      <xdr:rowOff>9525</xdr:rowOff>
    </xdr:to>
    <xdr:pic>
      <xdr:nvPicPr>
        <xdr:cNvPr id="6" name="xgdvConsulta_IADD" descr="Down Arrow">
          <a:extLst>
            <a:ext uri="{FF2B5EF4-FFF2-40B4-BE49-F238E27FC236}">
              <a16:creationId xmlns:a16="http://schemas.microsoft.com/office/drawing/2014/main" id="{65F2773E-02C9-2C48-AAEF-676ADA415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380</xdr:row>
      <xdr:rowOff>0</xdr:rowOff>
    </xdr:from>
    <xdr:to>
      <xdr:col>8</xdr:col>
      <xdr:colOff>9525</xdr:colOff>
      <xdr:row>380</xdr:row>
      <xdr:rowOff>9525</xdr:rowOff>
    </xdr:to>
    <xdr:pic>
      <xdr:nvPicPr>
        <xdr:cNvPr id="9" name="xgdvConsulta_IADR" descr="Right Arrow">
          <a:extLst>
            <a:ext uri="{FF2B5EF4-FFF2-40B4-BE49-F238E27FC236}">
              <a16:creationId xmlns:a16="http://schemas.microsoft.com/office/drawing/2014/main" id="{644DA071-C2E1-D2C9-C366-93277937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381</xdr:row>
      <xdr:rowOff>0</xdr:rowOff>
    </xdr:from>
    <xdr:ext cx="9525" cy="9525"/>
    <xdr:pic>
      <xdr:nvPicPr>
        <xdr:cNvPr id="7" name="xgdvConsulta_IADD" descr="Down Arrow">
          <a:extLst>
            <a:ext uri="{FF2B5EF4-FFF2-40B4-BE49-F238E27FC236}">
              <a16:creationId xmlns:a16="http://schemas.microsoft.com/office/drawing/2014/main" id="{B878082F-9BE3-4CF8-813A-2F429BD2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381</xdr:row>
      <xdr:rowOff>0</xdr:rowOff>
    </xdr:from>
    <xdr:ext cx="9525" cy="9525"/>
    <xdr:pic>
      <xdr:nvPicPr>
        <xdr:cNvPr id="8" name="xgdvConsulta_IADR" descr="Right Arrow">
          <a:extLst>
            <a:ext uri="{FF2B5EF4-FFF2-40B4-BE49-F238E27FC236}">
              <a16:creationId xmlns:a16="http://schemas.microsoft.com/office/drawing/2014/main" id="{3C0F2013-67D6-4AF7-8797-4BA8ED94C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382</xdr:row>
      <xdr:rowOff>0</xdr:rowOff>
    </xdr:from>
    <xdr:ext cx="9525" cy="9525"/>
    <xdr:pic>
      <xdr:nvPicPr>
        <xdr:cNvPr id="10" name="xgdvConsulta_IADD" descr="Down Arrow">
          <a:extLst>
            <a:ext uri="{FF2B5EF4-FFF2-40B4-BE49-F238E27FC236}">
              <a16:creationId xmlns:a16="http://schemas.microsoft.com/office/drawing/2014/main" id="{9C4F7652-0E3C-4396-B021-C8956AE79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382</xdr:row>
      <xdr:rowOff>0</xdr:rowOff>
    </xdr:from>
    <xdr:ext cx="9525" cy="9525"/>
    <xdr:pic>
      <xdr:nvPicPr>
        <xdr:cNvPr id="11" name="xgdvConsulta_IADR" descr="Right Arrow">
          <a:extLst>
            <a:ext uri="{FF2B5EF4-FFF2-40B4-BE49-F238E27FC236}">
              <a16:creationId xmlns:a16="http://schemas.microsoft.com/office/drawing/2014/main" id="{8F9B09FD-7F3F-476E-B64A-52CFB870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383</xdr:row>
      <xdr:rowOff>0</xdr:rowOff>
    </xdr:from>
    <xdr:ext cx="9525" cy="9525"/>
    <xdr:pic>
      <xdr:nvPicPr>
        <xdr:cNvPr id="12" name="xgdvConsulta_IADD" descr="Down Arrow">
          <a:extLst>
            <a:ext uri="{FF2B5EF4-FFF2-40B4-BE49-F238E27FC236}">
              <a16:creationId xmlns:a16="http://schemas.microsoft.com/office/drawing/2014/main" id="{14267B72-B81E-4B1A-8D0C-9E65E23C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383</xdr:row>
      <xdr:rowOff>0</xdr:rowOff>
    </xdr:from>
    <xdr:ext cx="9525" cy="9525"/>
    <xdr:pic>
      <xdr:nvPicPr>
        <xdr:cNvPr id="13" name="xgdvConsulta_IADR" descr="Right Arrow">
          <a:extLst>
            <a:ext uri="{FF2B5EF4-FFF2-40B4-BE49-F238E27FC236}">
              <a16:creationId xmlns:a16="http://schemas.microsoft.com/office/drawing/2014/main" id="{A94D0F1E-9BD0-4533-8019-B6452BF7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384</xdr:row>
      <xdr:rowOff>0</xdr:rowOff>
    </xdr:from>
    <xdr:ext cx="9525" cy="9525"/>
    <xdr:pic>
      <xdr:nvPicPr>
        <xdr:cNvPr id="14" name="xgdvConsulta_IADD" descr="Down Arrow">
          <a:extLst>
            <a:ext uri="{FF2B5EF4-FFF2-40B4-BE49-F238E27FC236}">
              <a16:creationId xmlns:a16="http://schemas.microsoft.com/office/drawing/2014/main" id="{C7FBCB1A-81BE-4CB2-9A66-691BB88C4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384</xdr:row>
      <xdr:rowOff>0</xdr:rowOff>
    </xdr:from>
    <xdr:ext cx="9525" cy="9525"/>
    <xdr:pic>
      <xdr:nvPicPr>
        <xdr:cNvPr id="15" name="xgdvConsulta_IADR" descr="Right Arrow">
          <a:extLst>
            <a:ext uri="{FF2B5EF4-FFF2-40B4-BE49-F238E27FC236}">
              <a16:creationId xmlns:a16="http://schemas.microsoft.com/office/drawing/2014/main" id="{848850D8-A3AE-42A3-BD5F-9A580FDB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385</xdr:row>
      <xdr:rowOff>0</xdr:rowOff>
    </xdr:from>
    <xdr:ext cx="9525" cy="9525"/>
    <xdr:pic>
      <xdr:nvPicPr>
        <xdr:cNvPr id="16" name="xgdvConsulta_IADD" descr="Down Arrow">
          <a:extLst>
            <a:ext uri="{FF2B5EF4-FFF2-40B4-BE49-F238E27FC236}">
              <a16:creationId xmlns:a16="http://schemas.microsoft.com/office/drawing/2014/main" id="{30FC71CD-9690-4134-84EF-74658D05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327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385</xdr:row>
      <xdr:rowOff>0</xdr:rowOff>
    </xdr:from>
    <xdr:ext cx="9525" cy="9525"/>
    <xdr:pic>
      <xdr:nvPicPr>
        <xdr:cNvPr id="17" name="xgdvConsulta_IADR" descr="Right Arrow">
          <a:extLst>
            <a:ext uri="{FF2B5EF4-FFF2-40B4-BE49-F238E27FC236}">
              <a16:creationId xmlns:a16="http://schemas.microsoft.com/office/drawing/2014/main" id="{C1CF91B4-6930-4954-B7BD-621114F8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327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388</xdr:row>
      <xdr:rowOff>0</xdr:rowOff>
    </xdr:from>
    <xdr:to>
      <xdr:col>8</xdr:col>
      <xdr:colOff>9525</xdr:colOff>
      <xdr:row>388</xdr:row>
      <xdr:rowOff>9525</xdr:rowOff>
    </xdr:to>
    <xdr:pic>
      <xdr:nvPicPr>
        <xdr:cNvPr id="4" name="xgdvConsulta_IADD" descr="Down Arrow">
          <a:extLst>
            <a:ext uri="{FF2B5EF4-FFF2-40B4-BE49-F238E27FC236}">
              <a16:creationId xmlns:a16="http://schemas.microsoft.com/office/drawing/2014/main" id="{01FF1E48-6A03-B585-1A23-B393D2AE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738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388</xdr:row>
      <xdr:rowOff>0</xdr:rowOff>
    </xdr:from>
    <xdr:to>
      <xdr:col>8</xdr:col>
      <xdr:colOff>9525</xdr:colOff>
      <xdr:row>388</xdr:row>
      <xdr:rowOff>9525</xdr:rowOff>
    </xdr:to>
    <xdr:pic>
      <xdr:nvPicPr>
        <xdr:cNvPr id="5" name="xgdvConsulta_IADU" descr="Up Arrow">
          <a:extLst>
            <a:ext uri="{FF2B5EF4-FFF2-40B4-BE49-F238E27FC236}">
              <a16:creationId xmlns:a16="http://schemas.microsoft.com/office/drawing/2014/main" id="{41A0825D-F81F-8119-7246-68F4DA32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738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388</xdr:row>
      <xdr:rowOff>0</xdr:rowOff>
    </xdr:from>
    <xdr:to>
      <xdr:col>8</xdr:col>
      <xdr:colOff>9525</xdr:colOff>
      <xdr:row>388</xdr:row>
      <xdr:rowOff>9525</xdr:rowOff>
    </xdr:to>
    <xdr:pic>
      <xdr:nvPicPr>
        <xdr:cNvPr id="18" name="xgdvConsulta_IADL" descr="Left Arrow">
          <a:extLst>
            <a:ext uri="{FF2B5EF4-FFF2-40B4-BE49-F238E27FC236}">
              <a16:creationId xmlns:a16="http://schemas.microsoft.com/office/drawing/2014/main" id="{55CC1980-E910-BF15-DDCA-099FC11F5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38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388</xdr:row>
      <xdr:rowOff>0</xdr:rowOff>
    </xdr:from>
    <xdr:to>
      <xdr:col>8</xdr:col>
      <xdr:colOff>9525</xdr:colOff>
      <xdr:row>388</xdr:row>
      <xdr:rowOff>9525</xdr:rowOff>
    </xdr:to>
    <xdr:pic>
      <xdr:nvPicPr>
        <xdr:cNvPr id="19" name="xgdvConsulta_IADR" descr="Right Arrow">
          <a:extLst>
            <a:ext uri="{FF2B5EF4-FFF2-40B4-BE49-F238E27FC236}">
              <a16:creationId xmlns:a16="http://schemas.microsoft.com/office/drawing/2014/main" id="{DCA440C9-2F5B-1EFF-A98C-27C099BEC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738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386</xdr:row>
      <xdr:rowOff>0</xdr:rowOff>
    </xdr:from>
    <xdr:ext cx="9525" cy="9525"/>
    <xdr:pic>
      <xdr:nvPicPr>
        <xdr:cNvPr id="20" name="xgdvConsulta_IADD" descr="Down Arrow">
          <a:extLst>
            <a:ext uri="{FF2B5EF4-FFF2-40B4-BE49-F238E27FC236}">
              <a16:creationId xmlns:a16="http://schemas.microsoft.com/office/drawing/2014/main" id="{768D7341-7746-49FA-BD1E-6248B493C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346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386</xdr:row>
      <xdr:rowOff>0</xdr:rowOff>
    </xdr:from>
    <xdr:ext cx="9525" cy="9525"/>
    <xdr:pic>
      <xdr:nvPicPr>
        <xdr:cNvPr id="21" name="xgdvConsulta_IADR" descr="Right Arrow">
          <a:extLst>
            <a:ext uri="{FF2B5EF4-FFF2-40B4-BE49-F238E27FC236}">
              <a16:creationId xmlns:a16="http://schemas.microsoft.com/office/drawing/2014/main" id="{CFE75872-7A8D-4084-93E3-2082DDCDC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346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387</xdr:row>
      <xdr:rowOff>0</xdr:rowOff>
    </xdr:from>
    <xdr:ext cx="9525" cy="9525"/>
    <xdr:pic>
      <xdr:nvPicPr>
        <xdr:cNvPr id="22" name="xgdvConsulta_IADD" descr="Down Arrow">
          <a:extLst>
            <a:ext uri="{FF2B5EF4-FFF2-40B4-BE49-F238E27FC236}">
              <a16:creationId xmlns:a16="http://schemas.microsoft.com/office/drawing/2014/main" id="{56BA8A64-EA3A-4C9E-948E-4A3017466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346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387</xdr:row>
      <xdr:rowOff>0</xdr:rowOff>
    </xdr:from>
    <xdr:ext cx="9525" cy="9525"/>
    <xdr:pic>
      <xdr:nvPicPr>
        <xdr:cNvPr id="23" name="xgdvConsulta_IADR" descr="Right Arrow">
          <a:extLst>
            <a:ext uri="{FF2B5EF4-FFF2-40B4-BE49-F238E27FC236}">
              <a16:creationId xmlns:a16="http://schemas.microsoft.com/office/drawing/2014/main" id="{BD58522D-60BC-4BBF-A07E-C10B44A3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346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59BD277F-B875-FF6D-CAE6-B3DE77A3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D734D8ED-AD29-6A1B-4CA7-5CC04054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4" name="xgdvConsulta_IADL" descr="Left Arrow">
          <a:extLst>
            <a:ext uri="{FF2B5EF4-FFF2-40B4-BE49-F238E27FC236}">
              <a16:creationId xmlns:a16="http://schemas.microsoft.com/office/drawing/2014/main" id="{A12D9C4F-7E27-E58A-4BAB-259E056F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5" name="xgdvConsulta_IADR" descr="Right Arrow">
          <a:extLst>
            <a:ext uri="{FF2B5EF4-FFF2-40B4-BE49-F238E27FC236}">
              <a16:creationId xmlns:a16="http://schemas.microsoft.com/office/drawing/2014/main" id="{74C15A35-DA16-3A28-4290-204C0005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385</xdr:row>
      <xdr:rowOff>0</xdr:rowOff>
    </xdr:from>
    <xdr:ext cx="9525" cy="9525"/>
    <xdr:pic>
      <xdr:nvPicPr>
        <xdr:cNvPr id="6" name="xgdvConsulta_IADD" descr="Down Arrow">
          <a:extLst>
            <a:ext uri="{FF2B5EF4-FFF2-40B4-BE49-F238E27FC236}">
              <a16:creationId xmlns:a16="http://schemas.microsoft.com/office/drawing/2014/main" id="{013DB0ED-B2CF-40E3-B090-E1849538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385</xdr:row>
      <xdr:rowOff>0</xdr:rowOff>
    </xdr:from>
    <xdr:ext cx="9525" cy="9525"/>
    <xdr:pic>
      <xdr:nvPicPr>
        <xdr:cNvPr id="7" name="xgdvConsulta_IADU" descr="Up Arrow">
          <a:extLst>
            <a:ext uri="{FF2B5EF4-FFF2-40B4-BE49-F238E27FC236}">
              <a16:creationId xmlns:a16="http://schemas.microsoft.com/office/drawing/2014/main" id="{8D37D031-6968-4EA6-BABC-7DDB30AB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385</xdr:row>
      <xdr:rowOff>0</xdr:rowOff>
    </xdr:from>
    <xdr:ext cx="9525" cy="9525"/>
    <xdr:pic>
      <xdr:nvPicPr>
        <xdr:cNvPr id="8" name="xgdvConsulta_IADL" descr="Left Arrow">
          <a:extLst>
            <a:ext uri="{FF2B5EF4-FFF2-40B4-BE49-F238E27FC236}">
              <a16:creationId xmlns:a16="http://schemas.microsoft.com/office/drawing/2014/main" id="{F76A7F4E-C3BD-40E1-8CF5-C44DA120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385</xdr:row>
      <xdr:rowOff>0</xdr:rowOff>
    </xdr:from>
    <xdr:ext cx="9525" cy="9525"/>
    <xdr:pic>
      <xdr:nvPicPr>
        <xdr:cNvPr id="9" name="xgdvConsulta_IADR" descr="Right Arrow">
          <a:extLst>
            <a:ext uri="{FF2B5EF4-FFF2-40B4-BE49-F238E27FC236}">
              <a16:creationId xmlns:a16="http://schemas.microsoft.com/office/drawing/2014/main" id="{B85086DC-4A27-439E-86FA-3D946DD7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0" name="xgdvConsulta_IADD" descr="Down Arrow">
          <a:extLst>
            <a:ext uri="{FF2B5EF4-FFF2-40B4-BE49-F238E27FC236}">
              <a16:creationId xmlns:a16="http://schemas.microsoft.com/office/drawing/2014/main" id="{58970D44-5C91-40E1-BC24-DD8DE8C6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1" name="xgdvConsulta_IADU" descr="Up Arrow">
          <a:extLst>
            <a:ext uri="{FF2B5EF4-FFF2-40B4-BE49-F238E27FC236}">
              <a16:creationId xmlns:a16="http://schemas.microsoft.com/office/drawing/2014/main" id="{1A8D5A31-57B3-4B8A-A772-61ED2E76F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2" name="xgdvConsulta_IADL" descr="Left Arrow">
          <a:extLst>
            <a:ext uri="{FF2B5EF4-FFF2-40B4-BE49-F238E27FC236}">
              <a16:creationId xmlns:a16="http://schemas.microsoft.com/office/drawing/2014/main" id="{4A3E8E24-1E75-46AF-8ED4-9340F87AC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3" name="xgdvConsulta_IADR" descr="Right Arrow">
          <a:extLst>
            <a:ext uri="{FF2B5EF4-FFF2-40B4-BE49-F238E27FC236}">
              <a16:creationId xmlns:a16="http://schemas.microsoft.com/office/drawing/2014/main" id="{912B981D-4AFB-4BBA-95F8-74841A8E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14" name="xgdvConsulta_IADD" descr="Down Arrow">
          <a:extLst>
            <a:ext uri="{FF2B5EF4-FFF2-40B4-BE49-F238E27FC236}">
              <a16:creationId xmlns:a16="http://schemas.microsoft.com/office/drawing/2014/main" id="{885C2B2B-F9B0-4EB0-94CD-6928E63AE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15" name="xgdvConsulta_IADU" descr="Up Arrow">
          <a:extLst>
            <a:ext uri="{FF2B5EF4-FFF2-40B4-BE49-F238E27FC236}">
              <a16:creationId xmlns:a16="http://schemas.microsoft.com/office/drawing/2014/main" id="{95CC7126-AEF8-451C-AA3E-DD12F409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16" name="xgdvConsulta_IADL" descr="Left Arrow">
          <a:extLst>
            <a:ext uri="{FF2B5EF4-FFF2-40B4-BE49-F238E27FC236}">
              <a16:creationId xmlns:a16="http://schemas.microsoft.com/office/drawing/2014/main" id="{2066586E-F697-4876-86F8-B66AE49E2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17" name="xgdvConsulta_IADR" descr="Right Arrow">
          <a:extLst>
            <a:ext uri="{FF2B5EF4-FFF2-40B4-BE49-F238E27FC236}">
              <a16:creationId xmlns:a16="http://schemas.microsoft.com/office/drawing/2014/main" id="{4967D890-8176-43CF-814D-8186ABA8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18" name="xgdvConsulta_IADD" descr="Down Arrow">
          <a:extLst>
            <a:ext uri="{FF2B5EF4-FFF2-40B4-BE49-F238E27FC236}">
              <a16:creationId xmlns:a16="http://schemas.microsoft.com/office/drawing/2014/main" id="{3505C252-C724-4172-926A-86BDC1ED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19" name="xgdvConsulta_IADU" descr="Up Arrow">
          <a:extLst>
            <a:ext uri="{FF2B5EF4-FFF2-40B4-BE49-F238E27FC236}">
              <a16:creationId xmlns:a16="http://schemas.microsoft.com/office/drawing/2014/main" id="{85CE4CC1-8B71-4AC0-A144-4D5EF107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20" name="xgdvConsulta_IADL" descr="Left Arrow">
          <a:extLst>
            <a:ext uri="{FF2B5EF4-FFF2-40B4-BE49-F238E27FC236}">
              <a16:creationId xmlns:a16="http://schemas.microsoft.com/office/drawing/2014/main" id="{F02A4C2C-4BB0-4149-82FD-442277D9E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21" name="xgdvConsulta_IADR" descr="Right Arrow">
          <a:extLst>
            <a:ext uri="{FF2B5EF4-FFF2-40B4-BE49-F238E27FC236}">
              <a16:creationId xmlns:a16="http://schemas.microsoft.com/office/drawing/2014/main" id="{CE14419B-5C0F-4730-8155-DE40F28A8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22" name="xgdvConsulta_IADD" descr="Down Arrow">
          <a:extLst>
            <a:ext uri="{FF2B5EF4-FFF2-40B4-BE49-F238E27FC236}">
              <a16:creationId xmlns:a16="http://schemas.microsoft.com/office/drawing/2014/main" id="{F96B3BEA-CA38-4E9A-99D3-0FFEE47B8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23" name="xgdvConsulta_IADU" descr="Up Arrow">
          <a:extLst>
            <a:ext uri="{FF2B5EF4-FFF2-40B4-BE49-F238E27FC236}">
              <a16:creationId xmlns:a16="http://schemas.microsoft.com/office/drawing/2014/main" id="{A3C80468-D1C3-4048-B034-3D2C4A83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24" name="xgdvConsulta_IADL" descr="Left Arrow">
          <a:extLst>
            <a:ext uri="{FF2B5EF4-FFF2-40B4-BE49-F238E27FC236}">
              <a16:creationId xmlns:a16="http://schemas.microsoft.com/office/drawing/2014/main" id="{2B9938CB-C2E3-4B87-B6EB-DC64C66A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25" name="xgdvConsulta_IADR" descr="Right Arrow">
          <a:extLst>
            <a:ext uri="{FF2B5EF4-FFF2-40B4-BE49-F238E27FC236}">
              <a16:creationId xmlns:a16="http://schemas.microsoft.com/office/drawing/2014/main" id="{CB2D60DC-5ACA-434F-B809-D2A4F386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26" name="xgdvConsulta_IADD" descr="Down Arrow">
          <a:extLst>
            <a:ext uri="{FF2B5EF4-FFF2-40B4-BE49-F238E27FC236}">
              <a16:creationId xmlns:a16="http://schemas.microsoft.com/office/drawing/2014/main" id="{EDEE231F-9DC1-457E-A303-A07CD8A29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27" name="xgdvConsulta_IADU" descr="Up Arrow">
          <a:extLst>
            <a:ext uri="{FF2B5EF4-FFF2-40B4-BE49-F238E27FC236}">
              <a16:creationId xmlns:a16="http://schemas.microsoft.com/office/drawing/2014/main" id="{18C7A81E-3B72-4C66-ACDF-E72C15BD1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28" name="xgdvConsulta_IADL" descr="Left Arrow">
          <a:extLst>
            <a:ext uri="{FF2B5EF4-FFF2-40B4-BE49-F238E27FC236}">
              <a16:creationId xmlns:a16="http://schemas.microsoft.com/office/drawing/2014/main" id="{C09482AC-2921-4403-B62A-2AE46F2C0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29" name="xgdvConsulta_IADR" descr="Right Arrow">
          <a:extLst>
            <a:ext uri="{FF2B5EF4-FFF2-40B4-BE49-F238E27FC236}">
              <a16:creationId xmlns:a16="http://schemas.microsoft.com/office/drawing/2014/main" id="{C39A2306-E323-4BEE-AD45-2F1E3BEB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30" name="xgdvConsulta_IADD" descr="Down Arrow">
          <a:extLst>
            <a:ext uri="{FF2B5EF4-FFF2-40B4-BE49-F238E27FC236}">
              <a16:creationId xmlns:a16="http://schemas.microsoft.com/office/drawing/2014/main" id="{CEE401D2-3814-4A4D-9DE5-B021D1CF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31" name="xgdvConsulta_IADU" descr="Up Arrow">
          <a:extLst>
            <a:ext uri="{FF2B5EF4-FFF2-40B4-BE49-F238E27FC236}">
              <a16:creationId xmlns:a16="http://schemas.microsoft.com/office/drawing/2014/main" id="{F7AE0B03-C8E1-4B81-8C07-EA73CBE9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32" name="xgdvConsulta_IADL" descr="Left Arrow">
          <a:extLst>
            <a:ext uri="{FF2B5EF4-FFF2-40B4-BE49-F238E27FC236}">
              <a16:creationId xmlns:a16="http://schemas.microsoft.com/office/drawing/2014/main" id="{7E7FD69A-7B22-4E6F-956E-0EF46737F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33" name="xgdvConsulta_IADR" descr="Right Arrow">
          <a:extLst>
            <a:ext uri="{FF2B5EF4-FFF2-40B4-BE49-F238E27FC236}">
              <a16:creationId xmlns:a16="http://schemas.microsoft.com/office/drawing/2014/main" id="{E4FE7B3D-7ADE-47DD-AED1-0AFA58EFE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34" name="xgdvConsulta_IADD" descr="Down Arrow">
          <a:extLst>
            <a:ext uri="{FF2B5EF4-FFF2-40B4-BE49-F238E27FC236}">
              <a16:creationId xmlns:a16="http://schemas.microsoft.com/office/drawing/2014/main" id="{F47512E4-AFEE-4B45-B38F-D319529D0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35" name="xgdvConsulta_IADU" descr="Up Arrow">
          <a:extLst>
            <a:ext uri="{FF2B5EF4-FFF2-40B4-BE49-F238E27FC236}">
              <a16:creationId xmlns:a16="http://schemas.microsoft.com/office/drawing/2014/main" id="{C1A0E337-88BE-42CF-A3CC-442EC5B3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36" name="xgdvConsulta_IADL" descr="Left Arrow">
          <a:extLst>
            <a:ext uri="{FF2B5EF4-FFF2-40B4-BE49-F238E27FC236}">
              <a16:creationId xmlns:a16="http://schemas.microsoft.com/office/drawing/2014/main" id="{B698A063-BED0-471E-82DB-F7ED4E40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37" name="xgdvConsulta_IADR" descr="Right Arrow">
          <a:extLst>
            <a:ext uri="{FF2B5EF4-FFF2-40B4-BE49-F238E27FC236}">
              <a16:creationId xmlns:a16="http://schemas.microsoft.com/office/drawing/2014/main" id="{58890613-9509-422A-99D6-56766669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38" name="xgdvConsulta_IADD" descr="Down Arrow">
          <a:extLst>
            <a:ext uri="{FF2B5EF4-FFF2-40B4-BE49-F238E27FC236}">
              <a16:creationId xmlns:a16="http://schemas.microsoft.com/office/drawing/2014/main" id="{D2A10183-D16A-0D75-0A94-AE9B5DD58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89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39" name="xgdvConsulta_IADU" descr="Up Arrow">
          <a:extLst>
            <a:ext uri="{FF2B5EF4-FFF2-40B4-BE49-F238E27FC236}">
              <a16:creationId xmlns:a16="http://schemas.microsoft.com/office/drawing/2014/main" id="{0306B42C-8908-597E-619C-5FD9759F3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789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40" name="xgdvConsulta_IADL" descr="Left Arrow">
          <a:extLst>
            <a:ext uri="{FF2B5EF4-FFF2-40B4-BE49-F238E27FC236}">
              <a16:creationId xmlns:a16="http://schemas.microsoft.com/office/drawing/2014/main" id="{B259B84D-C50C-2EDD-C508-F97E29B2F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3789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41" name="xgdvConsulta_IADR" descr="Right Arrow">
          <a:extLst>
            <a:ext uri="{FF2B5EF4-FFF2-40B4-BE49-F238E27FC236}">
              <a16:creationId xmlns:a16="http://schemas.microsoft.com/office/drawing/2014/main" id="{4CE0DFA0-3970-5A52-9683-6D3910832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789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386</xdr:row>
      <xdr:rowOff>0</xdr:rowOff>
    </xdr:from>
    <xdr:ext cx="9525" cy="9525"/>
    <xdr:pic>
      <xdr:nvPicPr>
        <xdr:cNvPr id="42" name="xgdvConsulta_IADD" descr="Down Arrow">
          <a:extLst>
            <a:ext uri="{FF2B5EF4-FFF2-40B4-BE49-F238E27FC236}">
              <a16:creationId xmlns:a16="http://schemas.microsoft.com/office/drawing/2014/main" id="{B4CA4AF2-084A-40B4-8721-122B01D5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43" name="xgdvConsulta_IADU" descr="Up Arrow">
          <a:extLst>
            <a:ext uri="{FF2B5EF4-FFF2-40B4-BE49-F238E27FC236}">
              <a16:creationId xmlns:a16="http://schemas.microsoft.com/office/drawing/2014/main" id="{EE4923F8-CD51-47DA-A66A-509A9BEF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44" name="xgdvConsulta_IADL" descr="Left Arrow">
          <a:extLst>
            <a:ext uri="{FF2B5EF4-FFF2-40B4-BE49-F238E27FC236}">
              <a16:creationId xmlns:a16="http://schemas.microsoft.com/office/drawing/2014/main" id="{2DC78339-7AEB-49DA-87F3-F7FCC0714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45" name="xgdvConsulta_IADR" descr="Right Arrow">
          <a:extLst>
            <a:ext uri="{FF2B5EF4-FFF2-40B4-BE49-F238E27FC236}">
              <a16:creationId xmlns:a16="http://schemas.microsoft.com/office/drawing/2014/main" id="{4D88F656-6400-4121-AC21-7963289E2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46" name="xgdvConsulta_IADD" descr="Down Arrow">
          <a:extLst>
            <a:ext uri="{FF2B5EF4-FFF2-40B4-BE49-F238E27FC236}">
              <a16:creationId xmlns:a16="http://schemas.microsoft.com/office/drawing/2014/main" id="{F7E335A7-CB53-4F11-8CAF-9FC1126F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47" name="xgdvConsulta_IADU" descr="Up Arrow">
          <a:extLst>
            <a:ext uri="{FF2B5EF4-FFF2-40B4-BE49-F238E27FC236}">
              <a16:creationId xmlns:a16="http://schemas.microsoft.com/office/drawing/2014/main" id="{926AB215-43EF-48EA-AF4C-EC6233DF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48" name="xgdvConsulta_IADL" descr="Left Arrow">
          <a:extLst>
            <a:ext uri="{FF2B5EF4-FFF2-40B4-BE49-F238E27FC236}">
              <a16:creationId xmlns:a16="http://schemas.microsoft.com/office/drawing/2014/main" id="{429F1320-2491-4E3E-A896-4738F64F5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49" name="xgdvConsulta_IADR" descr="Right Arrow">
          <a:extLst>
            <a:ext uri="{FF2B5EF4-FFF2-40B4-BE49-F238E27FC236}">
              <a16:creationId xmlns:a16="http://schemas.microsoft.com/office/drawing/2014/main" id="{5A0EB14D-B895-4D3F-845F-3B8603FC6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50" name="xgdvConsulta_IADD" descr="Down Arrow">
          <a:extLst>
            <a:ext uri="{FF2B5EF4-FFF2-40B4-BE49-F238E27FC236}">
              <a16:creationId xmlns:a16="http://schemas.microsoft.com/office/drawing/2014/main" id="{D931F974-D80C-4B89-AB91-A356E32B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51" name="xgdvConsulta_IADU" descr="Up Arrow">
          <a:extLst>
            <a:ext uri="{FF2B5EF4-FFF2-40B4-BE49-F238E27FC236}">
              <a16:creationId xmlns:a16="http://schemas.microsoft.com/office/drawing/2014/main" id="{071640B9-5F34-48C1-81CA-87653B60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52" name="xgdvConsulta_IADL" descr="Left Arrow">
          <a:extLst>
            <a:ext uri="{FF2B5EF4-FFF2-40B4-BE49-F238E27FC236}">
              <a16:creationId xmlns:a16="http://schemas.microsoft.com/office/drawing/2014/main" id="{20032D1D-AB00-4F4F-B78B-01F298EF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53" name="xgdvConsulta_IADR" descr="Right Arrow">
          <a:extLst>
            <a:ext uri="{FF2B5EF4-FFF2-40B4-BE49-F238E27FC236}">
              <a16:creationId xmlns:a16="http://schemas.microsoft.com/office/drawing/2014/main" id="{082F6231-93DF-4BB9-A45C-4E1BDA9A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4" name="xgdvConsulta_IADD" descr="Down Arrow">
          <a:extLst>
            <a:ext uri="{FF2B5EF4-FFF2-40B4-BE49-F238E27FC236}">
              <a16:creationId xmlns:a16="http://schemas.microsoft.com/office/drawing/2014/main" id="{4884236E-2112-4BE5-871C-531A320F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5" name="xgdvConsulta_IADU" descr="Up Arrow">
          <a:extLst>
            <a:ext uri="{FF2B5EF4-FFF2-40B4-BE49-F238E27FC236}">
              <a16:creationId xmlns:a16="http://schemas.microsoft.com/office/drawing/2014/main" id="{4BADCFF9-1DF7-4074-8983-5B2BB7E2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6" name="xgdvConsulta_IADL" descr="Left Arrow">
          <a:extLst>
            <a:ext uri="{FF2B5EF4-FFF2-40B4-BE49-F238E27FC236}">
              <a16:creationId xmlns:a16="http://schemas.microsoft.com/office/drawing/2014/main" id="{2D59C2F2-B591-45B6-8A0D-BF603DEBD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7" name="xgdvConsulta_IADR" descr="Right Arrow">
          <a:extLst>
            <a:ext uri="{FF2B5EF4-FFF2-40B4-BE49-F238E27FC236}">
              <a16:creationId xmlns:a16="http://schemas.microsoft.com/office/drawing/2014/main" id="{0B7CCB8D-D3B0-46C1-BEEF-82A982F6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58" name="xgdvConsulta_IADD" descr="Down Arrow">
          <a:extLst>
            <a:ext uri="{FF2B5EF4-FFF2-40B4-BE49-F238E27FC236}">
              <a16:creationId xmlns:a16="http://schemas.microsoft.com/office/drawing/2014/main" id="{722B187A-0C1B-4106-86AC-0BB5F023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59" name="xgdvConsulta_IADU" descr="Up Arrow">
          <a:extLst>
            <a:ext uri="{FF2B5EF4-FFF2-40B4-BE49-F238E27FC236}">
              <a16:creationId xmlns:a16="http://schemas.microsoft.com/office/drawing/2014/main" id="{C961541D-1087-487C-8348-5FE0F72AF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60" name="xgdvConsulta_IADL" descr="Left Arrow">
          <a:extLst>
            <a:ext uri="{FF2B5EF4-FFF2-40B4-BE49-F238E27FC236}">
              <a16:creationId xmlns:a16="http://schemas.microsoft.com/office/drawing/2014/main" id="{91F7630E-C51A-4189-84B5-91671A96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61" name="xgdvConsulta_IADR" descr="Right Arrow">
          <a:extLst>
            <a:ext uri="{FF2B5EF4-FFF2-40B4-BE49-F238E27FC236}">
              <a16:creationId xmlns:a16="http://schemas.microsoft.com/office/drawing/2014/main" id="{78EEC356-95BF-4FBE-BF3B-7D85980C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62" name="xgdvConsulta_IADD" descr="Down Arrow">
          <a:extLst>
            <a:ext uri="{FF2B5EF4-FFF2-40B4-BE49-F238E27FC236}">
              <a16:creationId xmlns:a16="http://schemas.microsoft.com/office/drawing/2014/main" id="{C87E7798-D369-4E74-8E36-55BF3750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63" name="xgdvConsulta_IADU" descr="Up Arrow">
          <a:extLst>
            <a:ext uri="{FF2B5EF4-FFF2-40B4-BE49-F238E27FC236}">
              <a16:creationId xmlns:a16="http://schemas.microsoft.com/office/drawing/2014/main" id="{089BDD76-B68A-4FFD-A453-956AB8BC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64" name="xgdvConsulta_IADL" descr="Left Arrow">
          <a:extLst>
            <a:ext uri="{FF2B5EF4-FFF2-40B4-BE49-F238E27FC236}">
              <a16:creationId xmlns:a16="http://schemas.microsoft.com/office/drawing/2014/main" id="{CFAB3B18-4D84-44A7-9F63-73442CD73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65" name="xgdvConsulta_IADR" descr="Right Arrow">
          <a:extLst>
            <a:ext uri="{FF2B5EF4-FFF2-40B4-BE49-F238E27FC236}">
              <a16:creationId xmlns:a16="http://schemas.microsoft.com/office/drawing/2014/main" id="{61A007D6-E15B-4C70-9A3D-3B9F6F583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66" name="xgdvConsulta_IADD" descr="Down Arrow">
          <a:extLst>
            <a:ext uri="{FF2B5EF4-FFF2-40B4-BE49-F238E27FC236}">
              <a16:creationId xmlns:a16="http://schemas.microsoft.com/office/drawing/2014/main" id="{03DC8422-578D-4CE0-B228-F0D064492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67" name="xgdvConsulta_IADU" descr="Up Arrow">
          <a:extLst>
            <a:ext uri="{FF2B5EF4-FFF2-40B4-BE49-F238E27FC236}">
              <a16:creationId xmlns:a16="http://schemas.microsoft.com/office/drawing/2014/main" id="{37079996-2EF8-49AC-9FDF-5B496A1F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68" name="xgdvConsulta_IADL" descr="Left Arrow">
          <a:extLst>
            <a:ext uri="{FF2B5EF4-FFF2-40B4-BE49-F238E27FC236}">
              <a16:creationId xmlns:a16="http://schemas.microsoft.com/office/drawing/2014/main" id="{D392CD3F-CFCE-44F0-B8CC-004280BA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69" name="xgdvConsulta_IADR" descr="Right Arrow">
          <a:extLst>
            <a:ext uri="{FF2B5EF4-FFF2-40B4-BE49-F238E27FC236}">
              <a16:creationId xmlns:a16="http://schemas.microsoft.com/office/drawing/2014/main" id="{640EDD5A-9C22-4CB1-99CC-8C1481E7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0" name="xgdvConsulta_IADD" descr="Down Arrow">
          <a:extLst>
            <a:ext uri="{FF2B5EF4-FFF2-40B4-BE49-F238E27FC236}">
              <a16:creationId xmlns:a16="http://schemas.microsoft.com/office/drawing/2014/main" id="{A9FE3C62-D24E-42DE-BC2E-60AD997D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1" name="xgdvConsulta_IADU" descr="Up Arrow">
          <a:extLst>
            <a:ext uri="{FF2B5EF4-FFF2-40B4-BE49-F238E27FC236}">
              <a16:creationId xmlns:a16="http://schemas.microsoft.com/office/drawing/2014/main" id="{16196B4C-14D5-485B-B64F-D3827ADB6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2" name="xgdvConsulta_IADL" descr="Left Arrow">
          <a:extLst>
            <a:ext uri="{FF2B5EF4-FFF2-40B4-BE49-F238E27FC236}">
              <a16:creationId xmlns:a16="http://schemas.microsoft.com/office/drawing/2014/main" id="{0E7C8BFD-33F8-4E32-AEE0-7F8A7C819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3" name="xgdvConsulta_IADR" descr="Right Arrow">
          <a:extLst>
            <a:ext uri="{FF2B5EF4-FFF2-40B4-BE49-F238E27FC236}">
              <a16:creationId xmlns:a16="http://schemas.microsoft.com/office/drawing/2014/main" id="{4E3843F1-EC36-4C3C-A3FD-2ACB3A84E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4" name="xgdvConsulta_IADD" descr="Down Arrow">
          <a:extLst>
            <a:ext uri="{FF2B5EF4-FFF2-40B4-BE49-F238E27FC236}">
              <a16:creationId xmlns:a16="http://schemas.microsoft.com/office/drawing/2014/main" id="{D86EE5BF-B1B6-4BAE-8CB6-B3597A92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5" name="xgdvConsulta_IADU" descr="Up Arrow">
          <a:extLst>
            <a:ext uri="{FF2B5EF4-FFF2-40B4-BE49-F238E27FC236}">
              <a16:creationId xmlns:a16="http://schemas.microsoft.com/office/drawing/2014/main" id="{FE93E470-FB18-4146-9AA9-F086BD23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6" name="xgdvConsulta_IADL" descr="Left Arrow">
          <a:extLst>
            <a:ext uri="{FF2B5EF4-FFF2-40B4-BE49-F238E27FC236}">
              <a16:creationId xmlns:a16="http://schemas.microsoft.com/office/drawing/2014/main" id="{43E94B19-F021-461C-BB7A-264A2D68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7" name="xgdvConsulta_IADR" descr="Right Arrow">
          <a:extLst>
            <a:ext uri="{FF2B5EF4-FFF2-40B4-BE49-F238E27FC236}">
              <a16:creationId xmlns:a16="http://schemas.microsoft.com/office/drawing/2014/main" id="{9F88DA93-B5DC-4112-B703-1B2EFC60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78" name="xgdvConsulta_IADD" descr="Down Arrow">
          <a:extLst>
            <a:ext uri="{FF2B5EF4-FFF2-40B4-BE49-F238E27FC236}">
              <a16:creationId xmlns:a16="http://schemas.microsoft.com/office/drawing/2014/main" id="{D295332B-670F-431B-ADB9-FDC66494D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79" name="xgdvConsulta_IADU" descr="Up Arrow">
          <a:extLst>
            <a:ext uri="{FF2B5EF4-FFF2-40B4-BE49-F238E27FC236}">
              <a16:creationId xmlns:a16="http://schemas.microsoft.com/office/drawing/2014/main" id="{CAB138EA-CF96-4E99-9F50-86F2AEAC4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80" name="xgdvConsulta_IADL" descr="Left Arrow">
          <a:extLst>
            <a:ext uri="{FF2B5EF4-FFF2-40B4-BE49-F238E27FC236}">
              <a16:creationId xmlns:a16="http://schemas.microsoft.com/office/drawing/2014/main" id="{3248C765-8AEC-4E72-83A4-DDC4C6D1B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81" name="xgdvConsulta_IADR" descr="Right Arrow">
          <a:extLst>
            <a:ext uri="{FF2B5EF4-FFF2-40B4-BE49-F238E27FC236}">
              <a16:creationId xmlns:a16="http://schemas.microsoft.com/office/drawing/2014/main" id="{99320300-2C32-4D2D-89BB-D5EF0722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82" name="xgdvConsulta_IADD" descr="Down Arrow">
          <a:extLst>
            <a:ext uri="{FF2B5EF4-FFF2-40B4-BE49-F238E27FC236}">
              <a16:creationId xmlns:a16="http://schemas.microsoft.com/office/drawing/2014/main" id="{90EC370C-0359-46A5-A5A3-023E2272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83" name="xgdvConsulta_IADU" descr="Up Arrow">
          <a:extLst>
            <a:ext uri="{FF2B5EF4-FFF2-40B4-BE49-F238E27FC236}">
              <a16:creationId xmlns:a16="http://schemas.microsoft.com/office/drawing/2014/main" id="{DCDD4118-E617-4B7A-A214-55042D43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84" name="xgdvConsulta_IADL" descr="Left Arrow">
          <a:extLst>
            <a:ext uri="{FF2B5EF4-FFF2-40B4-BE49-F238E27FC236}">
              <a16:creationId xmlns:a16="http://schemas.microsoft.com/office/drawing/2014/main" id="{DBCB5DE6-2EF7-483B-9F63-5869585E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38100</xdr:rowOff>
    </xdr:from>
    <xdr:ext cx="9525" cy="9525"/>
    <xdr:pic>
      <xdr:nvPicPr>
        <xdr:cNvPr id="85" name="xgdvConsulta_IADR" descr="Right Arrow">
          <a:extLst>
            <a:ext uri="{FF2B5EF4-FFF2-40B4-BE49-F238E27FC236}">
              <a16:creationId xmlns:a16="http://schemas.microsoft.com/office/drawing/2014/main" id="{DD64F0BC-8710-4968-96AC-20DA7789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90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86" name="xgdvConsulta_IADD" descr="Down Arrow">
          <a:extLst>
            <a:ext uri="{FF2B5EF4-FFF2-40B4-BE49-F238E27FC236}">
              <a16:creationId xmlns:a16="http://schemas.microsoft.com/office/drawing/2014/main" id="{1567077C-D272-4B1F-937E-BF19FF5CD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87" name="xgdvConsulta_IADU" descr="Up Arrow">
          <a:extLst>
            <a:ext uri="{FF2B5EF4-FFF2-40B4-BE49-F238E27FC236}">
              <a16:creationId xmlns:a16="http://schemas.microsoft.com/office/drawing/2014/main" id="{63115D68-DC57-4533-BBE3-BF6691D5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88" name="xgdvConsulta_IADL" descr="Left Arrow">
          <a:extLst>
            <a:ext uri="{FF2B5EF4-FFF2-40B4-BE49-F238E27FC236}">
              <a16:creationId xmlns:a16="http://schemas.microsoft.com/office/drawing/2014/main" id="{909FF549-080D-4B34-9B5B-6A940D5FB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89" name="xgdvConsulta_IADR" descr="Right Arrow">
          <a:extLst>
            <a:ext uri="{FF2B5EF4-FFF2-40B4-BE49-F238E27FC236}">
              <a16:creationId xmlns:a16="http://schemas.microsoft.com/office/drawing/2014/main" id="{0BCEBF55-6E96-4FE5-BFB4-8228D7EBF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90" name="xgdvConsulta_IADD" descr="Down Arrow">
          <a:extLst>
            <a:ext uri="{FF2B5EF4-FFF2-40B4-BE49-F238E27FC236}">
              <a16:creationId xmlns:a16="http://schemas.microsoft.com/office/drawing/2014/main" id="{734AD151-7DA6-4806-8584-95C8C28F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91" name="xgdvConsulta_IADU" descr="Up Arrow">
          <a:extLst>
            <a:ext uri="{FF2B5EF4-FFF2-40B4-BE49-F238E27FC236}">
              <a16:creationId xmlns:a16="http://schemas.microsoft.com/office/drawing/2014/main" id="{E80AE0CB-BF2F-4C58-AC0A-334C1BC8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92" name="xgdvConsulta_IADL" descr="Left Arrow">
          <a:extLst>
            <a:ext uri="{FF2B5EF4-FFF2-40B4-BE49-F238E27FC236}">
              <a16:creationId xmlns:a16="http://schemas.microsoft.com/office/drawing/2014/main" id="{BF6A23B3-8F7E-47DC-B3C2-5F1F3A3A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93" name="xgdvConsulta_IADR" descr="Right Arrow">
          <a:extLst>
            <a:ext uri="{FF2B5EF4-FFF2-40B4-BE49-F238E27FC236}">
              <a16:creationId xmlns:a16="http://schemas.microsoft.com/office/drawing/2014/main" id="{E607BA41-AD76-43A4-9D62-33E67D369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E233CC50-030C-D0C6-5433-1E7BD8D80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09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21DCE768-9F89-BEBF-EE01-D9EDD5DA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609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4" name="xgdvConsulta_IADL" descr="Left Arrow">
          <a:extLst>
            <a:ext uri="{FF2B5EF4-FFF2-40B4-BE49-F238E27FC236}">
              <a16:creationId xmlns:a16="http://schemas.microsoft.com/office/drawing/2014/main" id="{A0119281-20C9-99B3-E220-9039FD701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3609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5" name="xgdvConsulta_IADR" descr="Right Arrow">
          <a:extLst>
            <a:ext uri="{FF2B5EF4-FFF2-40B4-BE49-F238E27FC236}">
              <a16:creationId xmlns:a16="http://schemas.microsoft.com/office/drawing/2014/main" id="{D8CF2236-A76B-79CE-2619-EF83B72A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09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6" name="xgdvConsulta_IADD" descr="Down Arrow">
          <a:extLst>
            <a:ext uri="{FF2B5EF4-FFF2-40B4-BE49-F238E27FC236}">
              <a16:creationId xmlns:a16="http://schemas.microsoft.com/office/drawing/2014/main" id="{ADECEBF4-7FCC-B5B5-3CF9-2BE58CA6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49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7" name="xgdvConsulta_IADU" descr="Up Arrow">
          <a:extLst>
            <a:ext uri="{FF2B5EF4-FFF2-40B4-BE49-F238E27FC236}">
              <a16:creationId xmlns:a16="http://schemas.microsoft.com/office/drawing/2014/main" id="{B62F751A-CD08-ED49-771C-8CD3B962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749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8" name="xgdvConsulta_IADL" descr="Left Arrow">
          <a:extLst>
            <a:ext uri="{FF2B5EF4-FFF2-40B4-BE49-F238E27FC236}">
              <a16:creationId xmlns:a16="http://schemas.microsoft.com/office/drawing/2014/main" id="{A65A7900-1D84-8D8D-BA29-7761C858B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749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9" name="xgdvConsulta_IADR" descr="Right Arrow">
          <a:extLst>
            <a:ext uri="{FF2B5EF4-FFF2-40B4-BE49-F238E27FC236}">
              <a16:creationId xmlns:a16="http://schemas.microsoft.com/office/drawing/2014/main" id="{8D77AFA8-49BC-6AC6-D395-25B7F8EF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49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400</xdr:row>
      <xdr:rowOff>0</xdr:rowOff>
    </xdr:from>
    <xdr:to>
      <xdr:col>7</xdr:col>
      <xdr:colOff>9525</xdr:colOff>
      <xdr:row>400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1EF0922A-320F-5203-E878-60E75EDC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400</xdr:row>
      <xdr:rowOff>0</xdr:rowOff>
    </xdr:from>
    <xdr:to>
      <xdr:col>7</xdr:col>
      <xdr:colOff>9525</xdr:colOff>
      <xdr:row>400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29ED9E73-426C-7D33-9305-85208842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400</xdr:row>
      <xdr:rowOff>0</xdr:rowOff>
    </xdr:from>
    <xdr:to>
      <xdr:col>7</xdr:col>
      <xdr:colOff>9525</xdr:colOff>
      <xdr:row>400</xdr:row>
      <xdr:rowOff>9525</xdr:rowOff>
    </xdr:to>
    <xdr:pic>
      <xdr:nvPicPr>
        <xdr:cNvPr id="4" name="xgdvConsulta_IADL" descr="Left Arrow">
          <a:extLst>
            <a:ext uri="{FF2B5EF4-FFF2-40B4-BE49-F238E27FC236}">
              <a16:creationId xmlns:a16="http://schemas.microsoft.com/office/drawing/2014/main" id="{747F507D-CE40-824E-D4CC-088DD3D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400</xdr:row>
      <xdr:rowOff>0</xdr:rowOff>
    </xdr:from>
    <xdr:to>
      <xdr:col>7</xdr:col>
      <xdr:colOff>9525</xdr:colOff>
      <xdr:row>400</xdr:row>
      <xdr:rowOff>9525</xdr:rowOff>
    </xdr:to>
    <xdr:pic>
      <xdr:nvPicPr>
        <xdr:cNvPr id="5" name="xgdvConsulta_IADR" descr="Right Arrow">
          <a:extLst>
            <a:ext uri="{FF2B5EF4-FFF2-40B4-BE49-F238E27FC236}">
              <a16:creationId xmlns:a16="http://schemas.microsoft.com/office/drawing/2014/main" id="{FDBA3F8A-BFDF-8598-6BE4-9620DEE0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F85244CA-4991-42E8-DDA3-4BE3A1FD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569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2D30EEE9-0419-16F0-9F2A-43835AB4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569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4" name="xgdvConsulta_IADL" descr="Left Arrow">
          <a:extLst>
            <a:ext uri="{FF2B5EF4-FFF2-40B4-BE49-F238E27FC236}">
              <a16:creationId xmlns:a16="http://schemas.microsoft.com/office/drawing/2014/main" id="{2545F3C9-6EBB-BAEE-2E2E-34513717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569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5" name="xgdvConsulta_IADR" descr="Right Arrow">
          <a:extLst>
            <a:ext uri="{FF2B5EF4-FFF2-40B4-BE49-F238E27FC236}">
              <a16:creationId xmlns:a16="http://schemas.microsoft.com/office/drawing/2014/main" id="{8FE84752-65F7-B78D-EBF2-B4CCD8B9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569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385</xdr:row>
      <xdr:rowOff>0</xdr:rowOff>
    </xdr:from>
    <xdr:ext cx="9525" cy="9525"/>
    <xdr:pic>
      <xdr:nvPicPr>
        <xdr:cNvPr id="6" name="xgdvConsulta_IADD" descr="Down Arrow">
          <a:extLst>
            <a:ext uri="{FF2B5EF4-FFF2-40B4-BE49-F238E27FC236}">
              <a16:creationId xmlns:a16="http://schemas.microsoft.com/office/drawing/2014/main" id="{9BBC56EF-A804-46F0-B92B-3569DF4A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385</xdr:row>
      <xdr:rowOff>0</xdr:rowOff>
    </xdr:from>
    <xdr:ext cx="9525" cy="9525"/>
    <xdr:pic>
      <xdr:nvPicPr>
        <xdr:cNvPr id="7" name="xgdvConsulta_IADU" descr="Up Arrow">
          <a:extLst>
            <a:ext uri="{FF2B5EF4-FFF2-40B4-BE49-F238E27FC236}">
              <a16:creationId xmlns:a16="http://schemas.microsoft.com/office/drawing/2014/main" id="{BF815C68-C124-410E-9F59-D0001D96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385</xdr:row>
      <xdr:rowOff>0</xdr:rowOff>
    </xdr:from>
    <xdr:ext cx="9525" cy="9525"/>
    <xdr:pic>
      <xdr:nvPicPr>
        <xdr:cNvPr id="8" name="xgdvConsulta_IADL" descr="Left Arrow">
          <a:extLst>
            <a:ext uri="{FF2B5EF4-FFF2-40B4-BE49-F238E27FC236}">
              <a16:creationId xmlns:a16="http://schemas.microsoft.com/office/drawing/2014/main" id="{2E25760A-2F37-45C8-AD56-70F64C209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385</xdr:row>
      <xdr:rowOff>0</xdr:rowOff>
    </xdr:from>
    <xdr:ext cx="9525" cy="9525"/>
    <xdr:pic>
      <xdr:nvPicPr>
        <xdr:cNvPr id="9" name="xgdvConsulta_IADR" descr="Right Arrow">
          <a:extLst>
            <a:ext uri="{FF2B5EF4-FFF2-40B4-BE49-F238E27FC236}">
              <a16:creationId xmlns:a16="http://schemas.microsoft.com/office/drawing/2014/main" id="{F7A283E6-7F82-4AC2-B4B5-ED33CB45C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0" name="xgdvConsulta_IADD" descr="Down Arrow">
          <a:extLst>
            <a:ext uri="{FF2B5EF4-FFF2-40B4-BE49-F238E27FC236}">
              <a16:creationId xmlns:a16="http://schemas.microsoft.com/office/drawing/2014/main" id="{F18E4297-3403-D0DD-33FF-F3AA503E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1" name="xgdvConsulta_IADU" descr="Up Arrow">
          <a:extLst>
            <a:ext uri="{FF2B5EF4-FFF2-40B4-BE49-F238E27FC236}">
              <a16:creationId xmlns:a16="http://schemas.microsoft.com/office/drawing/2014/main" id="{47B4CDD3-54A8-856D-C4D2-008EFF80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2" name="xgdvConsulta_IADL" descr="Left Arrow">
          <a:extLst>
            <a:ext uri="{FF2B5EF4-FFF2-40B4-BE49-F238E27FC236}">
              <a16:creationId xmlns:a16="http://schemas.microsoft.com/office/drawing/2014/main" id="{F4242024-EB2F-E994-2149-03C6F5DA3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3" name="xgdvConsulta_IADR" descr="Right Arrow">
          <a:extLst>
            <a:ext uri="{FF2B5EF4-FFF2-40B4-BE49-F238E27FC236}">
              <a16:creationId xmlns:a16="http://schemas.microsoft.com/office/drawing/2014/main" id="{343E4B16-316A-FA7C-422D-BE5A24C0D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4" name="xgdvConsulta_IADD" descr="Down Arrow">
          <a:extLst>
            <a:ext uri="{FF2B5EF4-FFF2-40B4-BE49-F238E27FC236}">
              <a16:creationId xmlns:a16="http://schemas.microsoft.com/office/drawing/2014/main" id="{ED3E31CF-4DDE-404E-A4A8-BC414540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5" name="xgdvConsulta_IADU" descr="Up Arrow">
          <a:extLst>
            <a:ext uri="{FF2B5EF4-FFF2-40B4-BE49-F238E27FC236}">
              <a16:creationId xmlns:a16="http://schemas.microsoft.com/office/drawing/2014/main" id="{C49C4EC2-DB9A-47B6-A2E3-54D812F91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6" name="xgdvConsulta_IADL" descr="Left Arrow">
          <a:extLst>
            <a:ext uri="{FF2B5EF4-FFF2-40B4-BE49-F238E27FC236}">
              <a16:creationId xmlns:a16="http://schemas.microsoft.com/office/drawing/2014/main" id="{455303ED-5170-49F7-8AEC-598E38BE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7" name="xgdvConsulta_IADR" descr="Right Arrow">
          <a:extLst>
            <a:ext uri="{FF2B5EF4-FFF2-40B4-BE49-F238E27FC236}">
              <a16:creationId xmlns:a16="http://schemas.microsoft.com/office/drawing/2014/main" id="{EE494C5D-B661-4831-BA63-F44563269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387</xdr:row>
      <xdr:rowOff>0</xdr:rowOff>
    </xdr:from>
    <xdr:to>
      <xdr:col>7</xdr:col>
      <xdr:colOff>9525</xdr:colOff>
      <xdr:row>387</xdr:row>
      <xdr:rowOff>9525</xdr:rowOff>
    </xdr:to>
    <xdr:pic>
      <xdr:nvPicPr>
        <xdr:cNvPr id="18" name="xgdvConsulta_IADD" descr="Down Arrow">
          <a:extLst>
            <a:ext uri="{FF2B5EF4-FFF2-40B4-BE49-F238E27FC236}">
              <a16:creationId xmlns:a16="http://schemas.microsoft.com/office/drawing/2014/main" id="{2A9CE975-0275-7A5F-644A-61B34EF4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49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387</xdr:row>
      <xdr:rowOff>0</xdr:rowOff>
    </xdr:from>
    <xdr:to>
      <xdr:col>7</xdr:col>
      <xdr:colOff>9525</xdr:colOff>
      <xdr:row>387</xdr:row>
      <xdr:rowOff>9525</xdr:rowOff>
    </xdr:to>
    <xdr:pic>
      <xdr:nvPicPr>
        <xdr:cNvPr id="19" name="xgdvConsulta_IADU" descr="Up Arrow">
          <a:extLst>
            <a:ext uri="{FF2B5EF4-FFF2-40B4-BE49-F238E27FC236}">
              <a16:creationId xmlns:a16="http://schemas.microsoft.com/office/drawing/2014/main" id="{EF63AF70-4E8D-21D0-585A-DECC5488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649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387</xdr:row>
      <xdr:rowOff>0</xdr:rowOff>
    </xdr:from>
    <xdr:to>
      <xdr:col>7</xdr:col>
      <xdr:colOff>9525</xdr:colOff>
      <xdr:row>387</xdr:row>
      <xdr:rowOff>9525</xdr:rowOff>
    </xdr:to>
    <xdr:pic>
      <xdr:nvPicPr>
        <xdr:cNvPr id="20" name="xgdvConsulta_IADL" descr="Left Arrow">
          <a:extLst>
            <a:ext uri="{FF2B5EF4-FFF2-40B4-BE49-F238E27FC236}">
              <a16:creationId xmlns:a16="http://schemas.microsoft.com/office/drawing/2014/main" id="{B8113AA3-BE0A-5D3E-DB22-0D17D80D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649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387</xdr:row>
      <xdr:rowOff>0</xdr:rowOff>
    </xdr:from>
    <xdr:to>
      <xdr:col>7</xdr:col>
      <xdr:colOff>9525</xdr:colOff>
      <xdr:row>387</xdr:row>
      <xdr:rowOff>9525</xdr:rowOff>
    </xdr:to>
    <xdr:pic>
      <xdr:nvPicPr>
        <xdr:cNvPr id="21" name="xgdvConsulta_IADR" descr="Right Arrow">
          <a:extLst>
            <a:ext uri="{FF2B5EF4-FFF2-40B4-BE49-F238E27FC236}">
              <a16:creationId xmlns:a16="http://schemas.microsoft.com/office/drawing/2014/main" id="{68AE4C39-2643-82BB-FDED-0A7E4214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649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386</xdr:row>
      <xdr:rowOff>0</xdr:rowOff>
    </xdr:from>
    <xdr:to>
      <xdr:col>7</xdr:col>
      <xdr:colOff>9525</xdr:colOff>
      <xdr:row>386</xdr:row>
      <xdr:rowOff>9525</xdr:rowOff>
    </xdr:to>
    <xdr:pic>
      <xdr:nvPicPr>
        <xdr:cNvPr id="22" name="xgdvConsulta_IADD" descr="Down Arrow">
          <a:extLst>
            <a:ext uri="{FF2B5EF4-FFF2-40B4-BE49-F238E27FC236}">
              <a16:creationId xmlns:a16="http://schemas.microsoft.com/office/drawing/2014/main" id="{9D9EA00E-C228-AC5D-19AF-B71F271AD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386</xdr:row>
      <xdr:rowOff>0</xdr:rowOff>
    </xdr:from>
    <xdr:to>
      <xdr:col>7</xdr:col>
      <xdr:colOff>9525</xdr:colOff>
      <xdr:row>386</xdr:row>
      <xdr:rowOff>9525</xdr:rowOff>
    </xdr:to>
    <xdr:pic>
      <xdr:nvPicPr>
        <xdr:cNvPr id="23" name="xgdvConsulta_IADU" descr="Up Arrow">
          <a:extLst>
            <a:ext uri="{FF2B5EF4-FFF2-40B4-BE49-F238E27FC236}">
              <a16:creationId xmlns:a16="http://schemas.microsoft.com/office/drawing/2014/main" id="{6A23A9F3-6B19-196D-D569-5DD1C86C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386</xdr:row>
      <xdr:rowOff>0</xdr:rowOff>
    </xdr:from>
    <xdr:to>
      <xdr:col>7</xdr:col>
      <xdr:colOff>9525</xdr:colOff>
      <xdr:row>386</xdr:row>
      <xdr:rowOff>9525</xdr:rowOff>
    </xdr:to>
    <xdr:pic>
      <xdr:nvPicPr>
        <xdr:cNvPr id="24" name="xgdvConsulta_IADL" descr="Left Arrow">
          <a:extLst>
            <a:ext uri="{FF2B5EF4-FFF2-40B4-BE49-F238E27FC236}">
              <a16:creationId xmlns:a16="http://schemas.microsoft.com/office/drawing/2014/main" id="{D566EB4A-7E8C-5896-2560-5009E0720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386</xdr:row>
      <xdr:rowOff>0</xdr:rowOff>
    </xdr:from>
    <xdr:to>
      <xdr:col>7</xdr:col>
      <xdr:colOff>9525</xdr:colOff>
      <xdr:row>386</xdr:row>
      <xdr:rowOff>9525</xdr:rowOff>
    </xdr:to>
    <xdr:pic>
      <xdr:nvPicPr>
        <xdr:cNvPr id="25" name="xgdvConsulta_IADR" descr="Right Arrow">
          <a:extLst>
            <a:ext uri="{FF2B5EF4-FFF2-40B4-BE49-F238E27FC236}">
              <a16:creationId xmlns:a16="http://schemas.microsoft.com/office/drawing/2014/main" id="{2A1F799A-1FAC-D3C7-4106-338BABD3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387</xdr:row>
      <xdr:rowOff>0</xdr:rowOff>
    </xdr:from>
    <xdr:ext cx="9525" cy="9525"/>
    <xdr:pic>
      <xdr:nvPicPr>
        <xdr:cNvPr id="26" name="xgdvConsulta_IADD" descr="Down Arrow">
          <a:extLst>
            <a:ext uri="{FF2B5EF4-FFF2-40B4-BE49-F238E27FC236}">
              <a16:creationId xmlns:a16="http://schemas.microsoft.com/office/drawing/2014/main" id="{CBE00805-BC82-4AFF-9996-BE9CF5D95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27" name="xgdvConsulta_IADU" descr="Up Arrow">
          <a:extLst>
            <a:ext uri="{FF2B5EF4-FFF2-40B4-BE49-F238E27FC236}">
              <a16:creationId xmlns:a16="http://schemas.microsoft.com/office/drawing/2014/main" id="{CB7013BC-F761-4CEE-972D-56189BAB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28" name="xgdvConsulta_IADL" descr="Left Arrow">
          <a:extLst>
            <a:ext uri="{FF2B5EF4-FFF2-40B4-BE49-F238E27FC236}">
              <a16:creationId xmlns:a16="http://schemas.microsoft.com/office/drawing/2014/main" id="{7C804593-8F25-4D00-8E17-FE2D92C21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29" name="xgdvConsulta_IADR" descr="Right Arrow">
          <a:extLst>
            <a:ext uri="{FF2B5EF4-FFF2-40B4-BE49-F238E27FC236}">
              <a16:creationId xmlns:a16="http://schemas.microsoft.com/office/drawing/2014/main" id="{1867DD18-501D-47C5-AE49-DCD36FF71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34" name="xgdvConsulta_IADD" descr="Down Arrow">
          <a:extLst>
            <a:ext uri="{FF2B5EF4-FFF2-40B4-BE49-F238E27FC236}">
              <a16:creationId xmlns:a16="http://schemas.microsoft.com/office/drawing/2014/main" id="{F707505E-03B1-7E4A-7279-6E74A222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69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35" name="xgdvConsulta_IADU" descr="Up Arrow">
          <a:extLst>
            <a:ext uri="{FF2B5EF4-FFF2-40B4-BE49-F238E27FC236}">
              <a16:creationId xmlns:a16="http://schemas.microsoft.com/office/drawing/2014/main" id="{B72975EC-4B12-FA14-B8C9-16399501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669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36" name="xgdvConsulta_IADL" descr="Left Arrow">
          <a:extLst>
            <a:ext uri="{FF2B5EF4-FFF2-40B4-BE49-F238E27FC236}">
              <a16:creationId xmlns:a16="http://schemas.microsoft.com/office/drawing/2014/main" id="{B52F3876-35A2-CDAB-1C29-860468C8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669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37" name="xgdvConsulta_IADR" descr="Right Arrow">
          <a:extLst>
            <a:ext uri="{FF2B5EF4-FFF2-40B4-BE49-F238E27FC236}">
              <a16:creationId xmlns:a16="http://schemas.microsoft.com/office/drawing/2014/main" id="{8E7B1DAF-D602-6738-7C39-4D00E62F1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669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388</xdr:row>
      <xdr:rowOff>0</xdr:rowOff>
    </xdr:from>
    <xdr:ext cx="9525" cy="9525"/>
    <xdr:pic>
      <xdr:nvPicPr>
        <xdr:cNvPr id="38" name="xgdvConsulta_IADD" descr="Down Arrow">
          <a:extLst>
            <a:ext uri="{FF2B5EF4-FFF2-40B4-BE49-F238E27FC236}">
              <a16:creationId xmlns:a16="http://schemas.microsoft.com/office/drawing/2014/main" id="{D99CF081-C98C-4C41-A751-095AFF7A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39" name="xgdvConsulta_IADU" descr="Up Arrow">
          <a:extLst>
            <a:ext uri="{FF2B5EF4-FFF2-40B4-BE49-F238E27FC236}">
              <a16:creationId xmlns:a16="http://schemas.microsoft.com/office/drawing/2014/main" id="{36F3B897-0A85-4CB0-9966-E0FA5F0D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40" name="xgdvConsulta_IADL" descr="Left Arrow">
          <a:extLst>
            <a:ext uri="{FF2B5EF4-FFF2-40B4-BE49-F238E27FC236}">
              <a16:creationId xmlns:a16="http://schemas.microsoft.com/office/drawing/2014/main" id="{163BDE6C-0DFD-4CB0-8C50-BDE02D9D6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41" name="xgdvConsulta_IADR" descr="Right Arrow">
          <a:extLst>
            <a:ext uri="{FF2B5EF4-FFF2-40B4-BE49-F238E27FC236}">
              <a16:creationId xmlns:a16="http://schemas.microsoft.com/office/drawing/2014/main" id="{D1B55AFB-B2FF-4337-B461-E8A830F0F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42" name="xgdvConsulta_IADD" descr="Down Arrow">
          <a:extLst>
            <a:ext uri="{FF2B5EF4-FFF2-40B4-BE49-F238E27FC236}">
              <a16:creationId xmlns:a16="http://schemas.microsoft.com/office/drawing/2014/main" id="{D4D95222-D60B-4F65-BAE7-7E5B8E6A8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43" name="xgdvConsulta_IADU" descr="Up Arrow">
          <a:extLst>
            <a:ext uri="{FF2B5EF4-FFF2-40B4-BE49-F238E27FC236}">
              <a16:creationId xmlns:a16="http://schemas.microsoft.com/office/drawing/2014/main" id="{081D1C7A-348C-4C1C-8DE1-8D369FC1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44" name="xgdvConsulta_IADL" descr="Left Arrow">
          <a:extLst>
            <a:ext uri="{FF2B5EF4-FFF2-40B4-BE49-F238E27FC236}">
              <a16:creationId xmlns:a16="http://schemas.microsoft.com/office/drawing/2014/main" id="{8DF0B42D-DC92-4CDA-942D-B32C5425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45" name="xgdvConsulta_IADR" descr="Right Arrow">
          <a:extLst>
            <a:ext uri="{FF2B5EF4-FFF2-40B4-BE49-F238E27FC236}">
              <a16:creationId xmlns:a16="http://schemas.microsoft.com/office/drawing/2014/main" id="{06EE1B13-7E1B-4E1A-9060-957D9948E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0" name="xgdvConsulta_IADD" descr="Down Arrow">
          <a:extLst>
            <a:ext uri="{FF2B5EF4-FFF2-40B4-BE49-F238E27FC236}">
              <a16:creationId xmlns:a16="http://schemas.microsoft.com/office/drawing/2014/main" id="{12852219-0B93-443B-AF67-62807755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1" name="xgdvConsulta_IADU" descr="Up Arrow">
          <a:extLst>
            <a:ext uri="{FF2B5EF4-FFF2-40B4-BE49-F238E27FC236}">
              <a16:creationId xmlns:a16="http://schemas.microsoft.com/office/drawing/2014/main" id="{37F70CDC-F320-4ACB-AF12-139A109E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2" name="xgdvConsulta_IADL" descr="Left Arrow">
          <a:extLst>
            <a:ext uri="{FF2B5EF4-FFF2-40B4-BE49-F238E27FC236}">
              <a16:creationId xmlns:a16="http://schemas.microsoft.com/office/drawing/2014/main" id="{70A18F4F-D850-45C9-9C12-9F6A0CAED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3" name="xgdvConsulta_IADR" descr="Right Arrow">
          <a:extLst>
            <a:ext uri="{FF2B5EF4-FFF2-40B4-BE49-F238E27FC236}">
              <a16:creationId xmlns:a16="http://schemas.microsoft.com/office/drawing/2014/main" id="{95F371FB-5D86-40BB-A1E2-5E1C77902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4" name="xgdvConsulta_IADD" descr="Down Arrow">
          <a:extLst>
            <a:ext uri="{FF2B5EF4-FFF2-40B4-BE49-F238E27FC236}">
              <a16:creationId xmlns:a16="http://schemas.microsoft.com/office/drawing/2014/main" id="{B81DCFD6-BA67-454D-9F9E-15580030B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5" name="xgdvConsulta_IADU" descr="Up Arrow">
          <a:extLst>
            <a:ext uri="{FF2B5EF4-FFF2-40B4-BE49-F238E27FC236}">
              <a16:creationId xmlns:a16="http://schemas.microsoft.com/office/drawing/2014/main" id="{3B13A41B-4961-4AD5-B58C-19A008DEC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6" name="xgdvConsulta_IADL" descr="Left Arrow">
          <a:extLst>
            <a:ext uri="{FF2B5EF4-FFF2-40B4-BE49-F238E27FC236}">
              <a16:creationId xmlns:a16="http://schemas.microsoft.com/office/drawing/2014/main" id="{DD13F229-B3FD-4925-A886-76214153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7" name="xgdvConsulta_IADR" descr="Right Arrow">
          <a:extLst>
            <a:ext uri="{FF2B5EF4-FFF2-40B4-BE49-F238E27FC236}">
              <a16:creationId xmlns:a16="http://schemas.microsoft.com/office/drawing/2014/main" id="{F2F69B73-DCF5-4611-A08A-F58980A2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8" name="xgdvConsulta_IADD" descr="Down Arrow">
          <a:extLst>
            <a:ext uri="{FF2B5EF4-FFF2-40B4-BE49-F238E27FC236}">
              <a16:creationId xmlns:a16="http://schemas.microsoft.com/office/drawing/2014/main" id="{056EA229-51F9-40A7-8973-1741B8DF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9" name="xgdvConsulta_IADU" descr="Up Arrow">
          <a:extLst>
            <a:ext uri="{FF2B5EF4-FFF2-40B4-BE49-F238E27FC236}">
              <a16:creationId xmlns:a16="http://schemas.microsoft.com/office/drawing/2014/main" id="{9650AB7A-5F27-48F5-B8BD-9A640395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60" name="xgdvConsulta_IADL" descr="Left Arrow">
          <a:extLst>
            <a:ext uri="{FF2B5EF4-FFF2-40B4-BE49-F238E27FC236}">
              <a16:creationId xmlns:a16="http://schemas.microsoft.com/office/drawing/2014/main" id="{45057A66-1355-4665-BAA2-35A764C0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61" name="xgdvConsulta_IADR" descr="Right Arrow">
          <a:extLst>
            <a:ext uri="{FF2B5EF4-FFF2-40B4-BE49-F238E27FC236}">
              <a16:creationId xmlns:a16="http://schemas.microsoft.com/office/drawing/2014/main" id="{6902EF59-473C-410E-85A7-66C21DA3F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62" name="xgdvConsulta_IADD" descr="Down Arrow">
          <a:extLst>
            <a:ext uri="{FF2B5EF4-FFF2-40B4-BE49-F238E27FC236}">
              <a16:creationId xmlns:a16="http://schemas.microsoft.com/office/drawing/2014/main" id="{E639FB56-EBD6-4D43-9AB5-E63662CDB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63" name="xgdvConsulta_IADU" descr="Up Arrow">
          <a:extLst>
            <a:ext uri="{FF2B5EF4-FFF2-40B4-BE49-F238E27FC236}">
              <a16:creationId xmlns:a16="http://schemas.microsoft.com/office/drawing/2014/main" id="{9CB30A4B-0D5F-414C-A21B-F39D9A045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64" name="xgdvConsulta_IADL" descr="Left Arrow">
          <a:extLst>
            <a:ext uri="{FF2B5EF4-FFF2-40B4-BE49-F238E27FC236}">
              <a16:creationId xmlns:a16="http://schemas.microsoft.com/office/drawing/2014/main" id="{D0BE87B3-0C8E-41C2-9D74-4C821F421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65" name="xgdvConsulta_IADR" descr="Right Arrow">
          <a:extLst>
            <a:ext uri="{FF2B5EF4-FFF2-40B4-BE49-F238E27FC236}">
              <a16:creationId xmlns:a16="http://schemas.microsoft.com/office/drawing/2014/main" id="{B6A52810-8125-44BA-A9A5-DEA2F2D80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66" name="xgdvConsulta_IADD" descr="Down Arrow">
          <a:extLst>
            <a:ext uri="{FF2B5EF4-FFF2-40B4-BE49-F238E27FC236}">
              <a16:creationId xmlns:a16="http://schemas.microsoft.com/office/drawing/2014/main" id="{85C69CFF-E57D-4148-9260-E38FD03E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67" name="xgdvConsulta_IADU" descr="Up Arrow">
          <a:extLst>
            <a:ext uri="{FF2B5EF4-FFF2-40B4-BE49-F238E27FC236}">
              <a16:creationId xmlns:a16="http://schemas.microsoft.com/office/drawing/2014/main" id="{F277DFC9-CAF5-4C7A-9FF4-F5A7B85A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68" name="xgdvConsulta_IADL" descr="Left Arrow">
          <a:extLst>
            <a:ext uri="{FF2B5EF4-FFF2-40B4-BE49-F238E27FC236}">
              <a16:creationId xmlns:a16="http://schemas.microsoft.com/office/drawing/2014/main" id="{69A640D1-053E-4BF2-BB80-59251050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69" name="xgdvConsulta_IADR" descr="Right Arrow">
          <a:extLst>
            <a:ext uri="{FF2B5EF4-FFF2-40B4-BE49-F238E27FC236}">
              <a16:creationId xmlns:a16="http://schemas.microsoft.com/office/drawing/2014/main" id="{DF1D7394-78CA-4443-A65A-A2C850C5D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0" name="xgdvConsulta_IADD" descr="Down Arrow">
          <a:extLst>
            <a:ext uri="{FF2B5EF4-FFF2-40B4-BE49-F238E27FC236}">
              <a16:creationId xmlns:a16="http://schemas.microsoft.com/office/drawing/2014/main" id="{0D5ABE5C-99BC-4EF9-A927-8E0FFDE88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1" name="xgdvConsulta_IADU" descr="Up Arrow">
          <a:extLst>
            <a:ext uri="{FF2B5EF4-FFF2-40B4-BE49-F238E27FC236}">
              <a16:creationId xmlns:a16="http://schemas.microsoft.com/office/drawing/2014/main" id="{2FCA846D-B57E-4465-A5B0-A77387AF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2" name="xgdvConsulta_IADL" descr="Left Arrow">
          <a:extLst>
            <a:ext uri="{FF2B5EF4-FFF2-40B4-BE49-F238E27FC236}">
              <a16:creationId xmlns:a16="http://schemas.microsoft.com/office/drawing/2014/main" id="{81478C91-544E-476E-9E12-9A05CC4D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3" name="xgdvConsulta_IADR" descr="Right Arrow">
          <a:extLst>
            <a:ext uri="{FF2B5EF4-FFF2-40B4-BE49-F238E27FC236}">
              <a16:creationId xmlns:a16="http://schemas.microsoft.com/office/drawing/2014/main" id="{472AEBCD-E6C2-484F-91E4-7CEF91D1C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4" name="xgdvConsulta_IADD" descr="Down Arrow">
          <a:extLst>
            <a:ext uri="{FF2B5EF4-FFF2-40B4-BE49-F238E27FC236}">
              <a16:creationId xmlns:a16="http://schemas.microsoft.com/office/drawing/2014/main" id="{B219D990-31E2-4351-85CE-0EAF20D36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5" name="xgdvConsulta_IADU" descr="Up Arrow">
          <a:extLst>
            <a:ext uri="{FF2B5EF4-FFF2-40B4-BE49-F238E27FC236}">
              <a16:creationId xmlns:a16="http://schemas.microsoft.com/office/drawing/2014/main" id="{166C09AB-2357-4AD5-A073-D5EAF6DCE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6" name="xgdvConsulta_IADL" descr="Left Arrow">
          <a:extLst>
            <a:ext uri="{FF2B5EF4-FFF2-40B4-BE49-F238E27FC236}">
              <a16:creationId xmlns:a16="http://schemas.microsoft.com/office/drawing/2014/main" id="{BB2265AD-135F-47DA-B697-8ACC3CB6A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7" name="xgdvConsulta_IADR" descr="Right Arrow">
          <a:extLst>
            <a:ext uri="{FF2B5EF4-FFF2-40B4-BE49-F238E27FC236}">
              <a16:creationId xmlns:a16="http://schemas.microsoft.com/office/drawing/2014/main" id="{2F354745-D8B6-460A-9196-D5098E282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8" name="xgdvConsulta_IADD" descr="Down Arrow">
          <a:extLst>
            <a:ext uri="{FF2B5EF4-FFF2-40B4-BE49-F238E27FC236}">
              <a16:creationId xmlns:a16="http://schemas.microsoft.com/office/drawing/2014/main" id="{33EA4B67-BDD8-455B-879B-B8D9DEA0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9" name="xgdvConsulta_IADU" descr="Up Arrow">
          <a:extLst>
            <a:ext uri="{FF2B5EF4-FFF2-40B4-BE49-F238E27FC236}">
              <a16:creationId xmlns:a16="http://schemas.microsoft.com/office/drawing/2014/main" id="{FD58CBD7-6D69-4785-8DB9-98AF5B0E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80" name="xgdvConsulta_IADL" descr="Left Arrow">
          <a:extLst>
            <a:ext uri="{FF2B5EF4-FFF2-40B4-BE49-F238E27FC236}">
              <a16:creationId xmlns:a16="http://schemas.microsoft.com/office/drawing/2014/main" id="{396C4E6D-A357-466C-9877-F673CD80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81" name="xgdvConsulta_IADR" descr="Right Arrow">
          <a:extLst>
            <a:ext uri="{FF2B5EF4-FFF2-40B4-BE49-F238E27FC236}">
              <a16:creationId xmlns:a16="http://schemas.microsoft.com/office/drawing/2014/main" id="{72A5F9C0-CFFA-40AE-A214-36A29B80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82" name="xgdvConsulta_IADD" descr="Down Arrow">
          <a:extLst>
            <a:ext uri="{FF2B5EF4-FFF2-40B4-BE49-F238E27FC236}">
              <a16:creationId xmlns:a16="http://schemas.microsoft.com/office/drawing/2014/main" id="{F5213054-D397-4FB3-A1DE-028B7E9D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83" name="xgdvConsulta_IADU" descr="Up Arrow">
          <a:extLst>
            <a:ext uri="{FF2B5EF4-FFF2-40B4-BE49-F238E27FC236}">
              <a16:creationId xmlns:a16="http://schemas.microsoft.com/office/drawing/2014/main" id="{7E5EA496-24DB-45A1-9C5B-C95F7D26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84" name="xgdvConsulta_IADL" descr="Left Arrow">
          <a:extLst>
            <a:ext uri="{FF2B5EF4-FFF2-40B4-BE49-F238E27FC236}">
              <a16:creationId xmlns:a16="http://schemas.microsoft.com/office/drawing/2014/main" id="{BAF2E8E7-6836-4203-ACBD-F4D026DF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85" name="xgdvConsulta_IADR" descr="Right Arrow">
          <a:extLst>
            <a:ext uri="{FF2B5EF4-FFF2-40B4-BE49-F238E27FC236}">
              <a16:creationId xmlns:a16="http://schemas.microsoft.com/office/drawing/2014/main" id="{9D76F42F-D1B8-421F-947C-22081CBA3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86" name="xgdvConsulta_IADD" descr="Down Arrow">
          <a:extLst>
            <a:ext uri="{FF2B5EF4-FFF2-40B4-BE49-F238E27FC236}">
              <a16:creationId xmlns:a16="http://schemas.microsoft.com/office/drawing/2014/main" id="{09169D43-AAC2-4F60-9B76-73FF341A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87" name="xgdvConsulta_IADU" descr="Up Arrow">
          <a:extLst>
            <a:ext uri="{FF2B5EF4-FFF2-40B4-BE49-F238E27FC236}">
              <a16:creationId xmlns:a16="http://schemas.microsoft.com/office/drawing/2014/main" id="{4FA8462B-8D6A-4F46-BFCB-21C6BB025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88" name="xgdvConsulta_IADL" descr="Left Arrow">
          <a:extLst>
            <a:ext uri="{FF2B5EF4-FFF2-40B4-BE49-F238E27FC236}">
              <a16:creationId xmlns:a16="http://schemas.microsoft.com/office/drawing/2014/main" id="{2577225C-BE07-49A3-BA8C-4E2081B0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89" name="xgdvConsulta_IADR" descr="Right Arrow">
          <a:extLst>
            <a:ext uri="{FF2B5EF4-FFF2-40B4-BE49-F238E27FC236}">
              <a16:creationId xmlns:a16="http://schemas.microsoft.com/office/drawing/2014/main" id="{DDF8B850-262D-4536-8075-72D74694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0" name="xgdvConsulta_IADD" descr="Down Arrow">
          <a:extLst>
            <a:ext uri="{FF2B5EF4-FFF2-40B4-BE49-F238E27FC236}">
              <a16:creationId xmlns:a16="http://schemas.microsoft.com/office/drawing/2014/main" id="{38B6CA89-9413-4719-B62A-0DD35F17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1" name="xgdvConsulta_IADU" descr="Up Arrow">
          <a:extLst>
            <a:ext uri="{FF2B5EF4-FFF2-40B4-BE49-F238E27FC236}">
              <a16:creationId xmlns:a16="http://schemas.microsoft.com/office/drawing/2014/main" id="{EA3E17A2-0E59-4B03-A02E-8F93382D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2" name="xgdvConsulta_IADL" descr="Left Arrow">
          <a:extLst>
            <a:ext uri="{FF2B5EF4-FFF2-40B4-BE49-F238E27FC236}">
              <a16:creationId xmlns:a16="http://schemas.microsoft.com/office/drawing/2014/main" id="{FE343F7D-D191-4D3A-A1A3-2C6BF899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3" name="xgdvConsulta_IADR" descr="Right Arrow">
          <a:extLst>
            <a:ext uri="{FF2B5EF4-FFF2-40B4-BE49-F238E27FC236}">
              <a16:creationId xmlns:a16="http://schemas.microsoft.com/office/drawing/2014/main" id="{59B854BE-2349-41E2-8354-BED3BE662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4" name="xgdvConsulta_IADD" descr="Down Arrow">
          <a:extLst>
            <a:ext uri="{FF2B5EF4-FFF2-40B4-BE49-F238E27FC236}">
              <a16:creationId xmlns:a16="http://schemas.microsoft.com/office/drawing/2014/main" id="{401BD6F7-B5CD-46C1-8876-978CB843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5" name="xgdvConsulta_IADU" descr="Up Arrow">
          <a:extLst>
            <a:ext uri="{FF2B5EF4-FFF2-40B4-BE49-F238E27FC236}">
              <a16:creationId xmlns:a16="http://schemas.microsoft.com/office/drawing/2014/main" id="{8B269A9D-318D-425B-8FC4-E5881B02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6" name="xgdvConsulta_IADL" descr="Left Arrow">
          <a:extLst>
            <a:ext uri="{FF2B5EF4-FFF2-40B4-BE49-F238E27FC236}">
              <a16:creationId xmlns:a16="http://schemas.microsoft.com/office/drawing/2014/main" id="{20AA5C86-EA34-4D98-94C3-A0F6C7552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7" name="xgdvConsulta_IADR" descr="Right Arrow">
          <a:extLst>
            <a:ext uri="{FF2B5EF4-FFF2-40B4-BE49-F238E27FC236}">
              <a16:creationId xmlns:a16="http://schemas.microsoft.com/office/drawing/2014/main" id="{D325E8BF-8516-4FFE-AA5B-E991FB16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8" name="xgdvConsulta_IADD" descr="Down Arrow">
          <a:extLst>
            <a:ext uri="{FF2B5EF4-FFF2-40B4-BE49-F238E27FC236}">
              <a16:creationId xmlns:a16="http://schemas.microsoft.com/office/drawing/2014/main" id="{8DF6A804-4AD1-49E2-B309-2E4A4B8B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9" name="xgdvConsulta_IADU" descr="Up Arrow">
          <a:extLst>
            <a:ext uri="{FF2B5EF4-FFF2-40B4-BE49-F238E27FC236}">
              <a16:creationId xmlns:a16="http://schemas.microsoft.com/office/drawing/2014/main" id="{E5CD0064-ACC6-42A2-84C0-07650BFD4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00" name="xgdvConsulta_IADL" descr="Left Arrow">
          <a:extLst>
            <a:ext uri="{FF2B5EF4-FFF2-40B4-BE49-F238E27FC236}">
              <a16:creationId xmlns:a16="http://schemas.microsoft.com/office/drawing/2014/main" id="{32A7EF50-4926-404A-B422-2D90846E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01" name="xgdvConsulta_IADR" descr="Right Arrow">
          <a:extLst>
            <a:ext uri="{FF2B5EF4-FFF2-40B4-BE49-F238E27FC236}">
              <a16:creationId xmlns:a16="http://schemas.microsoft.com/office/drawing/2014/main" id="{176B4E67-66B4-4E52-870D-25A2BEE2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02" name="xgdvConsulta_IADD" descr="Down Arrow">
          <a:extLst>
            <a:ext uri="{FF2B5EF4-FFF2-40B4-BE49-F238E27FC236}">
              <a16:creationId xmlns:a16="http://schemas.microsoft.com/office/drawing/2014/main" id="{505509A5-2617-4E51-BDAE-3A669F161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03" name="xgdvConsulta_IADU" descr="Up Arrow">
          <a:extLst>
            <a:ext uri="{FF2B5EF4-FFF2-40B4-BE49-F238E27FC236}">
              <a16:creationId xmlns:a16="http://schemas.microsoft.com/office/drawing/2014/main" id="{56A68B8C-0E44-4218-9BB2-1CE56806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04" name="xgdvConsulta_IADL" descr="Left Arrow">
          <a:extLst>
            <a:ext uri="{FF2B5EF4-FFF2-40B4-BE49-F238E27FC236}">
              <a16:creationId xmlns:a16="http://schemas.microsoft.com/office/drawing/2014/main" id="{FE191939-71E3-4F62-BE8D-A4AE5ECA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05" name="xgdvConsulta_IADR" descr="Right Arrow">
          <a:extLst>
            <a:ext uri="{FF2B5EF4-FFF2-40B4-BE49-F238E27FC236}">
              <a16:creationId xmlns:a16="http://schemas.microsoft.com/office/drawing/2014/main" id="{2EDC19C9-7DAE-49AB-B597-EBD38F15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06" name="xgdvConsulta_IADD" descr="Down Arrow">
          <a:extLst>
            <a:ext uri="{FF2B5EF4-FFF2-40B4-BE49-F238E27FC236}">
              <a16:creationId xmlns:a16="http://schemas.microsoft.com/office/drawing/2014/main" id="{28DAE7A1-888D-DF74-8CDE-AEAEFF7D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69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07" name="xgdvConsulta_IADU" descr="Up Arrow">
          <a:extLst>
            <a:ext uri="{FF2B5EF4-FFF2-40B4-BE49-F238E27FC236}">
              <a16:creationId xmlns:a16="http://schemas.microsoft.com/office/drawing/2014/main" id="{0B1CD9A5-CC5D-63C9-137A-53B336CA4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769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08" name="xgdvConsulta_IADL" descr="Left Arrow">
          <a:extLst>
            <a:ext uri="{FF2B5EF4-FFF2-40B4-BE49-F238E27FC236}">
              <a16:creationId xmlns:a16="http://schemas.microsoft.com/office/drawing/2014/main" id="{DA2804BF-4946-F37C-ED09-F707AFC1C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769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09" name="xgdvConsulta_IADR" descr="Right Arrow">
          <a:extLst>
            <a:ext uri="{FF2B5EF4-FFF2-40B4-BE49-F238E27FC236}">
              <a16:creationId xmlns:a16="http://schemas.microsoft.com/office/drawing/2014/main" id="{96865842-BC6D-3F3B-9E9F-A149841DA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9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0" name="xgdvConsulta_IADD" descr="Down Arrow">
          <a:extLst>
            <a:ext uri="{FF2B5EF4-FFF2-40B4-BE49-F238E27FC236}">
              <a16:creationId xmlns:a16="http://schemas.microsoft.com/office/drawing/2014/main" id="{9D3B4DE9-7720-4331-AA7E-DD756D6F5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1" name="xgdvConsulta_IADU" descr="Up Arrow">
          <a:extLst>
            <a:ext uri="{FF2B5EF4-FFF2-40B4-BE49-F238E27FC236}">
              <a16:creationId xmlns:a16="http://schemas.microsoft.com/office/drawing/2014/main" id="{164BDE25-B4D5-4F17-8E5A-004BFD8AC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2" name="xgdvConsulta_IADL" descr="Left Arrow">
          <a:extLst>
            <a:ext uri="{FF2B5EF4-FFF2-40B4-BE49-F238E27FC236}">
              <a16:creationId xmlns:a16="http://schemas.microsoft.com/office/drawing/2014/main" id="{142F13C8-41E2-4F74-855D-A2A09D6C1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3" name="xgdvConsulta_IADR" descr="Right Arrow">
          <a:extLst>
            <a:ext uri="{FF2B5EF4-FFF2-40B4-BE49-F238E27FC236}">
              <a16:creationId xmlns:a16="http://schemas.microsoft.com/office/drawing/2014/main" id="{AA57FC4E-2EEC-474B-9810-B19A477CA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4" name="xgdvConsulta_IADD" descr="Down Arrow">
          <a:extLst>
            <a:ext uri="{FF2B5EF4-FFF2-40B4-BE49-F238E27FC236}">
              <a16:creationId xmlns:a16="http://schemas.microsoft.com/office/drawing/2014/main" id="{61AB8A28-AF54-4EAB-A6EC-23290690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5" name="xgdvConsulta_IADU" descr="Up Arrow">
          <a:extLst>
            <a:ext uri="{FF2B5EF4-FFF2-40B4-BE49-F238E27FC236}">
              <a16:creationId xmlns:a16="http://schemas.microsoft.com/office/drawing/2014/main" id="{7AC67EDE-E9ED-48B9-8A43-E2623393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6" name="xgdvConsulta_IADL" descr="Left Arrow">
          <a:extLst>
            <a:ext uri="{FF2B5EF4-FFF2-40B4-BE49-F238E27FC236}">
              <a16:creationId xmlns:a16="http://schemas.microsoft.com/office/drawing/2014/main" id="{AC669987-121B-454E-B785-76659397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7" name="xgdvConsulta_IADR" descr="Right Arrow">
          <a:extLst>
            <a:ext uri="{FF2B5EF4-FFF2-40B4-BE49-F238E27FC236}">
              <a16:creationId xmlns:a16="http://schemas.microsoft.com/office/drawing/2014/main" id="{3D63147E-7675-4387-88AA-785DC777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8" name="xgdvConsulta_IADD" descr="Down Arrow">
          <a:extLst>
            <a:ext uri="{FF2B5EF4-FFF2-40B4-BE49-F238E27FC236}">
              <a16:creationId xmlns:a16="http://schemas.microsoft.com/office/drawing/2014/main" id="{2BA3B5AB-A6F6-4BEE-A6AA-5F98AC835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9" name="xgdvConsulta_IADU" descr="Up Arrow">
          <a:extLst>
            <a:ext uri="{FF2B5EF4-FFF2-40B4-BE49-F238E27FC236}">
              <a16:creationId xmlns:a16="http://schemas.microsoft.com/office/drawing/2014/main" id="{266E8593-37F7-42AA-BB74-677DBDA8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0" name="xgdvConsulta_IADL" descr="Left Arrow">
          <a:extLst>
            <a:ext uri="{FF2B5EF4-FFF2-40B4-BE49-F238E27FC236}">
              <a16:creationId xmlns:a16="http://schemas.microsoft.com/office/drawing/2014/main" id="{EC6FD0F3-BF97-4CD1-B125-4264A094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1" name="xgdvConsulta_IADR" descr="Right Arrow">
          <a:extLst>
            <a:ext uri="{FF2B5EF4-FFF2-40B4-BE49-F238E27FC236}">
              <a16:creationId xmlns:a16="http://schemas.microsoft.com/office/drawing/2014/main" id="{9DCA7307-EBB7-4C2F-9E40-983E4558F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2" name="xgdvConsulta_IADD" descr="Down Arrow">
          <a:extLst>
            <a:ext uri="{FF2B5EF4-FFF2-40B4-BE49-F238E27FC236}">
              <a16:creationId xmlns:a16="http://schemas.microsoft.com/office/drawing/2014/main" id="{503771F9-FAE7-4596-99DE-032AF35E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3" name="xgdvConsulta_IADU" descr="Up Arrow">
          <a:extLst>
            <a:ext uri="{FF2B5EF4-FFF2-40B4-BE49-F238E27FC236}">
              <a16:creationId xmlns:a16="http://schemas.microsoft.com/office/drawing/2014/main" id="{4B69F53E-26D6-4985-A372-C53210C45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4" name="xgdvConsulta_IADL" descr="Left Arrow">
          <a:extLst>
            <a:ext uri="{FF2B5EF4-FFF2-40B4-BE49-F238E27FC236}">
              <a16:creationId xmlns:a16="http://schemas.microsoft.com/office/drawing/2014/main" id="{04F27A49-234A-49AA-8522-E17277C8C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5" name="xgdvConsulta_IADR" descr="Right Arrow">
          <a:extLst>
            <a:ext uri="{FF2B5EF4-FFF2-40B4-BE49-F238E27FC236}">
              <a16:creationId xmlns:a16="http://schemas.microsoft.com/office/drawing/2014/main" id="{45A7FDA0-5A2D-4424-A9B5-516E4DAF8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6" name="xgdvConsulta_IADD" descr="Down Arrow">
          <a:extLst>
            <a:ext uri="{FF2B5EF4-FFF2-40B4-BE49-F238E27FC236}">
              <a16:creationId xmlns:a16="http://schemas.microsoft.com/office/drawing/2014/main" id="{D1EB2393-053A-4D81-B3B2-A4B35CDC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7" name="xgdvConsulta_IADU" descr="Up Arrow">
          <a:extLst>
            <a:ext uri="{FF2B5EF4-FFF2-40B4-BE49-F238E27FC236}">
              <a16:creationId xmlns:a16="http://schemas.microsoft.com/office/drawing/2014/main" id="{1B9F9CEF-78DC-4B51-9C4D-C8F086AD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8" name="xgdvConsulta_IADL" descr="Left Arrow">
          <a:extLst>
            <a:ext uri="{FF2B5EF4-FFF2-40B4-BE49-F238E27FC236}">
              <a16:creationId xmlns:a16="http://schemas.microsoft.com/office/drawing/2014/main" id="{DBDFBFF6-A276-40C6-B78F-4B864B054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9" name="xgdvConsulta_IADR" descr="Right Arrow">
          <a:extLst>
            <a:ext uri="{FF2B5EF4-FFF2-40B4-BE49-F238E27FC236}">
              <a16:creationId xmlns:a16="http://schemas.microsoft.com/office/drawing/2014/main" id="{AB62FE3B-BC1D-4B16-B437-D907B8F03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130" name="xgdvConsulta_IADD" descr="Down Arrow">
          <a:extLst>
            <a:ext uri="{FF2B5EF4-FFF2-40B4-BE49-F238E27FC236}">
              <a16:creationId xmlns:a16="http://schemas.microsoft.com/office/drawing/2014/main" id="{97B1B108-A5C1-4555-8C38-271BAFEA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131" name="xgdvConsulta_IADU" descr="Up Arrow">
          <a:extLst>
            <a:ext uri="{FF2B5EF4-FFF2-40B4-BE49-F238E27FC236}">
              <a16:creationId xmlns:a16="http://schemas.microsoft.com/office/drawing/2014/main" id="{12217E2D-770C-4954-8F50-20578AF00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132" name="xgdvConsulta_IADL" descr="Left Arrow">
          <a:extLst>
            <a:ext uri="{FF2B5EF4-FFF2-40B4-BE49-F238E27FC236}">
              <a16:creationId xmlns:a16="http://schemas.microsoft.com/office/drawing/2014/main" id="{4E95F98F-AAFB-4D54-9CD2-B452AA88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133" name="xgdvConsulta_IADR" descr="Right Arrow">
          <a:extLst>
            <a:ext uri="{FF2B5EF4-FFF2-40B4-BE49-F238E27FC236}">
              <a16:creationId xmlns:a16="http://schemas.microsoft.com/office/drawing/2014/main" id="{1218200B-F74D-4AFA-ACC3-344179C7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134" name="xgdvConsulta_IADD" descr="Down Arrow">
          <a:extLst>
            <a:ext uri="{FF2B5EF4-FFF2-40B4-BE49-F238E27FC236}">
              <a16:creationId xmlns:a16="http://schemas.microsoft.com/office/drawing/2014/main" id="{BF471DE9-7820-4219-BB92-6DF4D963C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135" name="xgdvConsulta_IADU" descr="Up Arrow">
          <a:extLst>
            <a:ext uri="{FF2B5EF4-FFF2-40B4-BE49-F238E27FC236}">
              <a16:creationId xmlns:a16="http://schemas.microsoft.com/office/drawing/2014/main" id="{35ACA985-50F7-4C6D-A127-7059BA58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136" name="xgdvConsulta_IADL" descr="Left Arrow">
          <a:extLst>
            <a:ext uri="{FF2B5EF4-FFF2-40B4-BE49-F238E27FC236}">
              <a16:creationId xmlns:a16="http://schemas.microsoft.com/office/drawing/2014/main" id="{95423E85-228F-469F-92D9-10FF8EC1A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137" name="xgdvConsulta_IADR" descr="Right Arrow">
          <a:extLst>
            <a:ext uri="{FF2B5EF4-FFF2-40B4-BE49-F238E27FC236}">
              <a16:creationId xmlns:a16="http://schemas.microsoft.com/office/drawing/2014/main" id="{1A55A7C5-91E9-415E-B5C9-91DFEDA98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138" name="xgdvConsulta_IADD" descr="Down Arrow">
          <a:extLst>
            <a:ext uri="{FF2B5EF4-FFF2-40B4-BE49-F238E27FC236}">
              <a16:creationId xmlns:a16="http://schemas.microsoft.com/office/drawing/2014/main" id="{6A26AC00-52F1-4D22-A076-A43FAB0F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139" name="xgdvConsulta_IADU" descr="Up Arrow">
          <a:extLst>
            <a:ext uri="{FF2B5EF4-FFF2-40B4-BE49-F238E27FC236}">
              <a16:creationId xmlns:a16="http://schemas.microsoft.com/office/drawing/2014/main" id="{FFB3A658-6F9B-4F1E-BAC6-176C624D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140" name="xgdvConsulta_IADL" descr="Left Arrow">
          <a:extLst>
            <a:ext uri="{FF2B5EF4-FFF2-40B4-BE49-F238E27FC236}">
              <a16:creationId xmlns:a16="http://schemas.microsoft.com/office/drawing/2014/main" id="{42AC39A0-83D2-45B4-BDD6-CD6D6CDA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141" name="xgdvConsulta_IADR" descr="Right Arrow">
          <a:extLst>
            <a:ext uri="{FF2B5EF4-FFF2-40B4-BE49-F238E27FC236}">
              <a16:creationId xmlns:a16="http://schemas.microsoft.com/office/drawing/2014/main" id="{C1715EE0-EAD8-46A7-843F-8C8BDAD5C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42" name="xgdvConsulta_IADD" descr="Down Arrow">
          <a:extLst>
            <a:ext uri="{FF2B5EF4-FFF2-40B4-BE49-F238E27FC236}">
              <a16:creationId xmlns:a16="http://schemas.microsoft.com/office/drawing/2014/main" id="{BB56BE38-7B02-4F97-AA3C-A83D7229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43" name="xgdvConsulta_IADU" descr="Up Arrow">
          <a:extLst>
            <a:ext uri="{FF2B5EF4-FFF2-40B4-BE49-F238E27FC236}">
              <a16:creationId xmlns:a16="http://schemas.microsoft.com/office/drawing/2014/main" id="{DFCAB1D3-9B4B-497D-9150-29EC96D7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44" name="xgdvConsulta_IADL" descr="Left Arrow">
          <a:extLst>
            <a:ext uri="{FF2B5EF4-FFF2-40B4-BE49-F238E27FC236}">
              <a16:creationId xmlns:a16="http://schemas.microsoft.com/office/drawing/2014/main" id="{6AFED078-2465-4FBB-91C5-0010F771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45" name="xgdvConsulta_IADR" descr="Right Arrow">
          <a:extLst>
            <a:ext uri="{FF2B5EF4-FFF2-40B4-BE49-F238E27FC236}">
              <a16:creationId xmlns:a16="http://schemas.microsoft.com/office/drawing/2014/main" id="{64821954-24B9-4D2F-ACD4-B76FCF4D7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46" name="xgdvConsulta_IADD" descr="Down Arrow">
          <a:extLst>
            <a:ext uri="{FF2B5EF4-FFF2-40B4-BE49-F238E27FC236}">
              <a16:creationId xmlns:a16="http://schemas.microsoft.com/office/drawing/2014/main" id="{8DBD9C99-526C-4F7F-8F29-A0E56B9D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47" name="xgdvConsulta_IADU" descr="Up Arrow">
          <a:extLst>
            <a:ext uri="{FF2B5EF4-FFF2-40B4-BE49-F238E27FC236}">
              <a16:creationId xmlns:a16="http://schemas.microsoft.com/office/drawing/2014/main" id="{3519597B-8CF2-4D71-8403-5F8A93D5E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48" name="xgdvConsulta_IADL" descr="Left Arrow">
          <a:extLst>
            <a:ext uri="{FF2B5EF4-FFF2-40B4-BE49-F238E27FC236}">
              <a16:creationId xmlns:a16="http://schemas.microsoft.com/office/drawing/2014/main" id="{BB4FEE81-4095-4E3C-A6BE-669C07A1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49" name="xgdvConsulta_IADR" descr="Right Arrow">
          <a:extLst>
            <a:ext uri="{FF2B5EF4-FFF2-40B4-BE49-F238E27FC236}">
              <a16:creationId xmlns:a16="http://schemas.microsoft.com/office/drawing/2014/main" id="{F213D631-07EA-45A1-B4B8-A6D80FEB8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30" name="xgdvConsulta_IADD" descr="Down Arrow">
          <a:extLst>
            <a:ext uri="{FF2B5EF4-FFF2-40B4-BE49-F238E27FC236}">
              <a16:creationId xmlns:a16="http://schemas.microsoft.com/office/drawing/2014/main" id="{19DE74FF-287E-4F99-AD07-F68824E4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31" name="xgdvConsulta_IADU" descr="Up Arrow">
          <a:extLst>
            <a:ext uri="{FF2B5EF4-FFF2-40B4-BE49-F238E27FC236}">
              <a16:creationId xmlns:a16="http://schemas.microsoft.com/office/drawing/2014/main" id="{7CAC0D17-BBAA-401C-8C15-1DC43DFA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32" name="xgdvConsulta_IADL" descr="Left Arrow">
          <a:extLst>
            <a:ext uri="{FF2B5EF4-FFF2-40B4-BE49-F238E27FC236}">
              <a16:creationId xmlns:a16="http://schemas.microsoft.com/office/drawing/2014/main" id="{201716AE-8BCD-44E2-A0E9-0A61CD0D0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33" name="xgdvConsulta_IADR" descr="Right Arrow">
          <a:extLst>
            <a:ext uri="{FF2B5EF4-FFF2-40B4-BE49-F238E27FC236}">
              <a16:creationId xmlns:a16="http://schemas.microsoft.com/office/drawing/2014/main" id="{67EC48C8-86AF-4175-93CF-999B11BCF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46" name="xgdvConsulta_IADD" descr="Down Arrow">
          <a:extLst>
            <a:ext uri="{FF2B5EF4-FFF2-40B4-BE49-F238E27FC236}">
              <a16:creationId xmlns:a16="http://schemas.microsoft.com/office/drawing/2014/main" id="{ED0E3EFC-97DA-435F-ADFC-48F917D9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47" name="xgdvConsulta_IADU" descr="Up Arrow">
          <a:extLst>
            <a:ext uri="{FF2B5EF4-FFF2-40B4-BE49-F238E27FC236}">
              <a16:creationId xmlns:a16="http://schemas.microsoft.com/office/drawing/2014/main" id="{6CA27B7E-CAB2-49DA-81D1-098CDCFEC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48" name="xgdvConsulta_IADL" descr="Left Arrow">
          <a:extLst>
            <a:ext uri="{FF2B5EF4-FFF2-40B4-BE49-F238E27FC236}">
              <a16:creationId xmlns:a16="http://schemas.microsoft.com/office/drawing/2014/main" id="{A5873693-F643-4742-AB4D-23247D190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49" name="xgdvConsulta_IADR" descr="Right Arrow">
          <a:extLst>
            <a:ext uri="{FF2B5EF4-FFF2-40B4-BE49-F238E27FC236}">
              <a16:creationId xmlns:a16="http://schemas.microsoft.com/office/drawing/2014/main" id="{4C482396-0AD2-4427-82C5-6D9CBFF5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0" name="xgdvConsulta_IADD" descr="Down Arrow">
          <a:extLst>
            <a:ext uri="{FF2B5EF4-FFF2-40B4-BE49-F238E27FC236}">
              <a16:creationId xmlns:a16="http://schemas.microsoft.com/office/drawing/2014/main" id="{664F7BFE-DF35-498D-AD5A-E68825BD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1" name="xgdvConsulta_IADU" descr="Up Arrow">
          <a:extLst>
            <a:ext uri="{FF2B5EF4-FFF2-40B4-BE49-F238E27FC236}">
              <a16:creationId xmlns:a16="http://schemas.microsoft.com/office/drawing/2014/main" id="{1A150CE8-F42F-43EE-8AFA-F2273778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2" name="xgdvConsulta_IADL" descr="Left Arrow">
          <a:extLst>
            <a:ext uri="{FF2B5EF4-FFF2-40B4-BE49-F238E27FC236}">
              <a16:creationId xmlns:a16="http://schemas.microsoft.com/office/drawing/2014/main" id="{2E8FBBC8-F258-439F-B16B-88E8A46C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3" name="xgdvConsulta_IADR" descr="Right Arrow">
          <a:extLst>
            <a:ext uri="{FF2B5EF4-FFF2-40B4-BE49-F238E27FC236}">
              <a16:creationId xmlns:a16="http://schemas.microsoft.com/office/drawing/2014/main" id="{D2BA5234-1E32-4A43-AFFB-38BCA6CB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4" name="xgdvConsulta_IADD" descr="Down Arrow">
          <a:extLst>
            <a:ext uri="{FF2B5EF4-FFF2-40B4-BE49-F238E27FC236}">
              <a16:creationId xmlns:a16="http://schemas.microsoft.com/office/drawing/2014/main" id="{EE1D58F0-C968-472F-9369-11CAC9688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5" name="xgdvConsulta_IADU" descr="Up Arrow">
          <a:extLst>
            <a:ext uri="{FF2B5EF4-FFF2-40B4-BE49-F238E27FC236}">
              <a16:creationId xmlns:a16="http://schemas.microsoft.com/office/drawing/2014/main" id="{1A8778EA-0960-4039-B736-439F17D3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6" name="xgdvConsulta_IADL" descr="Left Arrow">
          <a:extLst>
            <a:ext uri="{FF2B5EF4-FFF2-40B4-BE49-F238E27FC236}">
              <a16:creationId xmlns:a16="http://schemas.microsoft.com/office/drawing/2014/main" id="{6D7B1B75-85FF-4E7B-A605-4B0E677F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7" name="xgdvConsulta_IADR" descr="Right Arrow">
          <a:extLst>
            <a:ext uri="{FF2B5EF4-FFF2-40B4-BE49-F238E27FC236}">
              <a16:creationId xmlns:a16="http://schemas.microsoft.com/office/drawing/2014/main" id="{5C2A25D9-B43C-4608-82CC-854C756C7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8" name="xgdvConsulta_IADD" descr="Down Arrow">
          <a:extLst>
            <a:ext uri="{FF2B5EF4-FFF2-40B4-BE49-F238E27FC236}">
              <a16:creationId xmlns:a16="http://schemas.microsoft.com/office/drawing/2014/main" id="{398159DD-FCF0-4E45-B101-4F023488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9" name="xgdvConsulta_IADU" descr="Up Arrow">
          <a:extLst>
            <a:ext uri="{FF2B5EF4-FFF2-40B4-BE49-F238E27FC236}">
              <a16:creationId xmlns:a16="http://schemas.microsoft.com/office/drawing/2014/main" id="{A5B8558E-82EC-4F6F-ACB7-0C2567A7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60" name="xgdvConsulta_IADL" descr="Left Arrow">
          <a:extLst>
            <a:ext uri="{FF2B5EF4-FFF2-40B4-BE49-F238E27FC236}">
              <a16:creationId xmlns:a16="http://schemas.microsoft.com/office/drawing/2014/main" id="{376C3861-E99B-440F-96DB-9A27CDC17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61" name="xgdvConsulta_IADR" descr="Right Arrow">
          <a:extLst>
            <a:ext uri="{FF2B5EF4-FFF2-40B4-BE49-F238E27FC236}">
              <a16:creationId xmlns:a16="http://schemas.microsoft.com/office/drawing/2014/main" id="{E0A92D40-D343-49B2-80B0-1FD3D26C8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62" name="xgdvConsulta_IADD" descr="Down Arrow">
          <a:extLst>
            <a:ext uri="{FF2B5EF4-FFF2-40B4-BE49-F238E27FC236}">
              <a16:creationId xmlns:a16="http://schemas.microsoft.com/office/drawing/2014/main" id="{0F90CC0B-2DA4-45D1-B6F9-9E9C5020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63" name="xgdvConsulta_IADU" descr="Up Arrow">
          <a:extLst>
            <a:ext uri="{FF2B5EF4-FFF2-40B4-BE49-F238E27FC236}">
              <a16:creationId xmlns:a16="http://schemas.microsoft.com/office/drawing/2014/main" id="{FB3BEBF4-30D5-4678-9721-E48C0DBCA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64" name="xgdvConsulta_IADL" descr="Left Arrow">
          <a:extLst>
            <a:ext uri="{FF2B5EF4-FFF2-40B4-BE49-F238E27FC236}">
              <a16:creationId xmlns:a16="http://schemas.microsoft.com/office/drawing/2014/main" id="{49471496-8311-492B-80EE-98B16D8A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28575</xdr:rowOff>
    </xdr:from>
    <xdr:ext cx="9525" cy="9525"/>
    <xdr:pic>
      <xdr:nvPicPr>
        <xdr:cNvPr id="165" name="xgdvConsulta_IADR" descr="Right Arrow">
          <a:extLst>
            <a:ext uri="{FF2B5EF4-FFF2-40B4-BE49-F238E27FC236}">
              <a16:creationId xmlns:a16="http://schemas.microsoft.com/office/drawing/2014/main" id="{78891294-D952-47F6-B7B8-470350812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9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66" name="xgdvConsulta_IADD" descr="Down Arrow">
          <a:extLst>
            <a:ext uri="{FF2B5EF4-FFF2-40B4-BE49-F238E27FC236}">
              <a16:creationId xmlns:a16="http://schemas.microsoft.com/office/drawing/2014/main" id="{23B29522-9BCA-45B7-9F07-79142F53A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67" name="xgdvConsulta_IADU" descr="Up Arrow">
          <a:extLst>
            <a:ext uri="{FF2B5EF4-FFF2-40B4-BE49-F238E27FC236}">
              <a16:creationId xmlns:a16="http://schemas.microsoft.com/office/drawing/2014/main" id="{373A0063-C2D8-42BE-8A0D-5E207B3AD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68" name="xgdvConsulta_IADL" descr="Left Arrow">
          <a:extLst>
            <a:ext uri="{FF2B5EF4-FFF2-40B4-BE49-F238E27FC236}">
              <a16:creationId xmlns:a16="http://schemas.microsoft.com/office/drawing/2014/main" id="{5662A0D4-FFEB-423D-969A-9AC3A14BB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69" name="xgdvConsulta_IADR" descr="Right Arrow">
          <a:extLst>
            <a:ext uri="{FF2B5EF4-FFF2-40B4-BE49-F238E27FC236}">
              <a16:creationId xmlns:a16="http://schemas.microsoft.com/office/drawing/2014/main" id="{2C813198-9D32-4EB9-9C30-8A78191F9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0" name="xgdvConsulta_IADD" descr="Down Arrow">
          <a:extLst>
            <a:ext uri="{FF2B5EF4-FFF2-40B4-BE49-F238E27FC236}">
              <a16:creationId xmlns:a16="http://schemas.microsoft.com/office/drawing/2014/main" id="{50F31C6E-35BA-4A40-94D0-66577BF8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1" name="xgdvConsulta_IADU" descr="Up Arrow">
          <a:extLst>
            <a:ext uri="{FF2B5EF4-FFF2-40B4-BE49-F238E27FC236}">
              <a16:creationId xmlns:a16="http://schemas.microsoft.com/office/drawing/2014/main" id="{B6947BF6-C7FF-4EE7-A677-8792C9626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2" name="xgdvConsulta_IADL" descr="Left Arrow">
          <a:extLst>
            <a:ext uri="{FF2B5EF4-FFF2-40B4-BE49-F238E27FC236}">
              <a16:creationId xmlns:a16="http://schemas.microsoft.com/office/drawing/2014/main" id="{CB55E60D-2226-4A70-B308-686520ED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3" name="xgdvConsulta_IADR" descr="Right Arrow">
          <a:extLst>
            <a:ext uri="{FF2B5EF4-FFF2-40B4-BE49-F238E27FC236}">
              <a16:creationId xmlns:a16="http://schemas.microsoft.com/office/drawing/2014/main" id="{2E2AB328-4DE7-41DC-9092-B36FCC85D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4" name="xgdvConsulta_IADD" descr="Down Arrow">
          <a:extLst>
            <a:ext uri="{FF2B5EF4-FFF2-40B4-BE49-F238E27FC236}">
              <a16:creationId xmlns:a16="http://schemas.microsoft.com/office/drawing/2014/main" id="{550BD0D6-D2EF-405C-BCA7-EBDF6D634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5" name="xgdvConsulta_IADU" descr="Up Arrow">
          <a:extLst>
            <a:ext uri="{FF2B5EF4-FFF2-40B4-BE49-F238E27FC236}">
              <a16:creationId xmlns:a16="http://schemas.microsoft.com/office/drawing/2014/main" id="{097CE414-F5D6-4A8B-94CE-6A804E59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6" name="xgdvConsulta_IADL" descr="Left Arrow">
          <a:extLst>
            <a:ext uri="{FF2B5EF4-FFF2-40B4-BE49-F238E27FC236}">
              <a16:creationId xmlns:a16="http://schemas.microsoft.com/office/drawing/2014/main" id="{3A792675-0675-41BB-B5FE-5B4B698B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7" name="xgdvConsulta_IADR" descr="Right Arrow">
          <a:extLst>
            <a:ext uri="{FF2B5EF4-FFF2-40B4-BE49-F238E27FC236}">
              <a16:creationId xmlns:a16="http://schemas.microsoft.com/office/drawing/2014/main" id="{0A8D71B2-CA3D-42DC-BD91-7BB3ACDA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8" name="xgdvConsulta_IADD" descr="Down Arrow">
          <a:extLst>
            <a:ext uri="{FF2B5EF4-FFF2-40B4-BE49-F238E27FC236}">
              <a16:creationId xmlns:a16="http://schemas.microsoft.com/office/drawing/2014/main" id="{F39851B5-B846-4007-8FB2-3490D7140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9" name="xgdvConsulta_IADU" descr="Up Arrow">
          <a:extLst>
            <a:ext uri="{FF2B5EF4-FFF2-40B4-BE49-F238E27FC236}">
              <a16:creationId xmlns:a16="http://schemas.microsoft.com/office/drawing/2014/main" id="{EA890BEF-B57E-4105-98E8-7403EE50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0" name="xgdvConsulta_IADL" descr="Left Arrow">
          <a:extLst>
            <a:ext uri="{FF2B5EF4-FFF2-40B4-BE49-F238E27FC236}">
              <a16:creationId xmlns:a16="http://schemas.microsoft.com/office/drawing/2014/main" id="{289E7370-EA2C-4C92-B29F-209B17B4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1" name="xgdvConsulta_IADR" descr="Right Arrow">
          <a:extLst>
            <a:ext uri="{FF2B5EF4-FFF2-40B4-BE49-F238E27FC236}">
              <a16:creationId xmlns:a16="http://schemas.microsoft.com/office/drawing/2014/main" id="{1746A0E5-39DA-4FA5-A922-762E62B8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2" name="xgdvConsulta_IADD" descr="Down Arrow">
          <a:extLst>
            <a:ext uri="{FF2B5EF4-FFF2-40B4-BE49-F238E27FC236}">
              <a16:creationId xmlns:a16="http://schemas.microsoft.com/office/drawing/2014/main" id="{C06B59E7-6AAE-4EC8-BED0-C40EF429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3" name="xgdvConsulta_IADU" descr="Up Arrow">
          <a:extLst>
            <a:ext uri="{FF2B5EF4-FFF2-40B4-BE49-F238E27FC236}">
              <a16:creationId xmlns:a16="http://schemas.microsoft.com/office/drawing/2014/main" id="{A55C3758-CFF2-4714-BC8E-BE6018407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4" name="xgdvConsulta_IADL" descr="Left Arrow">
          <a:extLst>
            <a:ext uri="{FF2B5EF4-FFF2-40B4-BE49-F238E27FC236}">
              <a16:creationId xmlns:a16="http://schemas.microsoft.com/office/drawing/2014/main" id="{951118F7-8EFE-466D-A962-4590730F7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5" name="xgdvConsulta_IADR" descr="Right Arrow">
          <a:extLst>
            <a:ext uri="{FF2B5EF4-FFF2-40B4-BE49-F238E27FC236}">
              <a16:creationId xmlns:a16="http://schemas.microsoft.com/office/drawing/2014/main" id="{84768376-AAF5-484D-9355-64E16A25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6" name="xgdvConsulta_IADD" descr="Down Arrow">
          <a:extLst>
            <a:ext uri="{FF2B5EF4-FFF2-40B4-BE49-F238E27FC236}">
              <a16:creationId xmlns:a16="http://schemas.microsoft.com/office/drawing/2014/main" id="{C769E396-76D0-466F-B414-DEF499CC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7" name="xgdvConsulta_IADU" descr="Up Arrow">
          <a:extLst>
            <a:ext uri="{FF2B5EF4-FFF2-40B4-BE49-F238E27FC236}">
              <a16:creationId xmlns:a16="http://schemas.microsoft.com/office/drawing/2014/main" id="{84F55A06-C64F-4599-9127-11DFEC24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8" name="xgdvConsulta_IADL" descr="Left Arrow">
          <a:extLst>
            <a:ext uri="{FF2B5EF4-FFF2-40B4-BE49-F238E27FC236}">
              <a16:creationId xmlns:a16="http://schemas.microsoft.com/office/drawing/2014/main" id="{7862CB1C-E7CD-44E0-97ED-08E5E1C4C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9" name="xgdvConsulta_IADR" descr="Right Arrow">
          <a:extLst>
            <a:ext uri="{FF2B5EF4-FFF2-40B4-BE49-F238E27FC236}">
              <a16:creationId xmlns:a16="http://schemas.microsoft.com/office/drawing/2014/main" id="{E287BB6A-4B36-4A8A-AA58-9ECEB75BA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0" name="xgdvConsulta_IADD" descr="Down Arrow">
          <a:extLst>
            <a:ext uri="{FF2B5EF4-FFF2-40B4-BE49-F238E27FC236}">
              <a16:creationId xmlns:a16="http://schemas.microsoft.com/office/drawing/2014/main" id="{D42550C5-24FD-4ADC-887A-DD5648DB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1" name="xgdvConsulta_IADU" descr="Up Arrow">
          <a:extLst>
            <a:ext uri="{FF2B5EF4-FFF2-40B4-BE49-F238E27FC236}">
              <a16:creationId xmlns:a16="http://schemas.microsoft.com/office/drawing/2014/main" id="{10D992D4-F792-4244-A067-C9E36D4D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2" name="xgdvConsulta_IADL" descr="Left Arrow">
          <a:extLst>
            <a:ext uri="{FF2B5EF4-FFF2-40B4-BE49-F238E27FC236}">
              <a16:creationId xmlns:a16="http://schemas.microsoft.com/office/drawing/2014/main" id="{09AF6C3C-3435-45CC-9083-9636DE9B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3" name="xgdvConsulta_IADR" descr="Right Arrow">
          <a:extLst>
            <a:ext uri="{FF2B5EF4-FFF2-40B4-BE49-F238E27FC236}">
              <a16:creationId xmlns:a16="http://schemas.microsoft.com/office/drawing/2014/main" id="{22FA79FD-9716-4D28-8FD5-40213B74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4" name="xgdvConsulta_IADD" descr="Down Arrow">
          <a:extLst>
            <a:ext uri="{FF2B5EF4-FFF2-40B4-BE49-F238E27FC236}">
              <a16:creationId xmlns:a16="http://schemas.microsoft.com/office/drawing/2014/main" id="{3604D17A-10D2-457F-BE89-BF6E3AB3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5" name="xgdvConsulta_IADU" descr="Up Arrow">
          <a:extLst>
            <a:ext uri="{FF2B5EF4-FFF2-40B4-BE49-F238E27FC236}">
              <a16:creationId xmlns:a16="http://schemas.microsoft.com/office/drawing/2014/main" id="{2910EB0F-AEF5-4B4B-B5A9-41ACFA285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6" name="xgdvConsulta_IADL" descr="Left Arrow">
          <a:extLst>
            <a:ext uri="{FF2B5EF4-FFF2-40B4-BE49-F238E27FC236}">
              <a16:creationId xmlns:a16="http://schemas.microsoft.com/office/drawing/2014/main" id="{47FC2C33-A170-4D39-B7FE-629F4C63C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7" name="xgdvConsulta_IADR" descr="Right Arrow">
          <a:extLst>
            <a:ext uri="{FF2B5EF4-FFF2-40B4-BE49-F238E27FC236}">
              <a16:creationId xmlns:a16="http://schemas.microsoft.com/office/drawing/2014/main" id="{A5BA176E-9E15-4923-BC6A-3E2B29CE1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8" name="xgdvConsulta_IADD" descr="Down Arrow">
          <a:extLst>
            <a:ext uri="{FF2B5EF4-FFF2-40B4-BE49-F238E27FC236}">
              <a16:creationId xmlns:a16="http://schemas.microsoft.com/office/drawing/2014/main" id="{8AC44F63-21F7-4EA0-A97B-7D5424BB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9" name="xgdvConsulta_IADU" descr="Up Arrow">
          <a:extLst>
            <a:ext uri="{FF2B5EF4-FFF2-40B4-BE49-F238E27FC236}">
              <a16:creationId xmlns:a16="http://schemas.microsoft.com/office/drawing/2014/main" id="{0D0A464B-DAC5-41BD-994D-E1CE903BC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0" name="xgdvConsulta_IADL" descr="Left Arrow">
          <a:extLst>
            <a:ext uri="{FF2B5EF4-FFF2-40B4-BE49-F238E27FC236}">
              <a16:creationId xmlns:a16="http://schemas.microsoft.com/office/drawing/2014/main" id="{0A5B3CB4-237C-4DDF-813B-009F744C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1" name="xgdvConsulta_IADR" descr="Right Arrow">
          <a:extLst>
            <a:ext uri="{FF2B5EF4-FFF2-40B4-BE49-F238E27FC236}">
              <a16:creationId xmlns:a16="http://schemas.microsoft.com/office/drawing/2014/main" id="{D820EB9B-F972-4084-8826-909C5C09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2" name="xgdvConsulta_IADD" descr="Down Arrow">
          <a:extLst>
            <a:ext uri="{FF2B5EF4-FFF2-40B4-BE49-F238E27FC236}">
              <a16:creationId xmlns:a16="http://schemas.microsoft.com/office/drawing/2014/main" id="{36A6C425-5429-47BC-8958-3F265ECA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3" name="xgdvConsulta_IADU" descr="Up Arrow">
          <a:extLst>
            <a:ext uri="{FF2B5EF4-FFF2-40B4-BE49-F238E27FC236}">
              <a16:creationId xmlns:a16="http://schemas.microsoft.com/office/drawing/2014/main" id="{B0C2AD8C-447A-4F73-ABA4-5646DEE76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4" name="xgdvConsulta_IADL" descr="Left Arrow">
          <a:extLst>
            <a:ext uri="{FF2B5EF4-FFF2-40B4-BE49-F238E27FC236}">
              <a16:creationId xmlns:a16="http://schemas.microsoft.com/office/drawing/2014/main" id="{387EB830-50D5-4A3B-A423-0B10451B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5" name="xgdvConsulta_IADR" descr="Right Arrow">
          <a:extLst>
            <a:ext uri="{FF2B5EF4-FFF2-40B4-BE49-F238E27FC236}">
              <a16:creationId xmlns:a16="http://schemas.microsoft.com/office/drawing/2014/main" id="{8AD4CAFC-34DD-408B-9689-B073EE078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6" name="xgdvConsulta_IADD" descr="Down Arrow">
          <a:extLst>
            <a:ext uri="{FF2B5EF4-FFF2-40B4-BE49-F238E27FC236}">
              <a16:creationId xmlns:a16="http://schemas.microsoft.com/office/drawing/2014/main" id="{97B1C8A9-5EBC-4A36-A433-C55FE1B0D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7" name="xgdvConsulta_IADU" descr="Up Arrow">
          <a:extLst>
            <a:ext uri="{FF2B5EF4-FFF2-40B4-BE49-F238E27FC236}">
              <a16:creationId xmlns:a16="http://schemas.microsoft.com/office/drawing/2014/main" id="{29EC6878-2554-4E59-8D44-36192F762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8" name="xgdvConsulta_IADL" descr="Left Arrow">
          <a:extLst>
            <a:ext uri="{FF2B5EF4-FFF2-40B4-BE49-F238E27FC236}">
              <a16:creationId xmlns:a16="http://schemas.microsoft.com/office/drawing/2014/main" id="{14F95970-08D6-4814-B798-D705DBB11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9" name="xgdvConsulta_IADR" descr="Right Arrow">
          <a:extLst>
            <a:ext uri="{FF2B5EF4-FFF2-40B4-BE49-F238E27FC236}">
              <a16:creationId xmlns:a16="http://schemas.microsoft.com/office/drawing/2014/main" id="{4DE7D3F5-D5F8-49D4-B525-816E13E3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10" name="xgdvConsulta_IADD" descr="Down Arrow">
          <a:extLst>
            <a:ext uri="{FF2B5EF4-FFF2-40B4-BE49-F238E27FC236}">
              <a16:creationId xmlns:a16="http://schemas.microsoft.com/office/drawing/2014/main" id="{E23C66A1-CD58-4345-B6A9-8527853B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11" name="xgdvConsulta_IADU" descr="Up Arrow">
          <a:extLst>
            <a:ext uri="{FF2B5EF4-FFF2-40B4-BE49-F238E27FC236}">
              <a16:creationId xmlns:a16="http://schemas.microsoft.com/office/drawing/2014/main" id="{EC23721F-3AF8-4B47-8254-770B447EB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12" name="xgdvConsulta_IADL" descr="Left Arrow">
          <a:extLst>
            <a:ext uri="{FF2B5EF4-FFF2-40B4-BE49-F238E27FC236}">
              <a16:creationId xmlns:a16="http://schemas.microsoft.com/office/drawing/2014/main" id="{3FDB3E4D-3DC0-4449-A4E8-DDEA4A1E7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13" name="xgdvConsulta_IADR" descr="Right Arrow">
          <a:extLst>
            <a:ext uri="{FF2B5EF4-FFF2-40B4-BE49-F238E27FC236}">
              <a16:creationId xmlns:a16="http://schemas.microsoft.com/office/drawing/2014/main" id="{CFF07C02-41FB-468E-B9E0-677A11759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218" name="xgdvConsulta_IADD" descr="Down Arrow">
          <a:extLst>
            <a:ext uri="{FF2B5EF4-FFF2-40B4-BE49-F238E27FC236}">
              <a16:creationId xmlns:a16="http://schemas.microsoft.com/office/drawing/2014/main" id="{583ADA15-7695-D5CE-A4AE-53F29BA8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219" name="xgdvConsulta_IADU" descr="Up Arrow">
          <a:extLst>
            <a:ext uri="{FF2B5EF4-FFF2-40B4-BE49-F238E27FC236}">
              <a16:creationId xmlns:a16="http://schemas.microsoft.com/office/drawing/2014/main" id="{3CE62181-9550-A98B-43A2-BB06666AF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220" name="xgdvConsulta_IADL" descr="Left Arrow">
          <a:extLst>
            <a:ext uri="{FF2B5EF4-FFF2-40B4-BE49-F238E27FC236}">
              <a16:creationId xmlns:a16="http://schemas.microsoft.com/office/drawing/2014/main" id="{C90D07A1-2B69-EC41-D02F-3E8A800A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221" name="xgdvConsulta_IADR" descr="Right Arrow">
          <a:extLst>
            <a:ext uri="{FF2B5EF4-FFF2-40B4-BE49-F238E27FC236}">
              <a16:creationId xmlns:a16="http://schemas.microsoft.com/office/drawing/2014/main" id="{C3A9BD07-2760-A0A1-40E0-36D25B45F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2" name="xgdvConsulta_IADD" descr="Down Arrow">
          <a:extLst>
            <a:ext uri="{FF2B5EF4-FFF2-40B4-BE49-F238E27FC236}">
              <a16:creationId xmlns:a16="http://schemas.microsoft.com/office/drawing/2014/main" id="{776658CF-874C-4D43-B325-AA47DDDF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3" name="xgdvConsulta_IADU" descr="Up Arrow">
          <a:extLst>
            <a:ext uri="{FF2B5EF4-FFF2-40B4-BE49-F238E27FC236}">
              <a16:creationId xmlns:a16="http://schemas.microsoft.com/office/drawing/2014/main" id="{5EC73E2C-74D6-4E1B-A5BA-ED407CE67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4" name="xgdvConsulta_IADL" descr="Left Arrow">
          <a:extLst>
            <a:ext uri="{FF2B5EF4-FFF2-40B4-BE49-F238E27FC236}">
              <a16:creationId xmlns:a16="http://schemas.microsoft.com/office/drawing/2014/main" id="{C949A3BC-9AE7-4112-8DEA-2BAFE2CE2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5" name="xgdvConsulta_IADR" descr="Right Arrow">
          <a:extLst>
            <a:ext uri="{FF2B5EF4-FFF2-40B4-BE49-F238E27FC236}">
              <a16:creationId xmlns:a16="http://schemas.microsoft.com/office/drawing/2014/main" id="{A8681106-A8D2-43D2-805D-E7BC2A52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6" name="xgdvConsulta_IADD" descr="Down Arrow">
          <a:extLst>
            <a:ext uri="{FF2B5EF4-FFF2-40B4-BE49-F238E27FC236}">
              <a16:creationId xmlns:a16="http://schemas.microsoft.com/office/drawing/2014/main" id="{BF47023A-DC57-49E8-9C55-8D4FA629A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7" name="xgdvConsulta_IADU" descr="Up Arrow">
          <a:extLst>
            <a:ext uri="{FF2B5EF4-FFF2-40B4-BE49-F238E27FC236}">
              <a16:creationId xmlns:a16="http://schemas.microsoft.com/office/drawing/2014/main" id="{F50E8FA6-462B-4EE4-9BD1-8C313833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8" name="xgdvConsulta_IADL" descr="Left Arrow">
          <a:extLst>
            <a:ext uri="{FF2B5EF4-FFF2-40B4-BE49-F238E27FC236}">
              <a16:creationId xmlns:a16="http://schemas.microsoft.com/office/drawing/2014/main" id="{50FFDC36-E7BB-4034-83A0-26DB7046E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9" name="xgdvConsulta_IADR" descr="Right Arrow">
          <a:extLst>
            <a:ext uri="{FF2B5EF4-FFF2-40B4-BE49-F238E27FC236}">
              <a16:creationId xmlns:a16="http://schemas.microsoft.com/office/drawing/2014/main" id="{4B80461A-C08F-4BBE-A4AF-2FD4DC09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0" name="xgdvConsulta_IADD" descr="Down Arrow">
          <a:extLst>
            <a:ext uri="{FF2B5EF4-FFF2-40B4-BE49-F238E27FC236}">
              <a16:creationId xmlns:a16="http://schemas.microsoft.com/office/drawing/2014/main" id="{01A7D059-52C7-4AE4-B511-88CDA110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1" name="xgdvConsulta_IADU" descr="Up Arrow">
          <a:extLst>
            <a:ext uri="{FF2B5EF4-FFF2-40B4-BE49-F238E27FC236}">
              <a16:creationId xmlns:a16="http://schemas.microsoft.com/office/drawing/2014/main" id="{097CF65A-A685-4328-9E56-504A6231B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2" name="xgdvConsulta_IADL" descr="Left Arrow">
          <a:extLst>
            <a:ext uri="{FF2B5EF4-FFF2-40B4-BE49-F238E27FC236}">
              <a16:creationId xmlns:a16="http://schemas.microsoft.com/office/drawing/2014/main" id="{ECF22517-B7D4-405B-B971-6367C4614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3" name="xgdvConsulta_IADR" descr="Right Arrow">
          <a:extLst>
            <a:ext uri="{FF2B5EF4-FFF2-40B4-BE49-F238E27FC236}">
              <a16:creationId xmlns:a16="http://schemas.microsoft.com/office/drawing/2014/main" id="{AF56BD70-049D-40CB-B4DA-67627A94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4" name="xgdvConsulta_IADD" descr="Down Arrow">
          <a:extLst>
            <a:ext uri="{FF2B5EF4-FFF2-40B4-BE49-F238E27FC236}">
              <a16:creationId xmlns:a16="http://schemas.microsoft.com/office/drawing/2014/main" id="{88BF17B9-DB1F-4548-AAEA-869710E68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5" name="xgdvConsulta_IADU" descr="Up Arrow">
          <a:extLst>
            <a:ext uri="{FF2B5EF4-FFF2-40B4-BE49-F238E27FC236}">
              <a16:creationId xmlns:a16="http://schemas.microsoft.com/office/drawing/2014/main" id="{3B9E04B6-4C7E-4B82-9E7C-7854CC4E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6" name="xgdvConsulta_IADL" descr="Left Arrow">
          <a:extLst>
            <a:ext uri="{FF2B5EF4-FFF2-40B4-BE49-F238E27FC236}">
              <a16:creationId xmlns:a16="http://schemas.microsoft.com/office/drawing/2014/main" id="{03A4D12C-AEF4-46C3-BC76-1730E03B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7" name="xgdvConsulta_IADR" descr="Right Arrow">
          <a:extLst>
            <a:ext uri="{FF2B5EF4-FFF2-40B4-BE49-F238E27FC236}">
              <a16:creationId xmlns:a16="http://schemas.microsoft.com/office/drawing/2014/main" id="{35EED457-020B-44C5-8478-4B27555D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8" name="xgdvConsulta_IADD" descr="Down Arrow">
          <a:extLst>
            <a:ext uri="{FF2B5EF4-FFF2-40B4-BE49-F238E27FC236}">
              <a16:creationId xmlns:a16="http://schemas.microsoft.com/office/drawing/2014/main" id="{B05D09AF-08C3-44F0-8CB2-DED93288C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9" name="xgdvConsulta_IADU" descr="Up Arrow">
          <a:extLst>
            <a:ext uri="{FF2B5EF4-FFF2-40B4-BE49-F238E27FC236}">
              <a16:creationId xmlns:a16="http://schemas.microsoft.com/office/drawing/2014/main" id="{74650DB9-3894-4167-9637-A7068FEF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40" name="xgdvConsulta_IADL" descr="Left Arrow">
          <a:extLst>
            <a:ext uri="{FF2B5EF4-FFF2-40B4-BE49-F238E27FC236}">
              <a16:creationId xmlns:a16="http://schemas.microsoft.com/office/drawing/2014/main" id="{23427727-452E-43AA-A129-EE9372B93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41" name="xgdvConsulta_IADR" descr="Right Arrow">
          <a:extLst>
            <a:ext uri="{FF2B5EF4-FFF2-40B4-BE49-F238E27FC236}">
              <a16:creationId xmlns:a16="http://schemas.microsoft.com/office/drawing/2014/main" id="{68C3A0F3-FC63-4A6B-91BC-47EAAED02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42" name="xgdvConsulta_IADD" descr="Down Arrow">
          <a:extLst>
            <a:ext uri="{FF2B5EF4-FFF2-40B4-BE49-F238E27FC236}">
              <a16:creationId xmlns:a16="http://schemas.microsoft.com/office/drawing/2014/main" id="{007BF607-0E2C-41CE-9242-D9F63F15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43" name="xgdvConsulta_IADU" descr="Up Arrow">
          <a:extLst>
            <a:ext uri="{FF2B5EF4-FFF2-40B4-BE49-F238E27FC236}">
              <a16:creationId xmlns:a16="http://schemas.microsoft.com/office/drawing/2014/main" id="{10E5582E-7A82-4EA7-B8E5-A798B6B3F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44" name="xgdvConsulta_IADL" descr="Left Arrow">
          <a:extLst>
            <a:ext uri="{FF2B5EF4-FFF2-40B4-BE49-F238E27FC236}">
              <a16:creationId xmlns:a16="http://schemas.microsoft.com/office/drawing/2014/main" id="{867A24F3-312D-4F5C-8A27-910C831A4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45" name="xgdvConsulta_IADR" descr="Right Arrow">
          <a:extLst>
            <a:ext uri="{FF2B5EF4-FFF2-40B4-BE49-F238E27FC236}">
              <a16:creationId xmlns:a16="http://schemas.microsoft.com/office/drawing/2014/main" id="{155D7E72-74F4-45C8-91EE-47135108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FFC684CB-0504-0355-484A-EA7B2592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12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41B72A30-7FDF-0AA8-28E0-29EE7B29E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12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4" name="xgdvConsulta_IADL" descr="Left Arrow">
          <a:extLst>
            <a:ext uri="{FF2B5EF4-FFF2-40B4-BE49-F238E27FC236}">
              <a16:creationId xmlns:a16="http://schemas.microsoft.com/office/drawing/2014/main" id="{6313C95D-45ED-11DD-5856-FEE7733B6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12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5" name="xgdvConsulta_IADR" descr="Right Arrow">
          <a:extLst>
            <a:ext uri="{FF2B5EF4-FFF2-40B4-BE49-F238E27FC236}">
              <a16:creationId xmlns:a16="http://schemas.microsoft.com/office/drawing/2014/main" id="{C05C33DC-E77B-23BE-650A-57827E97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12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6" name="xgdvConsulta_IADD" descr="Down Arrow">
          <a:extLst>
            <a:ext uri="{FF2B5EF4-FFF2-40B4-BE49-F238E27FC236}">
              <a16:creationId xmlns:a16="http://schemas.microsoft.com/office/drawing/2014/main" id="{09F1DB56-8FEB-98E5-D7D6-4E2CC0FD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08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7" name="xgdvConsulta_IADU" descr="Up Arrow">
          <a:extLst>
            <a:ext uri="{FF2B5EF4-FFF2-40B4-BE49-F238E27FC236}">
              <a16:creationId xmlns:a16="http://schemas.microsoft.com/office/drawing/2014/main" id="{2C1AF39F-C514-F9E2-E832-4953FF36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08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8" name="xgdvConsulta_IADL" descr="Left Arrow">
          <a:extLst>
            <a:ext uri="{FF2B5EF4-FFF2-40B4-BE49-F238E27FC236}">
              <a16:creationId xmlns:a16="http://schemas.microsoft.com/office/drawing/2014/main" id="{0A27597D-C256-50E6-2F3C-0961D10D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08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9" name="xgdvConsulta_IADR" descr="Right Arrow">
          <a:extLst>
            <a:ext uri="{FF2B5EF4-FFF2-40B4-BE49-F238E27FC236}">
              <a16:creationId xmlns:a16="http://schemas.microsoft.com/office/drawing/2014/main" id="{AB92BD0B-FB41-F536-14CC-2A097B390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08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0" name="xgdvConsulta_IADD" descr="Down Arrow">
          <a:extLst>
            <a:ext uri="{FF2B5EF4-FFF2-40B4-BE49-F238E27FC236}">
              <a16:creationId xmlns:a16="http://schemas.microsoft.com/office/drawing/2014/main" id="{F45A48D2-0EBA-DE69-2567-E037F8A8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24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1" name="xgdvConsulta_IADU" descr="Up Arrow">
          <a:extLst>
            <a:ext uri="{FF2B5EF4-FFF2-40B4-BE49-F238E27FC236}">
              <a16:creationId xmlns:a16="http://schemas.microsoft.com/office/drawing/2014/main" id="{DB890F58-5450-B138-0506-42AFD84ED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24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2" name="xgdvConsulta_IADL" descr="Left Arrow">
          <a:extLst>
            <a:ext uri="{FF2B5EF4-FFF2-40B4-BE49-F238E27FC236}">
              <a16:creationId xmlns:a16="http://schemas.microsoft.com/office/drawing/2014/main" id="{E702D120-BF8C-A7F3-40FD-C245FE0B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424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3" name="xgdvConsulta_IADR" descr="Right Arrow">
          <a:extLst>
            <a:ext uri="{FF2B5EF4-FFF2-40B4-BE49-F238E27FC236}">
              <a16:creationId xmlns:a16="http://schemas.microsoft.com/office/drawing/2014/main" id="{EF8581FF-4C33-8162-BDA3-14C650423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24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4" name="xgdvConsulta_IADD" descr="Down Arrow">
          <a:extLst>
            <a:ext uri="{FF2B5EF4-FFF2-40B4-BE49-F238E27FC236}">
              <a16:creationId xmlns:a16="http://schemas.microsoft.com/office/drawing/2014/main" id="{889A3BA2-D72E-B5CD-459D-4F60F7659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33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5" name="xgdvConsulta_IADU" descr="Up Arrow">
          <a:extLst>
            <a:ext uri="{FF2B5EF4-FFF2-40B4-BE49-F238E27FC236}">
              <a16:creationId xmlns:a16="http://schemas.microsoft.com/office/drawing/2014/main" id="{3DD069B3-0F6E-05EF-3249-8B4ABA5E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33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6" name="xgdvConsulta_IADL" descr="Left Arrow">
          <a:extLst>
            <a:ext uri="{FF2B5EF4-FFF2-40B4-BE49-F238E27FC236}">
              <a16:creationId xmlns:a16="http://schemas.microsoft.com/office/drawing/2014/main" id="{E17C0552-4FB1-8A5B-6D79-CF26D9479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33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7" name="xgdvConsulta_IADR" descr="Right Arrow">
          <a:extLst>
            <a:ext uri="{FF2B5EF4-FFF2-40B4-BE49-F238E27FC236}">
              <a16:creationId xmlns:a16="http://schemas.microsoft.com/office/drawing/2014/main" id="{21574B3D-A901-7FDF-9393-3BD1A32B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33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8" name="xgdvConsulta_IADD" descr="Down Arrow">
          <a:extLst>
            <a:ext uri="{FF2B5EF4-FFF2-40B4-BE49-F238E27FC236}">
              <a16:creationId xmlns:a16="http://schemas.microsoft.com/office/drawing/2014/main" id="{979DD48E-4DA3-94D8-1B08-E79B2FA84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35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19" name="xgdvConsulta_IADU" descr="Up Arrow">
          <a:extLst>
            <a:ext uri="{FF2B5EF4-FFF2-40B4-BE49-F238E27FC236}">
              <a16:creationId xmlns:a16="http://schemas.microsoft.com/office/drawing/2014/main" id="{1764C655-E2EF-76DD-20B1-CC7B73D7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35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20" name="xgdvConsulta_IADL" descr="Left Arrow">
          <a:extLst>
            <a:ext uri="{FF2B5EF4-FFF2-40B4-BE49-F238E27FC236}">
              <a16:creationId xmlns:a16="http://schemas.microsoft.com/office/drawing/2014/main" id="{2AE45A9B-24BF-7F3A-CCA5-222B3F93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435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21" name="xgdvConsulta_IADR" descr="Right Arrow">
          <a:extLst>
            <a:ext uri="{FF2B5EF4-FFF2-40B4-BE49-F238E27FC236}">
              <a16:creationId xmlns:a16="http://schemas.microsoft.com/office/drawing/2014/main" id="{5AA7B13F-68BE-1426-E1B6-5C1E8291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35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27AAC0D3-2B14-0C2B-C02A-2F11391A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17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604DD1A5-3258-2770-4A25-2680D596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17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4" name="xgdvConsulta_IADL" descr="Left Arrow">
          <a:extLst>
            <a:ext uri="{FF2B5EF4-FFF2-40B4-BE49-F238E27FC236}">
              <a16:creationId xmlns:a16="http://schemas.microsoft.com/office/drawing/2014/main" id="{358912D5-95AB-4076-CCB1-3EE481F2E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17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5" name="xgdvConsulta_IADR" descr="Right Arrow">
          <a:extLst>
            <a:ext uri="{FF2B5EF4-FFF2-40B4-BE49-F238E27FC236}">
              <a16:creationId xmlns:a16="http://schemas.microsoft.com/office/drawing/2014/main" id="{CA75D055-6EEA-9098-D1B3-7AA8C9F54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17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6" name="xgdvConsulta_IADD" descr="Down Arrow">
          <a:extLst>
            <a:ext uri="{FF2B5EF4-FFF2-40B4-BE49-F238E27FC236}">
              <a16:creationId xmlns:a16="http://schemas.microsoft.com/office/drawing/2014/main" id="{136AB3E2-94E7-DA32-46DD-90C73342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24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7" name="xgdvConsulta_IADU" descr="Up Arrow">
          <a:extLst>
            <a:ext uri="{FF2B5EF4-FFF2-40B4-BE49-F238E27FC236}">
              <a16:creationId xmlns:a16="http://schemas.microsoft.com/office/drawing/2014/main" id="{5762D4B9-6C33-9975-984E-E5AD4AE8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24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8" name="xgdvConsulta_IADL" descr="Left Arrow">
          <a:extLst>
            <a:ext uri="{FF2B5EF4-FFF2-40B4-BE49-F238E27FC236}">
              <a16:creationId xmlns:a16="http://schemas.microsoft.com/office/drawing/2014/main" id="{F88ADF07-EE31-046E-8881-39F642FFA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24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9" name="xgdvConsulta_IADR" descr="Right Arrow">
          <a:extLst>
            <a:ext uri="{FF2B5EF4-FFF2-40B4-BE49-F238E27FC236}">
              <a16:creationId xmlns:a16="http://schemas.microsoft.com/office/drawing/2014/main" id="{45E41D92-69A8-9B39-A0CA-9B61A65A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24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10" name="xgdvConsulta_IADD" descr="Down Arrow">
          <a:extLst>
            <a:ext uri="{FF2B5EF4-FFF2-40B4-BE49-F238E27FC236}">
              <a16:creationId xmlns:a16="http://schemas.microsoft.com/office/drawing/2014/main" id="{92D79B77-D2D0-B23B-165A-5FD921F6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365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11" name="xgdvConsulta_IADU" descr="Up Arrow">
          <a:extLst>
            <a:ext uri="{FF2B5EF4-FFF2-40B4-BE49-F238E27FC236}">
              <a16:creationId xmlns:a16="http://schemas.microsoft.com/office/drawing/2014/main" id="{ABA5C2A0-0556-0E44-A6A2-EA141871B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365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12" name="xgdvConsulta_IADL" descr="Left Arrow">
          <a:extLst>
            <a:ext uri="{FF2B5EF4-FFF2-40B4-BE49-F238E27FC236}">
              <a16:creationId xmlns:a16="http://schemas.microsoft.com/office/drawing/2014/main" id="{46CEFAE7-B9D1-EF13-11EC-39957D75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365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13" name="xgdvConsulta_IADR" descr="Right Arrow">
          <a:extLst>
            <a:ext uri="{FF2B5EF4-FFF2-40B4-BE49-F238E27FC236}">
              <a16:creationId xmlns:a16="http://schemas.microsoft.com/office/drawing/2014/main" id="{B11C00BE-7EED-51A0-F58F-A00336B7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365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14" name="xgdvConsulta_IADD" descr="Down Arrow">
          <a:extLst>
            <a:ext uri="{FF2B5EF4-FFF2-40B4-BE49-F238E27FC236}">
              <a16:creationId xmlns:a16="http://schemas.microsoft.com/office/drawing/2014/main" id="{AB02733D-DB99-02C6-51C8-54BF72245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38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15" name="xgdvConsulta_IADU" descr="Up Arrow">
          <a:extLst>
            <a:ext uri="{FF2B5EF4-FFF2-40B4-BE49-F238E27FC236}">
              <a16:creationId xmlns:a16="http://schemas.microsoft.com/office/drawing/2014/main" id="{9042710B-6B9D-F68A-5F12-2DAC3B24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38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16" name="xgdvConsulta_IADL" descr="Left Arrow">
          <a:extLst>
            <a:ext uri="{FF2B5EF4-FFF2-40B4-BE49-F238E27FC236}">
              <a16:creationId xmlns:a16="http://schemas.microsoft.com/office/drawing/2014/main" id="{460ADDAF-40EA-9642-40AD-5E74570D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438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314</xdr:row>
      <xdr:rowOff>0</xdr:rowOff>
    </xdr:from>
    <xdr:to>
      <xdr:col>7</xdr:col>
      <xdr:colOff>9525</xdr:colOff>
      <xdr:row>314</xdr:row>
      <xdr:rowOff>9525</xdr:rowOff>
    </xdr:to>
    <xdr:pic>
      <xdr:nvPicPr>
        <xdr:cNvPr id="17" name="xgdvConsulta_IADR" descr="Right Arrow">
          <a:extLst>
            <a:ext uri="{FF2B5EF4-FFF2-40B4-BE49-F238E27FC236}">
              <a16:creationId xmlns:a16="http://schemas.microsoft.com/office/drawing/2014/main" id="{1E91895A-96B5-B66C-873B-F727066B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38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2.xlsx" TargetMode="External"/><Relationship Id="rId2" Type="http://schemas.openxmlformats.org/officeDocument/2006/relationships/externalLinkPath" Target="https://ntcorg-my.sharepoint.com/personal/economia_ntc_org_br/Documents/EXC_DECO/FIPENV/INCTF2.xlsx" TargetMode="External"/><Relationship Id="rId1" Type="http://schemas.openxmlformats.org/officeDocument/2006/relationships/externalLinkPath" Target="/personal/economia_ntc_org_br/Documents/EXC_DECO/FIPENV/INCTF2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15.xls" TargetMode="External"/><Relationship Id="rId1" Type="http://schemas.openxmlformats.org/officeDocument/2006/relationships/externalLinkPath" Target="/personal/economia_ntc_org_br/documents/EXC_DECO/DOL&#193;R%20M&#201;DIO/DOL&#193;R%20MENSAL_2015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16.xls" TargetMode="External"/><Relationship Id="rId1" Type="http://schemas.openxmlformats.org/officeDocument/2006/relationships/externalLinkPath" Target="/personal/economia_ntc_org_br/documents/EXC_DECO/DOL&#193;R%20M&#201;DIO/DOL&#193;R%20MENSAL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17.xls" TargetMode="External"/><Relationship Id="rId1" Type="http://schemas.openxmlformats.org/officeDocument/2006/relationships/externalLinkPath" Target="/personal/economia_ntc_org_br/documents/EXC_DECO/DOL&#193;R%20M&#201;DIO/DOL&#193;R%20MENSAL_2017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18.xls" TargetMode="External"/><Relationship Id="rId1" Type="http://schemas.openxmlformats.org/officeDocument/2006/relationships/externalLinkPath" Target="/personal/economia_ntc_org_br/documents/EXC_DECO/DOL&#193;R%20M&#201;DIO/DOL&#193;R%20MENSAL_2018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19.xls" TargetMode="External"/><Relationship Id="rId1" Type="http://schemas.openxmlformats.org/officeDocument/2006/relationships/externalLinkPath" Target="/personal/economia_ntc_org_br/documents/EXC_DECO/DOL&#193;R%20M&#201;DIO/DOL&#193;R%20MENSAL_2019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20.xls" TargetMode="External"/><Relationship Id="rId1" Type="http://schemas.openxmlformats.org/officeDocument/2006/relationships/externalLinkPath" Target="/personal/economia_ntc_org_br/documents/EXC_DECO/DOL&#193;R%20M&#201;DIO/DOL&#193;R%20MENSAL_2020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21.xls" TargetMode="External"/><Relationship Id="rId1" Type="http://schemas.openxmlformats.org/officeDocument/2006/relationships/externalLinkPath" Target="/personal/economia_ntc_org_br/documents/EXC_DECO/DOL&#193;R%20M&#201;DIO/DOL&#193;R%20MENSAL_2021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22.xls" TargetMode="External"/><Relationship Id="rId1" Type="http://schemas.openxmlformats.org/officeDocument/2006/relationships/externalLinkPath" Target="/personal/economia_ntc_org_br/documents/EXC_DECO/DOL&#193;R%20M&#201;DIO/DOL&#193;R%20MENSAL_2022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23.xls" TargetMode="External"/><Relationship Id="rId1" Type="http://schemas.openxmlformats.org/officeDocument/2006/relationships/externalLinkPath" Target="/personal/economia_ntc_org_br/documents/EXC_DECO/DOL&#193;R%20M&#201;DIO/DOL&#193;R%20MENSAL_2023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24.xls" TargetMode="External"/><Relationship Id="rId1" Type="http://schemas.openxmlformats.org/officeDocument/2006/relationships/externalLinkPath" Target="/personal/economia_ntc_org_br/documents/EXC_DECO/DOL&#193;R%20M&#201;DIO/DOL&#193;R%20MENSAL_2024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L.xlsx" TargetMode="External"/><Relationship Id="rId2" Type="http://schemas.openxmlformats.org/officeDocument/2006/relationships/externalLinkPath" Target="https://ntcorg-my.sharepoint.com/personal/economia_ntc_org_br/Documents/EXC_DECO/FIPENV/INCTL.xlsx" TargetMode="External"/><Relationship Id="rId1" Type="http://schemas.openxmlformats.org/officeDocument/2006/relationships/externalLinkPath" Target="/personal/economia_ntc_org_br/Documents/EXC_DECO/FIPENV/INCTL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25.xls" TargetMode="External"/><Relationship Id="rId1" Type="http://schemas.openxmlformats.org/officeDocument/2006/relationships/externalLinkPath" Target="/personal/economia_ntc_org_br/documents/EXC_DECO/DOL&#193;R%20M&#201;DIO/DOL&#193;R%20MENSAL_2025.xls" TargetMode="External"/></Relationships>
</file>

<file path=xl/externalLinks/_rels/externalLink2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L&#193;R%20M&#201;DIO/DOL&#193;R%20MENSAL_2026.xls" TargetMode="External"/><Relationship Id="rId2" Type="http://schemas.openxmlformats.org/officeDocument/2006/relationships/externalLinkPath" Target="https://ntcorg-my.sharepoint.com/personal/economia_ntc_org_br/Documents/EXC_DECO/DOL&#193;R%20M&#201;DIO/DOL&#193;R%20MENSAL_2026.xls" TargetMode="External"/><Relationship Id="rId1" Type="http://schemas.openxmlformats.org/officeDocument/2006/relationships/externalLinkPath" Target="/personal/economia_ntc_org_br/Documents/EXC_DECO/DOL&#193;R%20M&#201;DIO/DOL&#193;R%20MENSAL_2026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FIPENV/INCTFU2.XLS" TargetMode="External"/><Relationship Id="rId1" Type="http://schemas.openxmlformats.org/officeDocument/2006/relationships/externalLinkPath" Target="/personal/economia_ntc_org_br/documents/EXC_DECO/FIPENV/INCTFU2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ersonal/economia_ntc_org_br/Documents/EXC_DECO/INDTRANS/INDIPRE_0125.xlsx" TargetMode="External"/><Relationship Id="rId1" Type="http://schemas.openxmlformats.org/officeDocument/2006/relationships/externalLinkPath" Target="/personal/economia_ntc_org_br/documents/personal/economia_ntc_org_br/Documents/EXC_DECO/INDTRANS/INDIPRE_01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EXC_DECO\INDTRANS\INDIPRE_0125.xlsx" TargetMode="External"/><Relationship Id="rId1" Type="http://schemas.openxmlformats.org/officeDocument/2006/relationships/externalLinkPath" Target="INDIPRE_012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_DECO\INSUMOS\EVINSU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2\Aplic\EXC_DECO\INSUMOS\EVINSUM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14.xls" TargetMode="External"/><Relationship Id="rId1" Type="http://schemas.openxmlformats.org/officeDocument/2006/relationships/externalLinkPath" Target="/personal/economia_ntc_org_br/documents/EXC_DECO/DOL&#193;R%20M&#201;DIO/DOL&#193;R%20MENSAL_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o usar"/>
      <sheetName val="geral10km"/>
      <sheetName val="geral40km"/>
      <sheetName val="geral90km"/>
      <sheetName val="Comum"/>
      <sheetName val="Resumo"/>
      <sheetName val="6000x90km"/>
      <sheetName val="6000x40km"/>
      <sheetName val="6000x10km"/>
      <sheetName val="2400x90km"/>
      <sheetName val="2400x40km"/>
      <sheetName val="2400x10km"/>
      <sheetName val="800x90km"/>
      <sheetName val="800x40km"/>
      <sheetName val="800x10km"/>
      <sheetName val="400x90km"/>
      <sheetName val="400x40km"/>
      <sheetName val="400x10km"/>
      <sheetName val="50x90km"/>
      <sheetName val="50x40km"/>
      <sheetName val="50x10km"/>
      <sheetName val="REAJ 6.000"/>
      <sheetName val="REAJ 2.400"/>
      <sheetName val="REAJ 800"/>
      <sheetName val="REAJ 400"/>
      <sheetName val="REAJ 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95">
          <cell r="D395">
            <v>1119.7013988697524</v>
          </cell>
          <cell r="E395">
            <v>0.65104157559765508</v>
          </cell>
          <cell r="F395">
            <v>4.3654816037002941</v>
          </cell>
          <cell r="G395">
            <v>8.0463238077973287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4">
          <cell r="C24">
            <v>2.6623000000000001</v>
          </cell>
        </row>
      </sheetData>
      <sheetData sheetId="1">
        <row r="18">
          <cell r="C18">
            <v>2.8782000000000001</v>
          </cell>
        </row>
      </sheetData>
      <sheetData sheetId="2">
        <row r="25">
          <cell r="C25">
            <v>3.2080000000000002</v>
          </cell>
        </row>
      </sheetData>
      <sheetData sheetId="3">
        <row r="23">
          <cell r="C23">
            <v>2.9935999999999998</v>
          </cell>
        </row>
      </sheetData>
      <sheetData sheetId="4">
        <row r="23">
          <cell r="C23">
            <v>3.1787999999999998</v>
          </cell>
        </row>
      </sheetData>
      <sheetData sheetId="5">
        <row r="24">
          <cell r="C24">
            <v>3.1025999999999998</v>
          </cell>
        </row>
      </sheetData>
      <sheetData sheetId="6">
        <row r="26">
          <cell r="C26">
            <v>3.3940000000000001</v>
          </cell>
        </row>
      </sheetData>
      <sheetData sheetId="7">
        <row r="24">
          <cell r="C24">
            <v>3.6467000000000001</v>
          </cell>
        </row>
      </sheetData>
      <sheetData sheetId="8">
        <row r="24">
          <cell r="C24">
            <v>3.9729000000000001</v>
          </cell>
        </row>
      </sheetData>
      <sheetData sheetId="9">
        <row r="24">
          <cell r="C24">
            <v>3.8589000000000002</v>
          </cell>
        </row>
      </sheetData>
      <sheetData sheetId="10">
        <row r="23">
          <cell r="C23">
            <v>3.8506</v>
          </cell>
        </row>
      </sheetData>
      <sheetData sheetId="11">
        <row r="25">
          <cell r="C25">
            <v>3.9047999999999998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3">
          <cell r="C23">
            <v>4.0427999999999997</v>
          </cell>
        </row>
      </sheetData>
      <sheetData sheetId="1">
        <row r="22">
          <cell r="C22">
            <v>3.9796</v>
          </cell>
        </row>
      </sheetData>
      <sheetData sheetId="2">
        <row r="25">
          <cell r="C25">
            <v>3.5589</v>
          </cell>
        </row>
      </sheetData>
      <sheetData sheetId="3">
        <row r="23">
          <cell r="C23">
            <v>3.4508000000000001</v>
          </cell>
        </row>
      </sheetData>
      <sheetData sheetId="4">
        <row r="24">
          <cell r="C24">
            <v>3.5951</v>
          </cell>
        </row>
      </sheetData>
      <sheetData sheetId="5">
        <row r="25">
          <cell r="C25">
            <v>3.2098</v>
          </cell>
        </row>
      </sheetData>
      <sheetData sheetId="6">
        <row r="24">
          <cell r="C24">
            <v>3.2389999999999999</v>
          </cell>
        </row>
      </sheetData>
      <sheetData sheetId="7">
        <row r="26">
          <cell r="C26">
            <v>3.2403</v>
          </cell>
        </row>
      </sheetData>
      <sheetData sheetId="8">
        <row r="25">
          <cell r="C25">
            <v>3.2563714285714291</v>
          </cell>
        </row>
      </sheetData>
      <sheetData sheetId="9">
        <row r="23">
          <cell r="C23">
            <v>3.1810999999999998</v>
          </cell>
        </row>
      </sheetData>
      <sheetData sheetId="10">
        <row r="23">
          <cell r="C23">
            <v>3.3967000000000001</v>
          </cell>
        </row>
      </sheetData>
      <sheetData sheetId="11">
        <row r="25">
          <cell r="C25">
            <v>3.2591000000000001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5">
          <cell r="C25">
            <v>3.1269999999999998</v>
          </cell>
        </row>
      </sheetData>
      <sheetData sheetId="1">
        <row r="21">
          <cell r="C21">
            <v>3.0992999999999999</v>
          </cell>
        </row>
      </sheetData>
      <sheetData sheetId="2">
        <row r="26">
          <cell r="C26">
            <v>3.1684000000000001</v>
          </cell>
        </row>
      </sheetData>
      <sheetData sheetId="3">
        <row r="21">
          <cell r="C21">
            <v>3.1983999999999999</v>
          </cell>
        </row>
      </sheetData>
      <sheetData sheetId="4">
        <row r="25">
          <cell r="C25">
            <v>3.2437</v>
          </cell>
        </row>
      </sheetData>
      <sheetData sheetId="5">
        <row r="24">
          <cell r="C24">
            <v>3.3081999999999998</v>
          </cell>
        </row>
      </sheetData>
      <sheetData sheetId="6">
        <row r="24">
          <cell r="C24">
            <v>3.1307</v>
          </cell>
        </row>
      </sheetData>
      <sheetData sheetId="7">
        <row r="26">
          <cell r="C26">
            <v>3.1471</v>
          </cell>
        </row>
      </sheetData>
      <sheetData sheetId="8">
        <row r="23">
          <cell r="C23">
            <v>3.1680000000000001</v>
          </cell>
        </row>
      </sheetData>
      <sheetData sheetId="9">
        <row r="24">
          <cell r="C24">
            <v>3.2768999999999999</v>
          </cell>
        </row>
      </sheetData>
      <sheetData sheetId="10">
        <row r="23">
          <cell r="C23">
            <v>3.2616000000000001</v>
          </cell>
        </row>
      </sheetData>
      <sheetData sheetId="11">
        <row r="23">
          <cell r="C23">
            <v>3.3079999999999998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5">
          <cell r="C25">
            <v>3.1623999999999999</v>
          </cell>
        </row>
      </sheetData>
      <sheetData sheetId="1">
        <row r="21">
          <cell r="C21">
            <v>3.2448999999999999</v>
          </cell>
        </row>
      </sheetData>
      <sheetData sheetId="2">
        <row r="24">
          <cell r="C24">
            <v>3.3237999999999999</v>
          </cell>
        </row>
      </sheetData>
      <sheetData sheetId="3">
        <row r="24">
          <cell r="C24">
            <v>3.4811000000000001</v>
          </cell>
        </row>
      </sheetData>
      <sheetData sheetId="4">
        <row r="24">
          <cell r="C24">
            <v>3.7370000000000001</v>
          </cell>
        </row>
      </sheetData>
      <sheetData sheetId="5">
        <row r="24">
          <cell r="C24">
            <v>3.8557999999999999</v>
          </cell>
        </row>
      </sheetData>
      <sheetData sheetId="6">
        <row r="25">
          <cell r="C25">
            <v>3.7549000000000001</v>
          </cell>
        </row>
      </sheetData>
      <sheetData sheetId="7">
        <row r="26">
          <cell r="C26">
            <v>4.1353</v>
          </cell>
        </row>
      </sheetData>
      <sheetData sheetId="8">
        <row r="22">
          <cell r="C22">
            <v>4.0038999999999998</v>
          </cell>
        </row>
      </sheetData>
      <sheetData sheetId="9">
        <row r="25">
          <cell r="C25">
            <v>3.7176999999999998</v>
          </cell>
        </row>
      </sheetData>
      <sheetData sheetId="10">
        <row r="23">
          <cell r="C23">
            <v>3.8633000000000002</v>
          </cell>
        </row>
      </sheetData>
      <sheetData sheetId="11">
        <row r="23">
          <cell r="C23">
            <v>3.8748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4">
          <cell r="C24">
            <v>3.7151000000000001</v>
          </cell>
        </row>
      </sheetData>
      <sheetData sheetId="1">
        <row r="23">
          <cell r="C23">
            <v>3.7385000000000002</v>
          </cell>
        </row>
      </sheetData>
      <sheetData sheetId="2">
        <row r="22">
          <cell r="C22">
            <v>3.8967000000000001</v>
          </cell>
        </row>
      </sheetData>
      <sheetData sheetId="3">
        <row r="24">
          <cell r="C24">
            <v>3.9453</v>
          </cell>
        </row>
      </sheetData>
      <sheetData sheetId="4">
        <row r="25">
          <cell r="C25">
            <v>3.9407000000000001</v>
          </cell>
        </row>
      </sheetData>
      <sheetData sheetId="5">
        <row r="22">
          <cell r="C22">
            <v>3.8321999999999998</v>
          </cell>
        </row>
      </sheetData>
      <sheetData sheetId="6">
        <row r="26">
          <cell r="C26">
            <v>3.7648999999999999</v>
          </cell>
        </row>
      </sheetData>
      <sheetData sheetId="7">
        <row r="25">
          <cell r="C25">
            <v>4.1384999999999996</v>
          </cell>
        </row>
      </sheetData>
      <sheetData sheetId="8">
        <row r="24">
          <cell r="C24">
            <v>4.1643999999999997</v>
          </cell>
        </row>
      </sheetData>
      <sheetData sheetId="9">
        <row r="26">
          <cell r="C26">
            <v>4.0041000000000002</v>
          </cell>
        </row>
      </sheetData>
      <sheetData sheetId="10">
        <row r="23">
          <cell r="C23">
            <v>4.2240000000000002</v>
          </cell>
        </row>
      </sheetData>
      <sheetData sheetId="11">
        <row r="24">
          <cell r="C24">
            <v>4.0307000000000004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5">
          <cell r="C25">
            <v>4.2694999999999999</v>
          </cell>
        </row>
      </sheetData>
      <sheetData sheetId="1">
        <row r="21">
          <cell r="C21">
            <v>4.4987000000000004</v>
          </cell>
        </row>
      </sheetData>
      <sheetData sheetId="2">
        <row r="25">
          <cell r="C25">
            <v>5.1986999999999997</v>
          </cell>
        </row>
      </sheetData>
      <sheetData sheetId="3">
        <row r="23">
          <cell r="C23">
            <v>5.4269999999999996</v>
          </cell>
        </row>
      </sheetData>
      <sheetData sheetId="4">
        <row r="23">
          <cell r="C23">
            <v>5.4263000000000003</v>
          </cell>
        </row>
      </sheetData>
      <sheetData sheetId="5">
        <row r="24">
          <cell r="C24">
            <v>5.476</v>
          </cell>
        </row>
      </sheetData>
      <sheetData sheetId="6">
        <row r="26">
          <cell r="C26">
            <v>5.2032999999999996</v>
          </cell>
        </row>
      </sheetData>
      <sheetData sheetId="7">
        <row r="24">
          <cell r="C24">
            <v>5.4713000000000003</v>
          </cell>
        </row>
      </sheetData>
      <sheetData sheetId="8">
        <row r="24">
          <cell r="C24">
            <v>5.6406999999999998</v>
          </cell>
        </row>
      </sheetData>
      <sheetData sheetId="9">
        <row r="24">
          <cell r="C24">
            <v>5.7717999999999998</v>
          </cell>
        </row>
      </sheetData>
      <sheetData sheetId="10">
        <row r="23">
          <cell r="C23">
            <v>5.3316999999999997</v>
          </cell>
        </row>
      </sheetData>
      <sheetData sheetId="11">
        <row r="25">
          <cell r="C25">
            <v>5.1966999999999999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3">
          <cell r="C23">
            <v>5.4759000000000002</v>
          </cell>
        </row>
      </sheetData>
      <sheetData sheetId="1">
        <row r="21">
          <cell r="C21">
            <v>5.5301999999999998</v>
          </cell>
        </row>
      </sheetData>
      <sheetData sheetId="2">
        <row r="26">
          <cell r="C26">
            <v>5.6973000000000003</v>
          </cell>
        </row>
      </sheetData>
      <sheetData sheetId="3">
        <row r="23">
          <cell r="C23">
            <v>5.4036</v>
          </cell>
        </row>
      </sheetData>
      <sheetData sheetId="4">
        <row r="24">
          <cell r="C24">
            <v>5.2321999999999997</v>
          </cell>
        </row>
      </sheetData>
      <sheetData sheetId="5">
        <row r="24">
          <cell r="C24">
            <v>5.0022000000000002</v>
          </cell>
        </row>
      </sheetData>
      <sheetData sheetId="6">
        <row r="25">
          <cell r="C25">
            <v>5.1215999999999999</v>
          </cell>
        </row>
      </sheetData>
      <sheetData sheetId="7">
        <row r="25">
          <cell r="C25">
            <v>5.1433</v>
          </cell>
        </row>
      </sheetData>
      <sheetData sheetId="8">
        <row r="24">
          <cell r="C24">
            <v>5.4394</v>
          </cell>
        </row>
      </sheetData>
      <sheetData sheetId="9">
        <row r="23">
          <cell r="C23">
            <v>5.6429999999999998</v>
          </cell>
        </row>
      </sheetData>
      <sheetData sheetId="10">
        <row r="23">
          <cell r="C23">
            <v>5.6199000000000003</v>
          </cell>
        </row>
      </sheetData>
      <sheetData sheetId="11">
        <row r="26">
          <cell r="C26">
            <v>5.5804999999999998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4">
          <cell r="C24">
            <v>5.3574000000000002</v>
          </cell>
        </row>
      </sheetData>
      <sheetData sheetId="1">
        <row r="22">
          <cell r="C22">
            <v>5.1394000000000002</v>
          </cell>
        </row>
      </sheetData>
      <sheetData sheetId="2">
        <row r="25">
          <cell r="C25">
            <v>4.7378</v>
          </cell>
        </row>
      </sheetData>
      <sheetData sheetId="3">
        <row r="22">
          <cell r="C22">
            <v>4.9191000000000003</v>
          </cell>
        </row>
      </sheetData>
      <sheetData sheetId="4">
        <row r="25">
          <cell r="C25">
            <v>4.7289000000000003</v>
          </cell>
        </row>
      </sheetData>
      <sheetData sheetId="5">
        <row r="24">
          <cell r="C24">
            <v>5.2380000000000004</v>
          </cell>
        </row>
      </sheetData>
      <sheetData sheetId="6">
        <row r="24">
          <cell r="C24">
            <v>5.1883999999999997</v>
          </cell>
        </row>
      </sheetData>
      <sheetData sheetId="7">
        <row r="26">
          <cell r="C26">
            <v>5.1790000000000003</v>
          </cell>
        </row>
      </sheetData>
      <sheetData sheetId="8">
        <row r="24">
          <cell r="C24">
            <v>5.4066000000000001</v>
          </cell>
        </row>
      </sheetData>
      <sheetData sheetId="9">
        <row r="23">
          <cell r="C23">
            <v>5.2569999999999997</v>
          </cell>
        </row>
      </sheetData>
      <sheetData sheetId="10">
        <row r="23">
          <cell r="C23">
            <v>5.2941000000000003</v>
          </cell>
        </row>
      </sheetData>
      <sheetData sheetId="11">
        <row r="25">
          <cell r="C25">
            <v>5.2176999999999998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5">
          <cell r="C25">
            <v>5.0993000000000004</v>
          </cell>
        </row>
      </sheetData>
      <sheetData sheetId="1">
        <row r="21">
          <cell r="C21">
            <v>5.2077999999999998</v>
          </cell>
        </row>
      </sheetData>
      <sheetData sheetId="2">
        <row r="26">
          <cell r="C26">
            <v>5.0804</v>
          </cell>
        </row>
      </sheetData>
      <sheetData sheetId="3">
        <row r="21">
          <cell r="C21">
            <v>5.0007000000000001</v>
          </cell>
        </row>
      </sheetData>
      <sheetData sheetId="4">
        <row r="25">
          <cell r="C25">
            <v>5.0959000000000003</v>
          </cell>
        </row>
      </sheetData>
      <sheetData sheetId="5">
        <row r="24">
          <cell r="C24">
            <v>4.8192000000000004</v>
          </cell>
        </row>
      </sheetData>
      <sheetData sheetId="6"/>
      <sheetData sheetId="7">
        <row r="26">
          <cell r="C26">
            <v>4.9218999999999999</v>
          </cell>
        </row>
      </sheetData>
      <sheetData sheetId="8">
        <row r="23">
          <cell r="C23">
            <v>5.0076000000000001</v>
          </cell>
        </row>
      </sheetData>
      <sheetData sheetId="9">
        <row r="24">
          <cell r="C24">
            <v>5.0575000000000001</v>
          </cell>
        </row>
      </sheetData>
      <sheetData sheetId="10">
        <row r="23">
          <cell r="C23">
            <v>4.9355000000000002</v>
          </cell>
        </row>
      </sheetData>
      <sheetData sheetId="11">
        <row r="23">
          <cell r="C23">
            <v>4.8413000000000004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5">
          <cell r="C25">
            <v>4.9535</v>
          </cell>
        </row>
      </sheetData>
      <sheetData sheetId="1">
        <row r="22">
          <cell r="C22">
            <v>4.9832999999999998</v>
          </cell>
        </row>
      </sheetData>
      <sheetData sheetId="2">
        <row r="23">
          <cell r="C23">
            <v>4.9962</v>
          </cell>
        </row>
      </sheetData>
      <sheetData sheetId="3">
        <row r="25">
          <cell r="C25">
            <v>5.1718000000000002</v>
          </cell>
        </row>
      </sheetData>
      <sheetData sheetId="4">
        <row r="24">
          <cell r="C24">
            <v>5.2416</v>
          </cell>
        </row>
      </sheetData>
      <sheetData sheetId="5">
        <row r="23">
          <cell r="C23">
            <v>5.5589000000000004</v>
          </cell>
        </row>
      </sheetData>
      <sheetData sheetId="6">
        <row r="26">
          <cell r="C26">
            <v>5.6620999999999997</v>
          </cell>
        </row>
      </sheetData>
      <sheetData sheetId="7">
        <row r="25">
          <cell r="C25">
            <v>5.6562000000000001</v>
          </cell>
        </row>
      </sheetData>
      <sheetData sheetId="8">
        <row r="24">
          <cell r="C24">
            <v>5.4481000000000002</v>
          </cell>
        </row>
      </sheetData>
      <sheetData sheetId="9">
        <row r="26">
          <cell r="C26">
            <v>5.7778999999999998</v>
          </cell>
        </row>
      </sheetData>
      <sheetData sheetId="10">
        <row r="22">
          <cell r="C22">
            <v>6.0534999999999997</v>
          </cell>
        </row>
      </sheetData>
      <sheetData sheetId="11">
        <row r="24">
          <cell r="C24">
            <v>6.1923000000000004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um"/>
      <sheetName val="resumo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/>
      <sheetData sheetId="2">
        <row r="281">
          <cell r="B281">
            <v>159.08594926872985</v>
          </cell>
        </row>
      </sheetData>
      <sheetData sheetId="3">
        <row r="281">
          <cell r="B281">
            <v>289.00688771226783</v>
          </cell>
        </row>
      </sheetData>
      <sheetData sheetId="4">
        <row r="281">
          <cell r="B281">
            <v>442.63119355318128</v>
          </cell>
        </row>
        <row r="284">
          <cell r="C284">
            <v>461.26397259534582</v>
          </cell>
          <cell r="D284">
            <v>-0.37800029246461975</v>
          </cell>
          <cell r="E284">
            <v>4.8332204237313103</v>
          </cell>
          <cell r="F284">
            <v>7.9396829823025428</v>
          </cell>
        </row>
      </sheetData>
      <sheetData sheetId="5">
        <row r="281">
          <cell r="B281">
            <v>1027.1262224684262</v>
          </cell>
        </row>
      </sheetData>
      <sheetData sheetId="6">
        <row r="281">
          <cell r="B281">
            <v>2319.73839169142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5">
          <cell r="C25">
            <v>5.8300999999999998</v>
          </cell>
        </row>
      </sheetData>
      <sheetData sheetId="1">
        <row r="23">
          <cell r="C23">
            <v>5.8487999999999998</v>
          </cell>
        </row>
      </sheetData>
      <sheetData sheetId="2">
        <row r="22">
          <cell r="C22">
            <v>5.7422000000000004</v>
          </cell>
        </row>
      </sheetData>
      <sheetData sheetId="3">
        <row r="23">
          <cell r="C23">
            <v>5.6608000000000001</v>
          </cell>
        </row>
      </sheetData>
      <sheetData sheetId="4">
        <row r="23">
          <cell r="C23">
            <v>5.6558999999999999</v>
          </cell>
        </row>
      </sheetData>
      <sheetData sheetId="5">
        <row r="23">
          <cell r="C23">
            <v>5.4570999999999996</v>
          </cell>
        </row>
      </sheetData>
      <sheetData sheetId="6">
        <row r="26">
          <cell r="C26">
            <v>5.6021000000000001</v>
          </cell>
        </row>
      </sheetData>
      <sheetData sheetId="7">
        <row r="24">
          <cell r="C24">
            <v>5.4264000000000001</v>
          </cell>
        </row>
      </sheetData>
      <sheetData sheetId="8">
        <row r="25">
          <cell r="C25">
            <v>5.3186</v>
          </cell>
        </row>
      </sheetData>
      <sheetData sheetId="9">
        <row r="26">
          <cell r="C26">
            <v>5.3842999999999996</v>
          </cell>
        </row>
      </sheetData>
      <sheetData sheetId="10">
        <row r="22">
          <cell r="C22">
            <v>5.3338000000000001</v>
          </cell>
        </row>
      </sheetData>
      <sheetData sheetId="11">
        <row r="25">
          <cell r="C25">
            <v>5.5023999999999997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4">
          <cell r="C24">
            <v>5.2301000000000002</v>
          </cell>
        </row>
      </sheetData>
      <sheetData sheetId="1">
        <row r="21">
          <cell r="C21">
            <v>5.1494999999999997</v>
          </cell>
        </row>
      </sheetData>
      <sheetData sheetId="2">
        <row r="25">
          <cell r="C25">
            <v>5.2194000000000003</v>
          </cell>
        </row>
      </sheetData>
      <sheetData sheetId="3">
        <row r="23">
          <cell r="C23">
            <v>4.9885999999999999</v>
          </cell>
        </row>
      </sheetData>
      <sheetData sheetId="4">
        <row r="23">
          <cell r="C23">
            <v>5.0568999999999997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/>
      <sheetData sheetId="2"/>
      <sheetData sheetId="3"/>
      <sheetData sheetId="4">
        <row r="324">
          <cell r="D324">
            <v>647.28510621246892</v>
          </cell>
          <cell r="E324">
            <v>0.48146950448679782</v>
          </cell>
          <cell r="F324">
            <v>4.8742630079437799</v>
          </cell>
          <cell r="G324">
            <v>9.366995659523635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geral"/>
      <sheetName val="10km"/>
      <sheetName val="40km"/>
      <sheetName val="90km"/>
      <sheetName val="REAJ 10"/>
      <sheetName val="REAJ 40"/>
      <sheetName val="REAJ 90"/>
    </sheetNames>
    <sheetDataSet>
      <sheetData sheetId="0"/>
      <sheetData sheetId="1"/>
      <sheetData sheetId="2"/>
      <sheetData sheetId="3">
        <row r="324">
          <cell r="D324">
            <v>718.23985369128195</v>
          </cell>
          <cell r="E324">
            <v>1.4169146155611045</v>
          </cell>
          <cell r="F324">
            <v>2.1479490696129089</v>
          </cell>
          <cell r="G324">
            <v>2.5072002526119741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R"/>
      <sheetName val="Txbas"/>
      <sheetName val="Salário Míni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O"/>
      <sheetName val="IGPM"/>
      <sheetName val="IGPDI"/>
      <sheetName val="IPCAIBGE"/>
      <sheetName val="IPCAE"/>
      <sheetName val="INPCIBGE"/>
      <sheetName val="ICVDIEESE"/>
      <sheetName val="IPCFIPE"/>
      <sheetName val="IPA-DI FGV"/>
      <sheetName val="IPC|BR - DI.FGV"/>
      <sheetName val="IPA-IGPM"/>
      <sheetName val="INCC-SINDUSCON"/>
      <sheetName val="Poupanca"/>
      <sheetName val="Txbas"/>
      <sheetName val="TR"/>
      <sheetName val="SELIC"/>
      <sheetName val="Selicacum"/>
      <sheetName val="TJLP"/>
      <sheetName val="Dolar"/>
      <sheetName val="Salário Mínimo"/>
      <sheetName val="Coluna14"/>
      <sheetName val="Coluna15"/>
      <sheetName val="coluna32"/>
      <sheetName val="Coluna54"/>
      <sheetName val="DES-multa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E5" t="str">
            <v>META SELIC % a.a.</v>
          </cell>
        </row>
        <row r="6">
          <cell r="C6" t="str">
            <v>DATA</v>
          </cell>
          <cell r="D6" t="str">
            <v>PERÍODO DE VIGÊNCIA</v>
          </cell>
        </row>
      </sheetData>
      <sheetData sheetId="14"/>
      <sheetData sheetId="15"/>
      <sheetData sheetId="16"/>
      <sheetData sheetId="17"/>
      <sheetData sheetId="18"/>
      <sheetData sheetId="19">
        <row r="6">
          <cell r="C6" t="str">
            <v>R$</v>
          </cell>
          <cell r="D6" t="str">
            <v>índice nominal</v>
          </cell>
          <cell r="E6" t="str">
            <v>IGPDI</v>
          </cell>
          <cell r="F6" t="str">
            <v>índice real</v>
          </cell>
        </row>
      </sheetData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al"/>
      <sheetName val="Resumo"/>
      <sheetName val="Diesel_S500"/>
      <sheetName val="Diesel_S10"/>
      <sheetName val="ARLA_32"/>
      <sheetName val="ANP"/>
      <sheetName val="ANP S-50_S-10  "/>
      <sheetName val="aumentos comb"/>
      <sheetName val="câmbio"/>
      <sheetName val="cárter"/>
      <sheetName val="mnt_Atego 2433"/>
      <sheetName val="mnt_ACCELO 817"/>
      <sheetName val="motrod"/>
      <sheetName val="moturb"/>
      <sheetName val="ajud"/>
      <sheetName val="DAT"/>
      <sheetName val="MB ATEGO 2433"/>
      <sheetName val="MB ACCELO 817 "/>
      <sheetName val="cartru"/>
      <sheetName val="carlev"/>
      <sheetName val="rodoartq"/>
      <sheetName val="rodoarlv"/>
      <sheetName val="Pn1000"/>
      <sheetName val="Pn750"/>
      <sheetName val="camara1000"/>
      <sheetName val="camara750"/>
      <sheetName val="Prot1000"/>
      <sheetName val="Prot750"/>
      <sheetName val="Pn275"/>
      <sheetName val="Pn215"/>
      <sheetName val="Pn205"/>
      <sheetName val="Rec1000"/>
      <sheetName val="Rec750"/>
      <sheetName val="Lavtq"/>
      <sheetName val="Lavlv"/>
      <sheetName val="Seg_ATEGO 2433"/>
      <sheetName val="Seg_ACCELO 817"/>
      <sheetName val="peças"/>
      <sheetName val="mecânico"/>
      <sheetName val="MB12(13)18"/>
      <sheetName val="MB1620"/>
      <sheetName val="camara900"/>
      <sheetName val="eixo"/>
      <sheetName val="Pn900"/>
      <sheetName val="Prot900"/>
      <sheetName val="Rec900"/>
      <sheetName val="Seg1218"/>
      <sheetName val="GRISR"/>
      <sheetName val="GRISCE"/>
      <sheetName val="mnt_atron 2324"/>
      <sheetName val="mnt_ACCELO 815"/>
      <sheetName val="MB ATRON 2324"/>
      <sheetName val="MB ACCELO 815 "/>
      <sheetName val="Seg_ATRON 2324"/>
      <sheetName val="Seg_ACCELO 8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70">
          <cell r="C70">
            <v>118.71487617182812</v>
          </cell>
        </row>
        <row r="73">
          <cell r="B73">
            <v>0</v>
          </cell>
          <cell r="F73">
            <v>-100</v>
          </cell>
          <cell r="G73">
            <v>-100</v>
          </cell>
        </row>
      </sheetData>
      <sheetData sheetId="40"/>
      <sheetData sheetId="41">
        <row r="70">
          <cell r="C70">
            <v>118.40796019900498</v>
          </cell>
        </row>
        <row r="73">
          <cell r="B73">
            <v>29.22</v>
          </cell>
          <cell r="F73">
            <v>6.4093226511289014</v>
          </cell>
          <cell r="G73">
            <v>19.314005716619032</v>
          </cell>
        </row>
      </sheetData>
      <sheetData sheetId="42"/>
      <sheetData sheetId="43">
        <row r="70">
          <cell r="C70">
            <v>144.59180223165646</v>
          </cell>
        </row>
        <row r="73">
          <cell r="B73">
            <v>391.67</v>
          </cell>
        </row>
      </sheetData>
      <sheetData sheetId="44">
        <row r="70">
          <cell r="C70">
            <v>111.45833333333333</v>
          </cell>
        </row>
        <row r="73">
          <cell r="B73">
            <v>18.64</v>
          </cell>
          <cell r="F73">
            <v>19.334186939820764</v>
          </cell>
          <cell r="G73">
            <v>28.109965635738821</v>
          </cell>
        </row>
      </sheetData>
      <sheetData sheetId="45">
        <row r="70">
          <cell r="C70">
            <v>130.75394506136763</v>
          </cell>
        </row>
        <row r="73">
          <cell r="B73">
            <v>119.93</v>
          </cell>
          <cell r="F73">
            <v>6.1327433628318717</v>
          </cell>
          <cell r="G73">
            <v>32.066952978746841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al"/>
      <sheetName val="Resumo"/>
      <sheetName val="Diesel_S500"/>
      <sheetName val="Diesel_S10"/>
      <sheetName val="ARLA_32"/>
      <sheetName val="ANP"/>
      <sheetName val="ANP S-50_S-10  "/>
      <sheetName val="aumentos comb"/>
      <sheetName val="câmbio"/>
      <sheetName val="cárter"/>
      <sheetName val="mnt_Atego 2433"/>
      <sheetName val="mnt_ACCELO 817"/>
      <sheetName val="motrod"/>
      <sheetName val="moturb"/>
      <sheetName val="ajud"/>
      <sheetName val="DAT"/>
      <sheetName val="MB ATEGO 2433"/>
      <sheetName val="MB ACCELO 817 "/>
      <sheetName val="cartru"/>
      <sheetName val="carlev"/>
      <sheetName val="rodoartq"/>
      <sheetName val="rodoarlv"/>
      <sheetName val="Pn1000"/>
      <sheetName val="Pn750"/>
      <sheetName val="camara1000"/>
      <sheetName val="camara750"/>
      <sheetName val="Prot1000"/>
      <sheetName val="Prot750"/>
      <sheetName val="Pn275"/>
      <sheetName val="Pn215"/>
      <sheetName val="Pn205"/>
      <sheetName val="Rec1000"/>
      <sheetName val="Rec750"/>
      <sheetName val="Lavtq"/>
      <sheetName val="Lavlv"/>
      <sheetName val="Seg_ATEGO 2433"/>
      <sheetName val="Seg_ACCELO 817"/>
      <sheetName val="peças"/>
      <sheetName val="mecânico"/>
      <sheetName val="MB12(13)18"/>
      <sheetName val="MB1620"/>
      <sheetName val="camara900"/>
      <sheetName val="eixo"/>
      <sheetName val="Pn900"/>
      <sheetName val="Prot900"/>
      <sheetName val="Rec900"/>
      <sheetName val="Seg1218"/>
      <sheetName val="GRISR"/>
      <sheetName val="GRISCE"/>
      <sheetName val="mnt_atron 2324"/>
      <sheetName val="mnt_ACCELO 815"/>
      <sheetName val="MB ATRON 2324"/>
      <sheetName val="MB ACCELO 815 "/>
      <sheetName val="Seg_ATRON 2324"/>
      <sheetName val="Seg_ACCELO 815"/>
      <sheetName val="diesel"/>
      <sheetName val="mnt1620"/>
      <sheetName val="mnt710"/>
      <sheetName val="mb1620tq"/>
      <sheetName val="mb750"/>
      <sheetName val="Seg1620"/>
      <sheetName val="Seg710"/>
      <sheetName val="fr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6">
          <cell r="B56" t="str">
            <v>VAR. (%)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 refreshError="1"/>
      <sheetData sheetId="42"/>
      <sheetData sheetId="43" refreshError="1">
        <row r="70">
          <cell r="C70">
            <v>144.59180223165646</v>
          </cell>
        </row>
        <row r="73">
          <cell r="F73">
            <v>10.11555005763447</v>
          </cell>
          <cell r="G73">
            <v>25.134185303514389</v>
          </cell>
        </row>
      </sheetData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/>
      <sheetData sheetId="1"/>
      <sheetData sheetId="2"/>
      <sheetData sheetId="3"/>
      <sheetData sheetId="4"/>
      <sheetData sheetId="5"/>
      <sheetData sheetId="6">
        <row r="32">
          <cell r="C32">
            <v>2.2673999999999999</v>
          </cell>
        </row>
      </sheetData>
      <sheetData sheetId="7">
        <row r="30">
          <cell r="C30">
            <v>2.2395999999999998</v>
          </cell>
        </row>
      </sheetData>
      <sheetData sheetId="8">
        <row r="31">
          <cell r="C31">
            <v>2.4510000000000001</v>
          </cell>
        </row>
      </sheetData>
      <sheetData sheetId="9">
        <row r="32">
          <cell r="C32">
            <v>2.4441999999999999</v>
          </cell>
        </row>
      </sheetData>
      <sheetData sheetId="10">
        <row r="29">
          <cell r="C29">
            <v>2.5600999999999998</v>
          </cell>
        </row>
      </sheetData>
      <sheetData sheetId="11">
        <row r="25">
          <cell r="C25">
            <v>2.6562000000000001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3.bcb.gov.br/sgspub/localizarseries/localizarSeries.do?method=prepararTelaLocalizarSeries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cb.gov.br/estabilidadefinanceira/selicfatoresacumulados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sicalc.receita.economia.gov.br/sicalc/selic/consult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sindusconpr.com.br/igp-di-fgv-308-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E3C7-1485-498F-9F86-5D8B836BA8D8}">
  <sheetPr>
    <tabColor theme="5" tint="0.39997558519241921"/>
    <pageSetUpPr fitToPage="1"/>
  </sheetPr>
  <dimension ref="B1:H144"/>
  <sheetViews>
    <sheetView showGridLines="0" tabSelected="1" topLeftCell="A17" zoomScaleNormal="100" workbookViewId="0">
      <selection activeCell="G2" sqref="B1:G37"/>
    </sheetView>
  </sheetViews>
  <sheetFormatPr defaultColWidth="11.42578125" defaultRowHeight="15.75"/>
  <cols>
    <col min="1" max="1" width="2.140625" style="6" customWidth="1"/>
    <col min="2" max="2" width="78.7109375" style="6" customWidth="1"/>
    <col min="3" max="3" width="16.140625" style="6" customWidth="1"/>
    <col min="4" max="4" width="15.28515625" style="6" customWidth="1"/>
    <col min="5" max="5" width="15" style="6" bestFit="1" customWidth="1"/>
    <col min="6" max="6" width="15.28515625" style="6" customWidth="1"/>
    <col min="7" max="16384" width="11.42578125" style="6"/>
  </cols>
  <sheetData>
    <row r="1" spans="2:8">
      <c r="B1" s="697" t="s">
        <v>0</v>
      </c>
      <c r="C1" s="697"/>
      <c r="D1" s="697"/>
      <c r="E1" s="699" t="s">
        <v>1</v>
      </c>
      <c r="F1" s="699"/>
    </row>
    <row r="2" spans="2:8" ht="16.5" thickBot="1">
      <c r="B2" s="698"/>
      <c r="C2" s="698"/>
      <c r="D2" s="698"/>
      <c r="E2" s="700"/>
      <c r="F2" s="700"/>
    </row>
    <row r="3" spans="2:8" s="11" customFormat="1" ht="30.75" thickBot="1">
      <c r="B3" s="8" t="s">
        <v>2</v>
      </c>
      <c r="C3" s="29" t="s">
        <v>3</v>
      </c>
      <c r="D3" s="30" t="s">
        <v>4</v>
      </c>
      <c r="E3" s="30" t="s">
        <v>5</v>
      </c>
      <c r="F3" s="31" t="s">
        <v>6</v>
      </c>
      <c r="G3" s="9"/>
      <c r="H3" s="10"/>
    </row>
    <row r="4" spans="2:8" s="11" customFormat="1">
      <c r="B4" s="26" t="s">
        <v>7</v>
      </c>
      <c r="C4" s="32">
        <f>'[1]800x40km'!D395</f>
        <v>1119.7013988697524</v>
      </c>
      <c r="D4" s="33">
        <f>'[1]800x40km'!E395</f>
        <v>0.65104157559765508</v>
      </c>
      <c r="E4" s="33">
        <f>'[1]800x40km'!F395</f>
        <v>4.3654816037002941</v>
      </c>
      <c r="F4" s="34">
        <f>'[1]800x40km'!G395</f>
        <v>8.0463238077973287</v>
      </c>
      <c r="G4" s="9"/>
    </row>
    <row r="5" spans="2:8" s="11" customFormat="1">
      <c r="B5" s="27" t="s">
        <v>8</v>
      </c>
      <c r="C5" s="35">
        <f>'[2]800km'!C284</f>
        <v>461.26397259534582</v>
      </c>
      <c r="D5" s="35">
        <f>'[2]800km'!$D$284</f>
        <v>-0.37800029246461975</v>
      </c>
      <c r="E5" s="35">
        <f>'[2]800km'!$E$284</f>
        <v>4.8332204237313103</v>
      </c>
      <c r="F5" s="36">
        <f>'[2]800km'!$F$284</f>
        <v>7.9396829823025428</v>
      </c>
      <c r="G5" s="9"/>
    </row>
    <row r="6" spans="2:8" s="11" customFormat="1">
      <c r="B6" s="28" t="s">
        <v>9</v>
      </c>
      <c r="C6" s="35">
        <f>'[3]800km'!D324</f>
        <v>647.28510621246892</v>
      </c>
      <c r="D6" s="37">
        <f>'[3]800km'!E324</f>
        <v>0.48146950448679782</v>
      </c>
      <c r="E6" s="37">
        <f>'[3]800km'!F324</f>
        <v>4.8742630079437799</v>
      </c>
      <c r="F6" s="36">
        <f>'[3]800km'!G324</f>
        <v>9.366995659523635</v>
      </c>
      <c r="G6" s="9"/>
    </row>
    <row r="7" spans="2:8" s="11" customFormat="1">
      <c r="B7" s="28" t="s">
        <v>10</v>
      </c>
      <c r="C7" s="35">
        <f>'[4]40km'!D324</f>
        <v>718.23985369128195</v>
      </c>
      <c r="D7" s="37">
        <f>'[4]40km'!E324</f>
        <v>1.4169146155611045</v>
      </c>
      <c r="E7" s="37">
        <f>'[4]40km'!F324</f>
        <v>2.1479490696129089</v>
      </c>
      <c r="F7" s="36">
        <f>'[4]40km'!G324</f>
        <v>2.5072002526119741</v>
      </c>
      <c r="G7" s="9"/>
    </row>
    <row r="8" spans="2:8" ht="17.25" customHeight="1">
      <c r="B8" s="22" t="s">
        <v>11</v>
      </c>
      <c r="C8" s="35">
        <f>IGPM!C405</f>
        <v>1229.9433236028808</v>
      </c>
      <c r="D8" s="37">
        <f>IGPM!D405</f>
        <v>0.83841800868753591</v>
      </c>
      <c r="E8" s="37">
        <f>IGPM!E405</f>
        <v>3.7895422608308138</v>
      </c>
      <c r="F8" s="36">
        <f>IGPM!F405</f>
        <v>1.950135032303324</v>
      </c>
      <c r="G8" s="4"/>
      <c r="H8" s="1"/>
    </row>
    <row r="9" spans="2:8" ht="17.25" customHeight="1">
      <c r="B9" s="23" t="s">
        <v>12</v>
      </c>
      <c r="C9" s="35">
        <f>IGPDI!C388</f>
        <v>1211.8310000000035</v>
      </c>
      <c r="D9" s="37">
        <f>IGPDI!D388</f>
        <v>0.87142759634479816</v>
      </c>
      <c r="E9" s="37">
        <f>IGPDI!E388</f>
        <v>3.8202972998674145</v>
      </c>
      <c r="F9" s="36">
        <f>IGPDI!F388</f>
        <v>2.5285440523882041</v>
      </c>
      <c r="G9" s="4"/>
      <c r="H9" s="1"/>
    </row>
    <row r="10" spans="2:8" ht="17.25" customHeight="1">
      <c r="B10" s="22" t="s">
        <v>13</v>
      </c>
      <c r="C10" s="35">
        <f>IPCAIBGE!C396</f>
        <v>7640.1500000000187</v>
      </c>
      <c r="D10" s="37">
        <f>IPCAIBGE!D396</f>
        <v>0.58003525497984931</v>
      </c>
      <c r="E10" s="37">
        <f>IPCAIBGE!E396</f>
        <v>3.1993883800310208</v>
      </c>
      <c r="F10" s="36">
        <f>IPCAIBGE!F396</f>
        <v>4.7247192089326706</v>
      </c>
      <c r="H10" s="1"/>
    </row>
    <row r="11" spans="2:8">
      <c r="B11" s="22" t="s">
        <v>14</v>
      </c>
      <c r="C11" s="35">
        <f>IPCAE!C314</f>
        <v>456.41072090048527</v>
      </c>
      <c r="D11" s="37">
        <f>IPCAE!D314</f>
        <v>0.61995330186968001</v>
      </c>
      <c r="E11" s="37">
        <f>IPCAE!E314</f>
        <v>3.0242262918991569</v>
      </c>
      <c r="F11" s="36">
        <f>IPCAE!F314</f>
        <v>4.6413024332553121</v>
      </c>
      <c r="G11" s="4"/>
    </row>
    <row r="12" spans="2:8">
      <c r="B12" s="22" t="s">
        <v>15</v>
      </c>
      <c r="C12" s="35">
        <f>INPCIBGE!C396</f>
        <v>7824.9899999999798</v>
      </c>
      <c r="D12" s="37">
        <f>INPCIBGE!D396</f>
        <v>0.64994867810754797</v>
      </c>
      <c r="E12" s="37">
        <f>INPCIBGE!E396</f>
        <v>3.3635124353399215</v>
      </c>
      <c r="F12" s="36">
        <f>INPCIBGE!F396</f>
        <v>4.4207742226480606</v>
      </c>
    </row>
    <row r="13" spans="2:8" hidden="1">
      <c r="B13" s="22" t="s">
        <v>16</v>
      </c>
      <c r="C13" s="35">
        <f>ICVDIEESE!C321</f>
        <v>743.28647241019723</v>
      </c>
      <c r="D13" s="37">
        <f>ICVDIEESE!D321</f>
        <v>0.12</v>
      </c>
      <c r="E13" s="37">
        <f>ICVDIEESE!E321</f>
        <v>0.76076800000002276</v>
      </c>
      <c r="F13" s="36">
        <f>ICVDIEESE!F321</f>
        <v>3.0665280341630519</v>
      </c>
      <c r="G13" s="4"/>
    </row>
    <row r="14" spans="2:8">
      <c r="B14" s="22" t="s">
        <v>17</v>
      </c>
      <c r="C14" s="35">
        <f>IPCFIPE!C400</f>
        <v>748.28002803658842</v>
      </c>
      <c r="D14" s="37">
        <f>IPCFIPE!D400</f>
        <v>0.44700028330246777</v>
      </c>
      <c r="E14" s="37">
        <f>IPCFIPE!E400</f>
        <v>1.9221326863645416</v>
      </c>
      <c r="F14" s="36">
        <f>IPCFIPE!F400</f>
        <v>3.6504220327678194</v>
      </c>
      <c r="G14" s="4"/>
    </row>
    <row r="15" spans="2:8">
      <c r="B15" s="22" t="s">
        <v>18</v>
      </c>
      <c r="C15" s="35">
        <f>'IPA-DI FGV'!$C$396</f>
        <v>1400.579992516585</v>
      </c>
      <c r="D15" s="37">
        <f>'IPA-DI FGV'!$D$396</f>
        <v>0.94927860015279197</v>
      </c>
      <c r="E15" s="37">
        <f>'IPA-DI FGV'!$E$396</f>
        <v>4.2270393908075299</v>
      </c>
      <c r="F15" s="36">
        <f>'IPA-DI FGV'!F396</f>
        <v>1.4860448284031769</v>
      </c>
      <c r="G15" s="4"/>
    </row>
    <row r="16" spans="2:8">
      <c r="B16" s="22" t="s">
        <v>19</v>
      </c>
      <c r="C16" s="35">
        <f>'IPC|BR - DI.FGV'!C396</f>
        <v>816.42627842378033</v>
      </c>
      <c r="D16" s="37">
        <f>'IPC|BR - DI.FGV'!D396</f>
        <v>0.60173243598484749</v>
      </c>
      <c r="E16" s="37">
        <f>'IPC|BR - DI.FGV'!E396</f>
        <v>2.6265083015657664</v>
      </c>
      <c r="F16" s="36">
        <f>'IPC|BR - DI.FGV'!F396</f>
        <v>4.108914814900011</v>
      </c>
    </row>
    <row r="17" spans="2:7">
      <c r="B17" s="22" t="s">
        <v>20</v>
      </c>
      <c r="C17" s="35">
        <f>'IPA-IGPM'!C314</f>
        <v>735.66793759980476</v>
      </c>
      <c r="D17" s="37">
        <f>'IPA-IGPM'!D314</f>
        <v>0.91236990657086459</v>
      </c>
      <c r="E17" s="37">
        <f>'IPA-IGPM'!E314</f>
        <v>4.1873141186993701</v>
      </c>
      <c r="F17" s="36">
        <f>'IPA-IGPM'!F314</f>
        <v>0.71570968427414616</v>
      </c>
      <c r="G17" s="4"/>
    </row>
    <row r="18" spans="2:7">
      <c r="B18" s="22" t="s">
        <v>21</v>
      </c>
      <c r="C18" s="35">
        <f>'INCC-SINDUSCON'!B252</f>
        <v>312.50201378954694</v>
      </c>
      <c r="D18" s="37">
        <f>'INCC-SINDUSCON'!C252*100</f>
        <v>1.2403953235884613</v>
      </c>
      <c r="E18" s="37">
        <f>'INCC-SINDUSCON'!D252</f>
        <v>2.2995757744117995</v>
      </c>
      <c r="F18" s="38">
        <f>'INCC-SINDUSCON'!E252</f>
        <v>5.1121410325877026</v>
      </c>
      <c r="G18" s="4"/>
    </row>
    <row r="19" spans="2:7">
      <c r="B19" s="24" t="s">
        <v>22</v>
      </c>
      <c r="C19" s="35">
        <f>Poupanca!C407</f>
        <v>459351.18728769687</v>
      </c>
      <c r="D19" s="37">
        <f>Poupanca!D407</f>
        <v>0.66949999999999998</v>
      </c>
      <c r="E19" s="37">
        <f>Poupanca!E407</f>
        <v>3.3506142743707334</v>
      </c>
      <c r="F19" s="36">
        <f>Poupanca!F407</f>
        <v>8.3195187492691058</v>
      </c>
      <c r="G19" s="4"/>
    </row>
    <row r="20" spans="2:7" hidden="1">
      <c r="B20" s="22" t="s">
        <v>23</v>
      </c>
      <c r="C20" s="35" t="e">
        <f>[5]TR!C270</f>
        <v>#REF!</v>
      </c>
      <c r="D20" s="37" t="e">
        <f>[5]TR!D270</f>
        <v>#REF!</v>
      </c>
      <c r="E20" s="37" t="e">
        <f>[5]TR!E270</f>
        <v>#REF!</v>
      </c>
      <c r="F20" s="36" t="e">
        <f>[5]TR!F270</f>
        <v>#REF!</v>
      </c>
      <c r="G20" s="4"/>
    </row>
    <row r="21" spans="2:7">
      <c r="B21" s="22" t="s">
        <v>24</v>
      </c>
      <c r="C21" s="39">
        <f>Dolar!C364</f>
        <v>5.0568999999999997</v>
      </c>
      <c r="D21" s="37">
        <f>Dolar!D364</f>
        <v>1.3691215972417181</v>
      </c>
      <c r="E21" s="37">
        <f>Dolar!E364</f>
        <v>-8.0964669962198315</v>
      </c>
      <c r="F21" s="648">
        <f>Dolar!F364</f>
        <v>-10.590710585406393</v>
      </c>
      <c r="G21" s="4"/>
    </row>
    <row r="22" spans="2:7">
      <c r="B22" s="22" t="s">
        <v>25</v>
      </c>
      <c r="C22" s="40">
        <v>0</v>
      </c>
      <c r="D22" s="37">
        <f>SELIC!C368</f>
        <v>1.0734349999999893</v>
      </c>
      <c r="E22" s="37">
        <f>SELIC!D368</f>
        <v>13.669593368367551</v>
      </c>
      <c r="F22" s="649">
        <v>0</v>
      </c>
      <c r="G22" s="4"/>
    </row>
    <row r="23" spans="2:7" ht="16.5" thickBot="1">
      <c r="B23" s="25" t="s">
        <v>26</v>
      </c>
      <c r="C23" s="41">
        <v>0</v>
      </c>
      <c r="D23" s="42">
        <f>TJLP!C362</f>
        <v>9.1300000000000008</v>
      </c>
      <c r="E23" s="43">
        <f>TJLP!D362</f>
        <v>0.73073733374073857</v>
      </c>
      <c r="F23" s="650">
        <v>0</v>
      </c>
      <c r="G23" s="4"/>
    </row>
    <row r="24" spans="2:7" ht="30.75" thickBot="1">
      <c r="B24" s="701" t="s">
        <v>27</v>
      </c>
      <c r="C24" s="44" t="s">
        <v>28</v>
      </c>
      <c r="D24" s="45" t="str">
        <f>[6]Txbas!C6</f>
        <v>DATA</v>
      </c>
      <c r="E24" s="46" t="str">
        <f>[6]Txbas!D6</f>
        <v>PERÍODO DE VIGÊNCIA</v>
      </c>
      <c r="F24" s="652" t="str">
        <f>[6]Txbas!E5</f>
        <v>META SELIC % a.a.</v>
      </c>
      <c r="G24" s="4"/>
    </row>
    <row r="25" spans="2:7" ht="18.75" customHeight="1" thickBot="1">
      <c r="B25" s="702"/>
      <c r="C25" s="48" t="str">
        <f>Txbas!B206</f>
        <v>279ª</v>
      </c>
      <c r="D25" s="49">
        <f>Txbas!C206</f>
        <v>46190</v>
      </c>
      <c r="E25" s="50" t="str">
        <f>Txbas!D206</f>
        <v>18/06/2026 -</v>
      </c>
      <c r="F25" s="651">
        <f>Txbas!E206</f>
        <v>14.25</v>
      </c>
      <c r="G25" s="4"/>
    </row>
    <row r="26" spans="2:7" ht="16.5" thickBot="1">
      <c r="B26" s="703" t="s">
        <v>29</v>
      </c>
      <c r="C26" s="44" t="str">
        <f>'[6]Salário Mínimo'!C6</f>
        <v>R$</v>
      </c>
      <c r="D26" s="45" t="str">
        <f>'[6]Salário Mínimo'!D6</f>
        <v>índice nominal</v>
      </c>
      <c r="E26" s="51" t="str">
        <f>'[6]Salário Mínimo'!E6</f>
        <v>IGPDI</v>
      </c>
      <c r="F26" s="47" t="str">
        <f>'[6]Salário Mínimo'!F6</f>
        <v>índice real</v>
      </c>
      <c r="G26" s="4"/>
    </row>
    <row r="27" spans="2:7" ht="16.5" thickBot="1">
      <c r="B27" s="704"/>
      <c r="C27" s="52">
        <f>'Salário Mínimo'!C384</f>
        <v>1621</v>
      </c>
      <c r="D27" s="53">
        <f>'Salário Mínimo'!D384</f>
        <v>2315.7142857142858</v>
      </c>
      <c r="E27" s="53">
        <f>'Salário Mínimo'!E384</f>
        <v>1113.9688376154791</v>
      </c>
      <c r="F27" s="54">
        <f>'Salário Mínimo'!F384</f>
        <v>207.87962890157854</v>
      </c>
      <c r="G27" s="4"/>
    </row>
    <row r="28" spans="2:7">
      <c r="B28" s="3" t="s">
        <v>30</v>
      </c>
      <c r="C28" s="5"/>
      <c r="D28" s="5"/>
      <c r="E28" s="5"/>
      <c r="F28" s="2" t="s">
        <v>31</v>
      </c>
      <c r="G28" s="4"/>
    </row>
    <row r="29" spans="2:7" hidden="1">
      <c r="B29" s="12" t="s">
        <v>32</v>
      </c>
      <c r="C29" s="5"/>
      <c r="D29" s="5"/>
      <c r="E29" s="5"/>
      <c r="F29" s="5"/>
      <c r="G29" s="4"/>
    </row>
    <row r="30" spans="2:7" hidden="1">
      <c r="B30" s="13"/>
      <c r="C30" s="5"/>
      <c r="D30" s="5"/>
      <c r="E30" s="5"/>
      <c r="F30" s="5"/>
      <c r="G30" s="4"/>
    </row>
    <row r="31" spans="2:7" hidden="1">
      <c r="B31" s="14" t="s">
        <v>33</v>
      </c>
      <c r="C31" s="15" t="s">
        <v>34</v>
      </c>
      <c r="D31" s="15" t="s">
        <v>35</v>
      </c>
      <c r="E31" s="15" t="s">
        <v>36</v>
      </c>
      <c r="F31" s="15" t="s">
        <v>37</v>
      </c>
      <c r="G31" s="4"/>
    </row>
    <row r="32" spans="2:7" hidden="1">
      <c r="B32" s="16" t="s">
        <v>38</v>
      </c>
      <c r="C32" s="17">
        <f>+'[7]MB12(13)18'!B73</f>
        <v>0</v>
      </c>
      <c r="D32" s="18">
        <f>+('[7]MB12(13)18'!C70)</f>
        <v>118.71487617182812</v>
      </c>
      <c r="E32" s="18">
        <f>+'[7]MB12(13)18'!$G$73</f>
        <v>-100</v>
      </c>
      <c r="F32" s="18">
        <f>+'[7]MB12(13)18'!$F$73</f>
        <v>-100</v>
      </c>
      <c r="G32" s="4"/>
    </row>
    <row r="33" spans="2:7" hidden="1">
      <c r="B33" s="16" t="s">
        <v>39</v>
      </c>
      <c r="C33" s="18">
        <f>+[7]Pn900!B73</f>
        <v>391.67</v>
      </c>
      <c r="D33" s="18">
        <f>+([7]Pn900!C70)</f>
        <v>144.59180223165646</v>
      </c>
      <c r="E33" s="18">
        <f>[8]Pn900!$G$73</f>
        <v>25.134185303514389</v>
      </c>
      <c r="F33" s="18">
        <f>[8]Pn900!$F$73</f>
        <v>10.11555005763447</v>
      </c>
      <c r="G33" s="4"/>
    </row>
    <row r="34" spans="2:7" hidden="1">
      <c r="B34" s="16" t="s">
        <v>40</v>
      </c>
      <c r="C34" s="18">
        <f>+[7]camara900!B73</f>
        <v>29.22</v>
      </c>
      <c r="D34" s="18">
        <f>+([7]camara900!C70)</f>
        <v>118.40796019900498</v>
      </c>
      <c r="E34" s="18">
        <f>+[7]camara900!$G$73</f>
        <v>19.314005716619032</v>
      </c>
      <c r="F34" s="18">
        <f>+[7]camara900!$F$73</f>
        <v>6.4093226511289014</v>
      </c>
      <c r="G34" s="4"/>
    </row>
    <row r="35" spans="2:7" hidden="1">
      <c r="B35" s="16" t="s">
        <v>41</v>
      </c>
      <c r="C35" s="18">
        <f>+[7]Prot900!B73</f>
        <v>18.64</v>
      </c>
      <c r="D35" s="18">
        <f>+([7]Prot900!C70)</f>
        <v>111.45833333333333</v>
      </c>
      <c r="E35" s="18">
        <f>+[7]Prot900!$G$73</f>
        <v>28.109965635738821</v>
      </c>
      <c r="F35" s="18">
        <f>+[7]Prot900!$F$73</f>
        <v>19.334186939820764</v>
      </c>
      <c r="G35" s="4"/>
    </row>
    <row r="36" spans="2:7" hidden="1">
      <c r="B36" s="16" t="s">
        <v>42</v>
      </c>
      <c r="C36" s="18">
        <f>+[7]Rec900!B73</f>
        <v>119.93</v>
      </c>
      <c r="D36" s="18">
        <f>+([7]Rec900!C70)</f>
        <v>130.75394506136763</v>
      </c>
      <c r="E36" s="18">
        <f>+[7]Rec900!$G$73</f>
        <v>32.066952978746841</v>
      </c>
      <c r="F36" s="18">
        <f>+[7]Rec900!$F$73</f>
        <v>6.1327433628318717</v>
      </c>
      <c r="G36" s="4"/>
    </row>
    <row r="37" spans="2:7">
      <c r="C37" s="5"/>
      <c r="D37" s="5"/>
      <c r="E37" s="5"/>
      <c r="F37" s="5"/>
      <c r="G37" s="4"/>
    </row>
    <row r="38" spans="2:7" s="1" customFormat="1">
      <c r="B38" s="19"/>
      <c r="C38" s="7"/>
      <c r="D38" s="7"/>
      <c r="E38" s="7"/>
      <c r="F38" s="7"/>
    </row>
    <row r="39" spans="2:7" s="1" customFormat="1">
      <c r="B39" s="20"/>
      <c r="C39" s="7"/>
      <c r="D39" s="7"/>
      <c r="E39" s="7"/>
      <c r="F39" s="7"/>
    </row>
    <row r="40" spans="2:7" s="1" customFormat="1">
      <c r="B40" s="21"/>
      <c r="C40" s="7"/>
      <c r="D40" s="7"/>
      <c r="E40" s="7"/>
      <c r="F40" s="7"/>
    </row>
    <row r="41" spans="2:7" s="1" customFormat="1">
      <c r="B41" s="21"/>
      <c r="C41" s="7"/>
      <c r="D41" s="7"/>
      <c r="E41" s="7"/>
      <c r="F41" s="7"/>
    </row>
    <row r="42" spans="2:7">
      <c r="B42" s="4"/>
      <c r="C42" s="5"/>
      <c r="D42" s="5"/>
      <c r="E42" s="5"/>
      <c r="F42" s="5"/>
      <c r="G42" s="4"/>
    </row>
    <row r="43" spans="2:7">
      <c r="B43" s="4"/>
      <c r="C43" s="5"/>
      <c r="D43" s="5"/>
      <c r="E43" s="5"/>
      <c r="F43" s="5"/>
      <c r="G43" s="4"/>
    </row>
    <row r="44" spans="2:7">
      <c r="B44" s="4"/>
      <c r="C44" s="5"/>
      <c r="D44" s="5"/>
      <c r="E44" s="5"/>
      <c r="F44" s="5"/>
      <c r="G44" s="4"/>
    </row>
    <row r="45" spans="2:7">
      <c r="B45" s="4"/>
      <c r="C45" s="5"/>
      <c r="D45" s="5"/>
      <c r="E45" s="5"/>
      <c r="F45" s="5"/>
      <c r="G45" s="4"/>
    </row>
    <row r="46" spans="2:7">
      <c r="B46" s="4"/>
      <c r="C46" s="5"/>
      <c r="D46" s="5"/>
      <c r="E46" s="5"/>
      <c r="F46" s="5"/>
      <c r="G46" s="4"/>
    </row>
    <row r="47" spans="2:7">
      <c r="B47" s="4"/>
      <c r="C47" s="5"/>
      <c r="D47" s="5"/>
      <c r="E47" s="5"/>
      <c r="F47" s="5"/>
      <c r="G47" s="4"/>
    </row>
    <row r="48" spans="2:7">
      <c r="B48" s="4"/>
      <c r="C48" s="5"/>
      <c r="D48" s="5"/>
      <c r="E48" s="5"/>
      <c r="F48" s="5"/>
      <c r="G48" s="4"/>
    </row>
    <row r="49" spans="2:7">
      <c r="B49" s="4"/>
      <c r="C49" s="5"/>
      <c r="D49" s="5"/>
      <c r="E49" s="5"/>
      <c r="F49" s="5"/>
      <c r="G49" s="4"/>
    </row>
    <row r="50" spans="2:7">
      <c r="B50" s="4"/>
      <c r="C50" s="5"/>
      <c r="D50" s="5"/>
      <c r="E50" s="5"/>
      <c r="F50" s="5"/>
      <c r="G50" s="4"/>
    </row>
    <row r="51" spans="2:7">
      <c r="B51" s="4"/>
      <c r="C51" s="5"/>
      <c r="D51" s="5"/>
      <c r="E51" s="5"/>
      <c r="F51" s="5"/>
      <c r="G51" s="4"/>
    </row>
    <row r="52" spans="2:7">
      <c r="B52" s="4"/>
      <c r="C52" s="5"/>
      <c r="D52" s="5"/>
      <c r="E52" s="5"/>
      <c r="F52" s="5"/>
      <c r="G52" s="4"/>
    </row>
    <row r="53" spans="2:7">
      <c r="B53" s="4"/>
      <c r="C53" s="5"/>
      <c r="D53" s="5"/>
      <c r="E53" s="5"/>
      <c r="F53" s="5"/>
      <c r="G53" s="4"/>
    </row>
    <row r="54" spans="2:7">
      <c r="B54" s="4"/>
      <c r="C54" s="5"/>
      <c r="D54" s="5"/>
      <c r="E54" s="5"/>
      <c r="F54" s="5"/>
      <c r="G54" s="4"/>
    </row>
    <row r="55" spans="2:7">
      <c r="B55" s="4"/>
      <c r="C55" s="5"/>
      <c r="D55" s="5"/>
      <c r="E55" s="5"/>
      <c r="F55" s="5"/>
      <c r="G55" s="4"/>
    </row>
    <row r="56" spans="2:7">
      <c r="B56" s="4"/>
      <c r="C56" s="5"/>
      <c r="D56" s="5"/>
      <c r="E56" s="5"/>
      <c r="F56" s="5"/>
      <c r="G56" s="4"/>
    </row>
    <row r="57" spans="2:7">
      <c r="B57" s="4"/>
      <c r="C57" s="5"/>
      <c r="D57" s="5"/>
      <c r="E57" s="5"/>
      <c r="F57" s="5"/>
      <c r="G57" s="4"/>
    </row>
    <row r="58" spans="2:7">
      <c r="B58" s="4"/>
      <c r="C58" s="5"/>
      <c r="D58" s="5"/>
      <c r="E58" s="5"/>
      <c r="F58" s="5"/>
      <c r="G58" s="4"/>
    </row>
    <row r="59" spans="2:7">
      <c r="B59" s="4"/>
      <c r="C59" s="5"/>
      <c r="D59" s="5"/>
      <c r="E59" s="5"/>
      <c r="F59" s="5"/>
      <c r="G59" s="4"/>
    </row>
    <row r="60" spans="2:7">
      <c r="B60" s="4"/>
      <c r="C60" s="4"/>
      <c r="D60" s="4"/>
      <c r="E60" s="4"/>
      <c r="F60" s="4"/>
      <c r="G60" s="4"/>
    </row>
    <row r="61" spans="2:7">
      <c r="B61" s="4"/>
      <c r="C61" s="4"/>
      <c r="D61" s="4"/>
      <c r="E61" s="4"/>
      <c r="F61" s="4"/>
      <c r="G61" s="4"/>
    </row>
    <row r="62" spans="2:7">
      <c r="B62" s="4"/>
      <c r="C62" s="4"/>
      <c r="D62" s="4"/>
      <c r="E62" s="4"/>
      <c r="F62" s="4"/>
      <c r="G62" s="4"/>
    </row>
    <row r="63" spans="2:7">
      <c r="B63" s="4"/>
      <c r="C63" s="4"/>
      <c r="D63" s="4"/>
      <c r="E63" s="4"/>
      <c r="F63" s="4"/>
      <c r="G63" s="4"/>
    </row>
    <row r="64" spans="2:7">
      <c r="B64" s="4"/>
      <c r="C64" s="4"/>
      <c r="D64" s="4"/>
      <c r="E64" s="4"/>
      <c r="F64" s="4"/>
      <c r="G64" s="4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  <row r="72" spans="2:7">
      <c r="B72" s="4"/>
      <c r="C72" s="4"/>
      <c r="D72" s="4"/>
      <c r="E72" s="4"/>
      <c r="F72" s="4"/>
      <c r="G72" s="4"/>
    </row>
    <row r="73" spans="2:7">
      <c r="B73" s="4"/>
      <c r="C73" s="4"/>
      <c r="D73" s="4"/>
      <c r="E73" s="4"/>
      <c r="F73" s="4"/>
      <c r="G73" s="4"/>
    </row>
    <row r="74" spans="2:7">
      <c r="B74" s="4"/>
      <c r="C74" s="4"/>
      <c r="D74" s="4"/>
      <c r="E74" s="4"/>
      <c r="F74" s="4"/>
      <c r="G74" s="4"/>
    </row>
    <row r="75" spans="2:7">
      <c r="B75" s="4"/>
      <c r="C75" s="4"/>
      <c r="D75" s="4"/>
      <c r="E75" s="4"/>
      <c r="F75" s="4"/>
      <c r="G75" s="4"/>
    </row>
    <row r="76" spans="2:7">
      <c r="B76" s="4"/>
      <c r="C76" s="4"/>
      <c r="D76" s="4"/>
      <c r="E76" s="4"/>
      <c r="F76" s="4"/>
      <c r="G76" s="4"/>
    </row>
    <row r="77" spans="2:7">
      <c r="B77" s="4"/>
      <c r="C77" s="4"/>
      <c r="D77" s="4"/>
      <c r="E77" s="4"/>
      <c r="F77" s="4"/>
      <c r="G77" s="4"/>
    </row>
    <row r="78" spans="2:7">
      <c r="B78" s="4"/>
      <c r="C78" s="4"/>
      <c r="D78" s="4"/>
      <c r="E78" s="4"/>
      <c r="F78" s="4"/>
      <c r="G78" s="4"/>
    </row>
    <row r="79" spans="2:7">
      <c r="B79" s="4"/>
      <c r="C79" s="4"/>
      <c r="D79" s="4"/>
      <c r="E79" s="4"/>
      <c r="F79" s="4"/>
      <c r="G79" s="4"/>
    </row>
    <row r="80" spans="2:7">
      <c r="B80" s="4"/>
      <c r="C80" s="4"/>
      <c r="D80" s="4"/>
      <c r="E80" s="4"/>
      <c r="F80" s="4"/>
      <c r="G80" s="4"/>
    </row>
    <row r="81" spans="2:7">
      <c r="B81" s="4"/>
      <c r="C81" s="4"/>
      <c r="D81" s="4"/>
      <c r="E81" s="4"/>
      <c r="F81" s="4"/>
      <c r="G81" s="4"/>
    </row>
    <row r="82" spans="2:7">
      <c r="B82" s="4"/>
      <c r="C82" s="4"/>
      <c r="D82" s="4"/>
      <c r="E82" s="4"/>
      <c r="F82" s="4"/>
      <c r="G82" s="4"/>
    </row>
    <row r="83" spans="2:7">
      <c r="B83" s="4"/>
      <c r="C83" s="4"/>
      <c r="D83" s="4"/>
      <c r="E83" s="4"/>
      <c r="F83" s="4"/>
      <c r="G83" s="4"/>
    </row>
    <row r="84" spans="2:7">
      <c r="B84" s="4"/>
      <c r="C84" s="4"/>
      <c r="D84" s="4"/>
      <c r="E84" s="4"/>
      <c r="F84" s="4"/>
      <c r="G84" s="4"/>
    </row>
    <row r="85" spans="2:7">
      <c r="B85" s="4"/>
      <c r="C85" s="4"/>
      <c r="D85" s="4"/>
      <c r="E85" s="4"/>
      <c r="F85" s="4"/>
      <c r="G85" s="4"/>
    </row>
    <row r="86" spans="2:7">
      <c r="B86" s="4"/>
      <c r="C86" s="4"/>
      <c r="D86" s="4"/>
      <c r="E86" s="4"/>
      <c r="F86" s="4"/>
      <c r="G86" s="4"/>
    </row>
    <row r="87" spans="2:7">
      <c r="B87" s="4"/>
      <c r="C87" s="4"/>
      <c r="D87" s="4"/>
      <c r="E87" s="4"/>
      <c r="F87" s="4"/>
      <c r="G87" s="4"/>
    </row>
    <row r="88" spans="2:7">
      <c r="B88" s="4"/>
      <c r="C88" s="4"/>
      <c r="D88" s="4"/>
      <c r="E88" s="4"/>
      <c r="F88" s="4"/>
      <c r="G88" s="4"/>
    </row>
    <row r="89" spans="2:7">
      <c r="B89" s="4"/>
      <c r="C89" s="4"/>
      <c r="D89" s="4"/>
      <c r="E89" s="4"/>
      <c r="F89" s="4"/>
      <c r="G89" s="4"/>
    </row>
    <row r="90" spans="2:7">
      <c r="B90" s="4"/>
      <c r="C90" s="4"/>
      <c r="D90" s="4"/>
      <c r="E90" s="4"/>
      <c r="F90" s="4"/>
      <c r="G90" s="4"/>
    </row>
    <row r="91" spans="2:7">
      <c r="B91" s="4"/>
      <c r="C91" s="4"/>
      <c r="D91" s="4"/>
      <c r="E91" s="4"/>
      <c r="F91" s="4"/>
      <c r="G91" s="4"/>
    </row>
    <row r="92" spans="2:7">
      <c r="B92" s="4"/>
      <c r="C92" s="4"/>
      <c r="D92" s="4"/>
      <c r="E92" s="4"/>
      <c r="F92" s="4"/>
      <c r="G92" s="4"/>
    </row>
    <row r="93" spans="2:7">
      <c r="B93" s="4"/>
      <c r="C93" s="4"/>
      <c r="D93" s="4"/>
      <c r="E93" s="4"/>
      <c r="F93" s="4"/>
      <c r="G93" s="4"/>
    </row>
    <row r="94" spans="2:7">
      <c r="B94" s="4"/>
      <c r="C94" s="4"/>
      <c r="D94" s="4"/>
      <c r="E94" s="4"/>
      <c r="F94" s="4"/>
      <c r="G94" s="4"/>
    </row>
    <row r="95" spans="2:7">
      <c r="B95" s="4"/>
      <c r="C95" s="4"/>
      <c r="D95" s="4"/>
      <c r="E95" s="4"/>
      <c r="F95" s="4"/>
      <c r="G95" s="4"/>
    </row>
    <row r="96" spans="2:7">
      <c r="B96" s="4"/>
      <c r="C96" s="4"/>
      <c r="D96" s="4"/>
      <c r="E96" s="4"/>
      <c r="F96" s="4"/>
      <c r="G96" s="4"/>
    </row>
    <row r="97" spans="2:7">
      <c r="B97" s="4"/>
      <c r="C97" s="4"/>
      <c r="D97" s="4"/>
      <c r="E97" s="4"/>
      <c r="F97" s="4"/>
      <c r="G97" s="4"/>
    </row>
    <row r="98" spans="2:7">
      <c r="B98" s="4"/>
      <c r="C98" s="4"/>
      <c r="D98" s="4"/>
      <c r="E98" s="4"/>
      <c r="F98" s="4"/>
      <c r="G98" s="4"/>
    </row>
    <row r="99" spans="2:7">
      <c r="B99" s="4"/>
      <c r="C99" s="4"/>
      <c r="D99" s="4"/>
      <c r="E99" s="4"/>
      <c r="F99" s="4"/>
      <c r="G99" s="4"/>
    </row>
    <row r="100" spans="2:7">
      <c r="B100" s="4"/>
      <c r="C100" s="4"/>
      <c r="D100" s="4"/>
      <c r="E100" s="4"/>
      <c r="F100" s="4"/>
      <c r="G100" s="4"/>
    </row>
    <row r="101" spans="2:7">
      <c r="B101" s="4"/>
      <c r="C101" s="4"/>
      <c r="D101" s="4"/>
      <c r="E101" s="4"/>
      <c r="F101" s="4"/>
      <c r="G101" s="4"/>
    </row>
    <row r="102" spans="2:7">
      <c r="B102" s="4"/>
      <c r="C102" s="4"/>
      <c r="D102" s="4"/>
      <c r="E102" s="4"/>
      <c r="F102" s="4"/>
      <c r="G102" s="4"/>
    </row>
    <row r="103" spans="2:7">
      <c r="B103" s="4"/>
      <c r="C103" s="4"/>
      <c r="D103" s="4"/>
      <c r="E103" s="4"/>
      <c r="F103" s="4"/>
      <c r="G103" s="4"/>
    </row>
    <row r="104" spans="2:7">
      <c r="B104" s="4"/>
      <c r="C104" s="4"/>
      <c r="D104" s="4"/>
      <c r="E104" s="4"/>
      <c r="F104" s="4"/>
      <c r="G104" s="4"/>
    </row>
    <row r="105" spans="2:7">
      <c r="B105" s="4"/>
      <c r="C105" s="4"/>
      <c r="D105" s="4"/>
      <c r="E105" s="4"/>
      <c r="F105" s="4"/>
      <c r="G105" s="4"/>
    </row>
    <row r="106" spans="2:7">
      <c r="B106" s="4"/>
      <c r="C106" s="4"/>
      <c r="D106" s="4"/>
      <c r="E106" s="4"/>
      <c r="F106" s="4"/>
      <c r="G106" s="4"/>
    </row>
    <row r="107" spans="2:7">
      <c r="B107" s="4"/>
      <c r="C107" s="4"/>
      <c r="D107" s="4"/>
      <c r="E107" s="4"/>
      <c r="F107" s="4"/>
      <c r="G107" s="4"/>
    </row>
    <row r="108" spans="2:7">
      <c r="B108" s="4"/>
      <c r="C108" s="4"/>
      <c r="D108" s="4"/>
      <c r="E108" s="4"/>
      <c r="F108" s="4"/>
      <c r="G108" s="4"/>
    </row>
    <row r="109" spans="2:7">
      <c r="B109" s="4"/>
      <c r="C109" s="4"/>
      <c r="D109" s="4"/>
      <c r="E109" s="4"/>
      <c r="F109" s="4"/>
      <c r="G109" s="4"/>
    </row>
    <row r="110" spans="2:7">
      <c r="B110" s="4"/>
      <c r="C110" s="4"/>
      <c r="D110" s="4"/>
      <c r="E110" s="4"/>
      <c r="F110" s="4"/>
      <c r="G110" s="4"/>
    </row>
    <row r="111" spans="2:7">
      <c r="B111" s="4"/>
      <c r="C111" s="4"/>
      <c r="D111" s="4"/>
      <c r="E111" s="4"/>
      <c r="F111" s="4"/>
      <c r="G111" s="4"/>
    </row>
    <row r="112" spans="2:7">
      <c r="B112" s="4"/>
      <c r="C112" s="4"/>
      <c r="D112" s="4"/>
      <c r="E112" s="4"/>
      <c r="F112" s="4"/>
      <c r="G112" s="4"/>
    </row>
    <row r="113" spans="2:7">
      <c r="B113" s="4"/>
      <c r="C113" s="4"/>
      <c r="D113" s="4"/>
      <c r="E113" s="4"/>
      <c r="F113" s="4"/>
      <c r="G113" s="4"/>
    </row>
    <row r="114" spans="2:7">
      <c r="B114" s="4"/>
      <c r="C114" s="4"/>
      <c r="D114" s="4"/>
      <c r="E114" s="4"/>
      <c r="F114" s="4"/>
      <c r="G114" s="4"/>
    </row>
    <row r="115" spans="2:7">
      <c r="B115" s="4"/>
      <c r="C115" s="4"/>
      <c r="D115" s="4"/>
      <c r="E115" s="4"/>
      <c r="F115" s="4"/>
      <c r="G115" s="4"/>
    </row>
    <row r="116" spans="2:7">
      <c r="B116" s="4"/>
      <c r="C116" s="4"/>
      <c r="D116" s="4"/>
      <c r="E116" s="4"/>
      <c r="F116" s="4"/>
      <c r="G116" s="4"/>
    </row>
    <row r="117" spans="2:7">
      <c r="B117" s="4"/>
      <c r="C117" s="4"/>
      <c r="D117" s="4"/>
      <c r="E117" s="4"/>
      <c r="F117" s="4"/>
      <c r="G117" s="4"/>
    </row>
    <row r="118" spans="2:7">
      <c r="B118" s="4"/>
      <c r="C118" s="4"/>
      <c r="D118" s="4"/>
      <c r="E118" s="4"/>
      <c r="F118" s="4"/>
      <c r="G118" s="4"/>
    </row>
    <row r="119" spans="2:7">
      <c r="B119" s="4"/>
      <c r="C119" s="4"/>
      <c r="D119" s="4"/>
      <c r="E119" s="4"/>
      <c r="F119" s="4"/>
      <c r="G119" s="4"/>
    </row>
    <row r="120" spans="2:7">
      <c r="B120" s="4"/>
      <c r="C120" s="4"/>
      <c r="D120" s="4"/>
      <c r="E120" s="4"/>
      <c r="F120" s="4"/>
      <c r="G120" s="4"/>
    </row>
    <row r="121" spans="2:7">
      <c r="B121" s="4"/>
      <c r="C121" s="4"/>
      <c r="D121" s="4"/>
      <c r="E121" s="4"/>
      <c r="F121" s="4"/>
      <c r="G121" s="4"/>
    </row>
    <row r="122" spans="2:7">
      <c r="B122" s="4"/>
      <c r="C122" s="4"/>
      <c r="D122" s="4"/>
      <c r="E122" s="4"/>
      <c r="F122" s="4"/>
      <c r="G122" s="4"/>
    </row>
    <row r="123" spans="2:7">
      <c r="B123" s="4"/>
      <c r="C123" s="4"/>
      <c r="D123" s="4"/>
      <c r="E123" s="4"/>
      <c r="F123" s="4"/>
      <c r="G123" s="4"/>
    </row>
    <row r="124" spans="2:7">
      <c r="B124" s="4"/>
      <c r="C124" s="4"/>
      <c r="D124" s="4"/>
      <c r="E124" s="4"/>
      <c r="F124" s="4"/>
      <c r="G124" s="4"/>
    </row>
    <row r="125" spans="2:7">
      <c r="B125" s="4"/>
      <c r="C125" s="4"/>
      <c r="D125" s="4"/>
      <c r="E125" s="4"/>
      <c r="F125" s="4"/>
      <c r="G125" s="4"/>
    </row>
    <row r="126" spans="2:7">
      <c r="B126" s="4"/>
      <c r="C126" s="4"/>
      <c r="D126" s="4"/>
      <c r="E126" s="4"/>
      <c r="F126" s="4"/>
      <c r="G126" s="4"/>
    </row>
    <row r="127" spans="2:7">
      <c r="B127" s="4"/>
      <c r="C127" s="4"/>
      <c r="D127" s="4"/>
      <c r="E127" s="4"/>
      <c r="F127" s="4"/>
      <c r="G127" s="4"/>
    </row>
    <row r="128" spans="2:7">
      <c r="B128" s="4"/>
      <c r="C128" s="4"/>
      <c r="D128" s="4"/>
      <c r="E128" s="4"/>
      <c r="F128" s="4"/>
      <c r="G128" s="4"/>
    </row>
    <row r="129" spans="2:7">
      <c r="B129" s="4"/>
      <c r="C129" s="4"/>
      <c r="D129" s="4"/>
      <c r="E129" s="4"/>
      <c r="F129" s="4"/>
      <c r="G129" s="4"/>
    </row>
    <row r="130" spans="2:7">
      <c r="B130" s="4"/>
      <c r="C130" s="4"/>
      <c r="D130" s="4"/>
      <c r="E130" s="4"/>
      <c r="F130" s="4"/>
      <c r="G130" s="4"/>
    </row>
    <row r="131" spans="2:7">
      <c r="B131" s="4"/>
      <c r="C131" s="4"/>
      <c r="D131" s="4"/>
      <c r="E131" s="4"/>
      <c r="F131" s="4"/>
      <c r="G131" s="4"/>
    </row>
    <row r="132" spans="2:7">
      <c r="B132" s="4"/>
      <c r="C132" s="4"/>
      <c r="D132" s="4"/>
      <c r="E132" s="4"/>
      <c r="F132" s="4"/>
      <c r="G132" s="4"/>
    </row>
    <row r="133" spans="2:7">
      <c r="B133" s="4"/>
      <c r="C133" s="4"/>
      <c r="D133" s="4"/>
      <c r="E133" s="4"/>
      <c r="F133" s="4"/>
      <c r="G133" s="4"/>
    </row>
    <row r="134" spans="2:7">
      <c r="B134" s="4"/>
      <c r="C134" s="4"/>
      <c r="D134" s="4"/>
      <c r="E134" s="4"/>
      <c r="F134" s="4"/>
      <c r="G134" s="4"/>
    </row>
    <row r="135" spans="2:7">
      <c r="B135" s="4"/>
      <c r="C135" s="4"/>
      <c r="D135" s="4"/>
      <c r="E135" s="4"/>
      <c r="F135" s="4"/>
      <c r="G135" s="4"/>
    </row>
    <row r="136" spans="2:7">
      <c r="B136" s="4"/>
      <c r="C136" s="4"/>
      <c r="D136" s="4"/>
      <c r="E136" s="4"/>
      <c r="F136" s="4"/>
      <c r="G136" s="4"/>
    </row>
    <row r="137" spans="2:7">
      <c r="B137" s="4"/>
      <c r="C137" s="4"/>
      <c r="D137" s="4"/>
      <c r="E137" s="4"/>
      <c r="F137" s="4"/>
      <c r="G137" s="4"/>
    </row>
    <row r="138" spans="2:7">
      <c r="B138" s="4"/>
      <c r="C138" s="4"/>
      <c r="D138" s="4"/>
      <c r="E138" s="4"/>
      <c r="F138" s="4"/>
      <c r="G138" s="4"/>
    </row>
    <row r="139" spans="2:7">
      <c r="B139" s="4"/>
      <c r="C139" s="4"/>
      <c r="D139" s="4"/>
      <c r="E139" s="4"/>
      <c r="F139" s="4"/>
      <c r="G139" s="4"/>
    </row>
    <row r="140" spans="2:7">
      <c r="B140" s="4"/>
      <c r="C140" s="4"/>
      <c r="D140" s="4"/>
      <c r="E140" s="4"/>
      <c r="F140" s="4"/>
      <c r="G140" s="4"/>
    </row>
    <row r="141" spans="2:7">
      <c r="B141" s="4"/>
      <c r="C141" s="4"/>
      <c r="D141" s="4"/>
      <c r="E141" s="4"/>
      <c r="F141" s="4"/>
      <c r="G141" s="4"/>
    </row>
    <row r="142" spans="2:7">
      <c r="B142" s="4"/>
      <c r="C142" s="4"/>
      <c r="D142" s="4"/>
      <c r="E142" s="4"/>
      <c r="F142" s="4"/>
      <c r="G142" s="4"/>
    </row>
    <row r="143" spans="2:7">
      <c r="B143" s="4"/>
      <c r="C143" s="4"/>
      <c r="D143" s="4"/>
      <c r="E143" s="4"/>
      <c r="F143" s="4"/>
      <c r="G143" s="4"/>
    </row>
    <row r="144" spans="2:7">
      <c r="B144" s="4"/>
      <c r="C144" s="4"/>
      <c r="D144" s="4"/>
      <c r="E144" s="4"/>
      <c r="F144" s="4"/>
      <c r="G144" s="4"/>
    </row>
  </sheetData>
  <mergeCells count="4">
    <mergeCell ref="B1:D2"/>
    <mergeCell ref="E1:F2"/>
    <mergeCell ref="B24:B25"/>
    <mergeCell ref="B26:B27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869C-01D1-4F89-BDA5-146F9AD2C8E7}">
  <sheetPr>
    <tabColor rgb="FF92D050"/>
  </sheetPr>
  <dimension ref="A1:I403"/>
  <sheetViews>
    <sheetView showGridLines="0" workbookViewId="0">
      <pane ySplit="2655" topLeftCell="A384" activePane="bottomLeft"/>
      <selection pane="bottomLeft" activeCell="I396" sqref="I396"/>
      <selection activeCell="H1" sqref="H1:K1048576"/>
    </sheetView>
  </sheetViews>
  <sheetFormatPr defaultColWidth="12.42578125" defaultRowHeight="12.75"/>
  <cols>
    <col min="1" max="1" width="10.28515625" style="219" customWidth="1"/>
    <col min="2" max="2" width="11.28515625" style="219" customWidth="1"/>
    <col min="3" max="6" width="13.85546875" style="219" customWidth="1"/>
    <col min="7" max="7" width="16.42578125" style="219" customWidth="1"/>
    <col min="8" max="16384" width="12.42578125" style="219"/>
  </cols>
  <sheetData>
    <row r="1" spans="1:7" s="55" customFormat="1" ht="21" customHeight="1">
      <c r="A1" s="747" t="s">
        <v>136</v>
      </c>
      <c r="B1" s="747"/>
      <c r="C1" s="747"/>
      <c r="D1" s="747"/>
      <c r="E1" s="747"/>
      <c r="F1" s="747"/>
      <c r="G1" s="747"/>
    </row>
    <row r="2" spans="1:7" s="55" customFormat="1" ht="15.75" customHeight="1">
      <c r="A2" s="747"/>
      <c r="B2" s="747"/>
      <c r="C2" s="747"/>
      <c r="D2" s="747"/>
      <c r="E2" s="747"/>
      <c r="F2" s="747"/>
      <c r="G2" s="747"/>
    </row>
    <row r="3" spans="1:7" s="55" customFormat="1" ht="15" customHeight="1" thickBot="1">
      <c r="A3" s="748"/>
      <c r="B3" s="748"/>
      <c r="C3" s="748"/>
      <c r="D3" s="748"/>
      <c r="E3" s="748"/>
      <c r="F3" s="748"/>
      <c r="G3" s="748"/>
    </row>
    <row r="4" spans="1:7" s="55" customFormat="1" ht="17.25" customHeight="1" thickBot="1">
      <c r="A4" s="708" t="s">
        <v>137</v>
      </c>
      <c r="B4" s="709"/>
      <c r="C4" s="710"/>
      <c r="D4" s="711" t="s">
        <v>45</v>
      </c>
      <c r="E4" s="712"/>
      <c r="F4" s="712"/>
      <c r="G4" s="741"/>
    </row>
    <row r="5" spans="1:7" s="55" customFormat="1" ht="15" customHeight="1" thickBot="1">
      <c r="A5" s="713" t="s">
        <v>46</v>
      </c>
      <c r="B5" s="714"/>
      <c r="C5" s="715"/>
      <c r="D5" s="716" t="s">
        <v>47</v>
      </c>
      <c r="E5" s="717"/>
      <c r="F5" s="718"/>
      <c r="G5" s="745" t="s">
        <v>96</v>
      </c>
    </row>
    <row r="6" spans="1:7" s="55" customFormat="1" ht="15.75" customHeight="1" thickBot="1">
      <c r="A6" s="197" t="s">
        <v>49</v>
      </c>
      <c r="B6" s="198" t="s">
        <v>50</v>
      </c>
      <c r="C6" s="198" t="s">
        <v>51</v>
      </c>
      <c r="D6" s="199" t="s">
        <v>52</v>
      </c>
      <c r="E6" s="199" t="s">
        <v>53</v>
      </c>
      <c r="F6" s="199" t="s">
        <v>54</v>
      </c>
      <c r="G6" s="746"/>
    </row>
    <row r="7" spans="1:7" ht="18" hidden="1" customHeight="1">
      <c r="A7" s="213">
        <v>1993</v>
      </c>
      <c r="B7" s="214" t="s">
        <v>55</v>
      </c>
      <c r="C7" s="215">
        <v>8.1</v>
      </c>
      <c r="D7" s="216">
        <v>38.26</v>
      </c>
      <c r="E7" s="216">
        <v>2828.63</v>
      </c>
      <c r="F7" s="217">
        <v>2828.63</v>
      </c>
      <c r="G7" s="218">
        <f t="shared" ref="G7:G70" si="0">+$C$396/C7</f>
        <v>100.79336770663956</v>
      </c>
    </row>
    <row r="8" spans="1:7" ht="18" hidden="1" customHeight="1">
      <c r="A8" s="220">
        <v>1994</v>
      </c>
      <c r="B8" s="221" t="s">
        <v>56</v>
      </c>
      <c r="C8" s="222">
        <v>8.1</v>
      </c>
      <c r="D8" s="223">
        <v>42.67</v>
      </c>
      <c r="E8" s="223">
        <v>2828.63</v>
      </c>
      <c r="F8" s="224"/>
      <c r="G8" s="225">
        <f t="shared" si="0"/>
        <v>100.79336770663956</v>
      </c>
    </row>
    <row r="9" spans="1:7" ht="18" hidden="1" customHeight="1">
      <c r="A9" s="220">
        <v>1994</v>
      </c>
      <c r="B9" s="221" t="s">
        <v>57</v>
      </c>
      <c r="C9" s="222">
        <v>16.437100000000001</v>
      </c>
      <c r="D9" s="223">
        <v>41.98</v>
      </c>
      <c r="E9" s="223">
        <f>100*((C9/8.1)-1)</f>
        <v>102.9271604938272</v>
      </c>
      <c r="F9" s="224"/>
      <c r="G9" s="225">
        <f t="shared" si="0"/>
        <v>49.669727532458907</v>
      </c>
    </row>
    <row r="10" spans="1:7" ht="18" hidden="1" customHeight="1">
      <c r="A10" s="220">
        <v>1994</v>
      </c>
      <c r="B10" s="221" t="s">
        <v>58</v>
      </c>
      <c r="C10" s="222">
        <v>23.252099999999999</v>
      </c>
      <c r="D10" s="223">
        <f>100*((C10/C9)-1)</f>
        <v>41.461084984577546</v>
      </c>
      <c r="E10" s="223">
        <f t="shared" ref="E10:E18" si="1">100*((C10/8.1)-1)</f>
        <v>187.06296296296296</v>
      </c>
      <c r="F10" s="224"/>
      <c r="G10" s="225">
        <f t="shared" si="0"/>
        <v>35.111937348617133</v>
      </c>
    </row>
    <row r="11" spans="1:7" ht="18" hidden="1" customHeight="1">
      <c r="A11" s="220">
        <v>1994</v>
      </c>
      <c r="B11" s="221" t="s">
        <v>59</v>
      </c>
      <c r="C11" s="222">
        <v>34.317900000000002</v>
      </c>
      <c r="D11" s="223">
        <f t="shared" ref="D11:D34" si="2">100*((C11/C10)-1)</f>
        <v>47.590540209271424</v>
      </c>
      <c r="E11" s="223">
        <f t="shared" si="1"/>
        <v>323.67777777777781</v>
      </c>
      <c r="F11" s="224"/>
      <c r="G11" s="225">
        <f t="shared" si="0"/>
        <v>23.790100164164482</v>
      </c>
    </row>
    <row r="12" spans="1:7" ht="18" hidden="1" customHeight="1">
      <c r="A12" s="220">
        <v>1994</v>
      </c>
      <c r="B12" s="221" t="s">
        <v>60</v>
      </c>
      <c r="C12" s="222">
        <v>49.353099999999998</v>
      </c>
      <c r="D12" s="223">
        <f t="shared" si="2"/>
        <v>43.811538584820163</v>
      </c>
      <c r="E12" s="223">
        <f t="shared" si="1"/>
        <v>509.29753086419748</v>
      </c>
      <c r="F12" s="224"/>
      <c r="G12" s="225">
        <f t="shared" si="0"/>
        <v>16.542553120751894</v>
      </c>
    </row>
    <row r="13" spans="1:7" ht="18" hidden="1" customHeight="1">
      <c r="A13" s="220">
        <v>1994</v>
      </c>
      <c r="B13" s="221" t="s">
        <v>61</v>
      </c>
      <c r="C13" s="222">
        <v>73.5869</v>
      </c>
      <c r="D13" s="223">
        <f t="shared" si="2"/>
        <v>49.102893232643964</v>
      </c>
      <c r="E13" s="223">
        <f t="shared" si="1"/>
        <v>808.48024691358023</v>
      </c>
      <c r="F13" s="224"/>
      <c r="G13" s="225">
        <f t="shared" si="0"/>
        <v>11.094723088264084</v>
      </c>
    </row>
    <row r="14" spans="1:7" ht="18" hidden="1" customHeight="1">
      <c r="A14" s="220">
        <v>1994</v>
      </c>
      <c r="B14" s="221" t="s">
        <v>62</v>
      </c>
      <c r="C14" s="222">
        <v>97.464100000000002</v>
      </c>
      <c r="D14" s="223">
        <f t="shared" si="2"/>
        <v>32.447623150316154</v>
      </c>
      <c r="E14" s="223">
        <f t="shared" si="1"/>
        <v>1103.2604938271606</v>
      </c>
      <c r="F14" s="224"/>
      <c r="G14" s="225">
        <f t="shared" si="0"/>
        <v>8.3766871948110158</v>
      </c>
    </row>
    <row r="15" spans="1:7" ht="18" hidden="1" customHeight="1">
      <c r="A15" s="220">
        <v>1994</v>
      </c>
      <c r="B15" s="221" t="s">
        <v>63</v>
      </c>
      <c r="C15" s="222">
        <v>100</v>
      </c>
      <c r="D15" s="223">
        <f t="shared" si="2"/>
        <v>2.6018811028881483</v>
      </c>
      <c r="E15" s="223">
        <f t="shared" si="1"/>
        <v>1134.5679012345679</v>
      </c>
      <c r="F15" s="224"/>
      <c r="G15" s="225">
        <f t="shared" si="0"/>
        <v>8.1642627842378026</v>
      </c>
    </row>
    <row r="16" spans="1:7" ht="18" hidden="1" customHeight="1">
      <c r="A16" s="220">
        <v>1994</v>
      </c>
      <c r="B16" s="221" t="s">
        <v>64</v>
      </c>
      <c r="C16" s="222">
        <v>101.458</v>
      </c>
      <c r="D16" s="223">
        <f t="shared" si="2"/>
        <v>1.4580000000000037</v>
      </c>
      <c r="E16" s="223">
        <f t="shared" si="1"/>
        <v>1152.5679012345679</v>
      </c>
      <c r="F16" s="224"/>
      <c r="G16" s="225">
        <f t="shared" si="0"/>
        <v>8.0469384220443967</v>
      </c>
    </row>
    <row r="17" spans="1:7" ht="18" hidden="1" customHeight="1">
      <c r="A17" s="220">
        <v>1994</v>
      </c>
      <c r="B17" s="221" t="s">
        <v>65</v>
      </c>
      <c r="C17" s="222">
        <v>104.143</v>
      </c>
      <c r="D17" s="223">
        <f t="shared" si="2"/>
        <v>2.6464152654300355</v>
      </c>
      <c r="E17" s="223">
        <f t="shared" si="1"/>
        <v>1185.7160493827162</v>
      </c>
      <c r="F17" s="224"/>
      <c r="G17" s="225">
        <f t="shared" si="0"/>
        <v>7.8394734012250495</v>
      </c>
    </row>
    <row r="18" spans="1:7" ht="18" hidden="1" customHeight="1">
      <c r="A18" s="220">
        <v>1994</v>
      </c>
      <c r="B18" s="221" t="s">
        <v>66</v>
      </c>
      <c r="C18" s="222">
        <v>107.381</v>
      </c>
      <c r="D18" s="223">
        <f t="shared" si="2"/>
        <v>3.1091864071516984</v>
      </c>
      <c r="E18" s="223">
        <f t="shared" si="1"/>
        <v>1225.6913580246915</v>
      </c>
      <c r="F18" s="224"/>
      <c r="G18" s="225">
        <f t="shared" si="0"/>
        <v>7.6030794872815521</v>
      </c>
    </row>
    <row r="19" spans="1:7" ht="18" hidden="1" customHeight="1">
      <c r="A19" s="220">
        <v>1994</v>
      </c>
      <c r="B19" s="221" t="s">
        <v>55</v>
      </c>
      <c r="C19" s="222">
        <v>108.577</v>
      </c>
      <c r="D19" s="223">
        <f t="shared" si="2"/>
        <v>1.113791080358717</v>
      </c>
      <c r="E19" s="223">
        <f>100*($C$18/$C$7-1)</f>
        <v>1225.6913580246915</v>
      </c>
      <c r="F19" s="224">
        <f>100*($C$18/$C$7-1)</f>
        <v>1225.6913580246915</v>
      </c>
      <c r="G19" s="225">
        <f t="shared" si="0"/>
        <v>7.5193298619761126</v>
      </c>
    </row>
    <row r="20" spans="1:7" ht="18" hidden="1" customHeight="1">
      <c r="A20" s="220">
        <v>1995</v>
      </c>
      <c r="B20" s="221" t="s">
        <v>56</v>
      </c>
      <c r="C20" s="222">
        <v>110.342</v>
      </c>
      <c r="D20" s="223">
        <f>100*((C20/C19)-1)</f>
        <v>1.625574477099212</v>
      </c>
      <c r="E20" s="223">
        <f>100*((C20/108.58)-1)</f>
        <v>1.6227666236876104</v>
      </c>
      <c r="F20" s="224">
        <f>100*($C$18/$C$7-1)</f>
        <v>1225.6913580246915</v>
      </c>
      <c r="G20" s="225">
        <f t="shared" si="0"/>
        <v>7.3990527489422009</v>
      </c>
    </row>
    <row r="21" spans="1:7" ht="18" hidden="1" customHeight="1">
      <c r="A21" s="220">
        <v>1995</v>
      </c>
      <c r="B21" s="221" t="s">
        <v>57</v>
      </c>
      <c r="C21" s="222">
        <v>112.51300000000001</v>
      </c>
      <c r="D21" s="223">
        <f>100*((C21/C20)-1)</f>
        <v>1.9675191676786774</v>
      </c>
      <c r="E21" s="223">
        <f>100*((C21/108.58)-1)</f>
        <v>3.6222140357340171</v>
      </c>
      <c r="F21" s="224">
        <f t="shared" ref="F21:F34" si="3">100*((C21/C9)-1)</f>
        <v>584.50639103004789</v>
      </c>
      <c r="G21" s="225">
        <f t="shared" si="0"/>
        <v>7.2562839709525147</v>
      </c>
    </row>
    <row r="22" spans="1:7" ht="18" hidden="1" customHeight="1">
      <c r="A22" s="220">
        <v>1995</v>
      </c>
      <c r="B22" s="221" t="s">
        <v>58</v>
      </c>
      <c r="C22" s="222">
        <v>115.593</v>
      </c>
      <c r="D22" s="223">
        <f t="shared" si="2"/>
        <v>2.7374614488992366</v>
      </c>
      <c r="E22" s="223">
        <f>100*((C22/108.58)-1)</f>
        <v>6.4588321974581087</v>
      </c>
      <c r="F22" s="224">
        <f t="shared" si="3"/>
        <v>397.12929154786025</v>
      </c>
      <c r="G22" s="225">
        <f t="shared" si="0"/>
        <v>7.0629387456314854</v>
      </c>
    </row>
    <row r="23" spans="1:7" ht="18" hidden="1" customHeight="1">
      <c r="A23" s="220">
        <v>1995</v>
      </c>
      <c r="B23" s="221" t="s">
        <v>59</v>
      </c>
      <c r="C23" s="222">
        <v>118.941</v>
      </c>
      <c r="D23" s="223">
        <f t="shared" si="2"/>
        <v>2.8963691573019146</v>
      </c>
      <c r="E23" s="223">
        <f t="shared" ref="E23:E29" si="4">100*((C23/108.58)-1)</f>
        <v>9.5422729784490734</v>
      </c>
      <c r="F23" s="224">
        <f t="shared" si="3"/>
        <v>246.5858924934218</v>
      </c>
      <c r="G23" s="225">
        <f t="shared" si="0"/>
        <v>6.8641282520222662</v>
      </c>
    </row>
    <row r="24" spans="1:7" ht="18" hidden="1" customHeight="1">
      <c r="A24" s="220">
        <v>1995</v>
      </c>
      <c r="B24" s="221" t="s">
        <v>60</v>
      </c>
      <c r="C24" s="222">
        <v>121.568</v>
      </c>
      <c r="D24" s="223">
        <f t="shared" si="2"/>
        <v>2.2086580741712325</v>
      </c>
      <c r="E24" s="223">
        <f t="shared" si="4"/>
        <v>11.961687235218266</v>
      </c>
      <c r="F24" s="224">
        <f t="shared" si="3"/>
        <v>146.32292601680544</v>
      </c>
      <c r="G24" s="225">
        <f t="shared" si="0"/>
        <v>6.7157992105141187</v>
      </c>
    </row>
    <row r="25" spans="1:7" ht="18" hidden="1" customHeight="1">
      <c r="A25" s="220">
        <v>1995</v>
      </c>
      <c r="B25" s="221" t="s">
        <v>61</v>
      </c>
      <c r="C25" s="222">
        <v>126.91</v>
      </c>
      <c r="D25" s="223">
        <f t="shared" si="2"/>
        <v>4.3942484864438081</v>
      </c>
      <c r="E25" s="223">
        <f t="shared" si="4"/>
        <v>16.881561981948789</v>
      </c>
      <c r="F25" s="224">
        <f t="shared" si="3"/>
        <v>72.462761714381216</v>
      </c>
      <c r="G25" s="225">
        <f t="shared" si="0"/>
        <v>6.4331122718759781</v>
      </c>
    </row>
    <row r="26" spans="1:7" ht="18" hidden="1" customHeight="1">
      <c r="A26" s="220">
        <v>1995</v>
      </c>
      <c r="B26" s="221" t="s">
        <v>62</v>
      </c>
      <c r="C26" s="222">
        <v>130.24299999999999</v>
      </c>
      <c r="D26" s="223">
        <f t="shared" si="2"/>
        <v>2.6262705854542601</v>
      </c>
      <c r="E26" s="223">
        <f t="shared" si="4"/>
        <v>19.95118806410019</v>
      </c>
      <c r="F26" s="224">
        <f t="shared" si="3"/>
        <v>33.631768004834584</v>
      </c>
      <c r="G26" s="225">
        <f t="shared" si="0"/>
        <v>6.2684848968756892</v>
      </c>
    </row>
    <row r="27" spans="1:7" ht="18" hidden="1" customHeight="1">
      <c r="A27" s="220">
        <v>1995</v>
      </c>
      <c r="B27" s="221" t="s">
        <v>63</v>
      </c>
      <c r="C27" s="222">
        <v>131.21</v>
      </c>
      <c r="D27" s="223">
        <f t="shared" si="2"/>
        <v>0.74245832789479049</v>
      </c>
      <c r="E27" s="223">
        <f t="shared" si="4"/>
        <v>20.841775649290859</v>
      </c>
      <c r="F27" s="224">
        <f t="shared" si="3"/>
        <v>31.210000000000004</v>
      </c>
      <c r="G27" s="225">
        <f t="shared" si="0"/>
        <v>6.222287008793387</v>
      </c>
    </row>
    <row r="28" spans="1:7" ht="18" hidden="1" customHeight="1">
      <c r="A28" s="220">
        <v>1995</v>
      </c>
      <c r="B28" s="221" t="s">
        <v>64</v>
      </c>
      <c r="C28" s="222">
        <v>132.095</v>
      </c>
      <c r="D28" s="223">
        <f t="shared" si="2"/>
        <v>0.67449127353096383</v>
      </c>
      <c r="E28" s="223">
        <f t="shared" si="4"/>
        <v>21.656842880825188</v>
      </c>
      <c r="F28" s="224">
        <f t="shared" si="3"/>
        <v>30.196731652506447</v>
      </c>
      <c r="G28" s="225">
        <f t="shared" si="0"/>
        <v>6.1805994051537176</v>
      </c>
    </row>
    <row r="29" spans="1:7" ht="18" hidden="1" customHeight="1">
      <c r="A29" s="220">
        <v>1995</v>
      </c>
      <c r="B29" s="221" t="s">
        <v>65</v>
      </c>
      <c r="C29" s="222">
        <v>132.93299999999999</v>
      </c>
      <c r="D29" s="223">
        <f t="shared" si="2"/>
        <v>0.63439191490972657</v>
      </c>
      <c r="E29" s="223">
        <f t="shared" si="4"/>
        <v>22.42862405599557</v>
      </c>
      <c r="F29" s="224">
        <f t="shared" si="3"/>
        <v>27.644680871493989</v>
      </c>
      <c r="G29" s="225">
        <f t="shared" si="0"/>
        <v>6.1416373543347431</v>
      </c>
    </row>
    <row r="30" spans="1:7" ht="18" hidden="1" customHeight="1">
      <c r="A30" s="220">
        <v>1995</v>
      </c>
      <c r="B30" s="221" t="s">
        <v>66</v>
      </c>
      <c r="C30" s="222">
        <v>134.595</v>
      </c>
      <c r="D30" s="223">
        <f t="shared" si="2"/>
        <v>1.250253887296604</v>
      </c>
      <c r="E30" s="223">
        <f>100*((C30/108.58)-1)</f>
        <v>23.95929268741941</v>
      </c>
      <c r="F30" s="224">
        <f t="shared" si="3"/>
        <v>25.34340339538652</v>
      </c>
      <c r="G30" s="225">
        <f t="shared" si="0"/>
        <v>6.0657994607807151</v>
      </c>
    </row>
    <row r="31" spans="1:7" ht="18" hidden="1" customHeight="1">
      <c r="A31" s="220">
        <v>1995</v>
      </c>
      <c r="B31" s="221" t="s">
        <v>55</v>
      </c>
      <c r="C31" s="222">
        <v>136.71</v>
      </c>
      <c r="D31" s="223">
        <f t="shared" si="2"/>
        <v>1.5713808090939585</v>
      </c>
      <c r="E31" s="223">
        <f>100*((C31/108.58)-1)</f>
        <v>25.907165223798124</v>
      </c>
      <c r="F31" s="224">
        <f t="shared" si="3"/>
        <v>25.910644059054878</v>
      </c>
      <c r="G31" s="225">
        <f t="shared" si="0"/>
        <v>5.971957270307807</v>
      </c>
    </row>
    <row r="32" spans="1:7" ht="18" hidden="1" customHeight="1">
      <c r="A32" s="220">
        <v>1996</v>
      </c>
      <c r="B32" s="221" t="s">
        <v>56</v>
      </c>
      <c r="C32" s="222">
        <v>140.399</v>
      </c>
      <c r="D32" s="223">
        <f>100*((C32/C31)-1)</f>
        <v>2.6984126984126888</v>
      </c>
      <c r="E32" s="223">
        <f>100*((C32/C$31)-1)</f>
        <v>2.6984126984126888</v>
      </c>
      <c r="F32" s="224">
        <f t="shared" si="3"/>
        <v>27.239854271265695</v>
      </c>
      <c r="G32" s="225">
        <f t="shared" si="0"/>
        <v>5.8150434007633978</v>
      </c>
    </row>
    <row r="33" spans="1:7" ht="18" hidden="1" customHeight="1">
      <c r="A33" s="220">
        <v>1996</v>
      </c>
      <c r="B33" s="221" t="s">
        <v>57</v>
      </c>
      <c r="C33" s="222">
        <v>142.44200000000001</v>
      </c>
      <c r="D33" s="223">
        <f>100*((C33/C32)-1)</f>
        <v>1.4551385693630348</v>
      </c>
      <c r="E33" s="223">
        <f t="shared" ref="E33:E43" si="5">100*((C33/C$31)-1)</f>
        <v>4.1928169117109171</v>
      </c>
      <c r="F33" s="224">
        <f t="shared" si="3"/>
        <v>26.600481722112114</v>
      </c>
      <c r="G33" s="225">
        <f t="shared" si="0"/>
        <v>5.7316400950827724</v>
      </c>
    </row>
    <row r="34" spans="1:7" ht="18" hidden="1" customHeight="1">
      <c r="A34" s="220">
        <v>1996</v>
      </c>
      <c r="B34" s="221" t="s">
        <v>58</v>
      </c>
      <c r="C34" s="222">
        <v>143.05600000000001</v>
      </c>
      <c r="D34" s="223">
        <f t="shared" si="2"/>
        <v>0.43105263896885404</v>
      </c>
      <c r="E34" s="223">
        <f t="shared" si="5"/>
        <v>4.6419427986248207</v>
      </c>
      <c r="F34" s="224">
        <f t="shared" si="3"/>
        <v>23.758359070185907</v>
      </c>
      <c r="G34" s="225">
        <f t="shared" si="0"/>
        <v>5.7070397496349701</v>
      </c>
    </row>
    <row r="35" spans="1:7" ht="18" hidden="1" customHeight="1">
      <c r="A35" s="220">
        <v>1996</v>
      </c>
      <c r="B35" s="221" t="s">
        <v>59</v>
      </c>
      <c r="C35" s="222">
        <v>144.934</v>
      </c>
      <c r="D35" s="223">
        <f>100*((C35/C34)-1)</f>
        <v>1.312772620512237</v>
      </c>
      <c r="E35" s="223">
        <f t="shared" si="5"/>
        <v>6.0156535732572625</v>
      </c>
      <c r="F35" s="224">
        <f>100*((C35/C23)-1)</f>
        <v>21.853692166704498</v>
      </c>
      <c r="G35" s="225">
        <f t="shared" si="0"/>
        <v>5.6330900853062795</v>
      </c>
    </row>
    <row r="36" spans="1:7" ht="18" hidden="1" customHeight="1">
      <c r="A36" s="220">
        <v>1996</v>
      </c>
      <c r="B36" s="221" t="s">
        <v>60</v>
      </c>
      <c r="C36" s="222">
        <f>+C35*(1+D36/100)</f>
        <v>147.94862719999998</v>
      </c>
      <c r="D36" s="223">
        <v>2.08</v>
      </c>
      <c r="E36" s="223">
        <f t="shared" si="5"/>
        <v>8.2207791675809929</v>
      </c>
      <c r="F36" s="224">
        <f t="shared" ref="F36:F52" si="6">100*((C36/C24)-1)</f>
        <v>21.700305343511438</v>
      </c>
      <c r="G36" s="225">
        <f t="shared" si="0"/>
        <v>5.5183092528470619</v>
      </c>
    </row>
    <row r="37" spans="1:7" ht="18" hidden="1" customHeight="1">
      <c r="A37" s="220">
        <v>1996</v>
      </c>
      <c r="B37" s="221" t="s">
        <v>61</v>
      </c>
      <c r="C37" s="222">
        <f t="shared" ref="C37:C46" si="7">+C36*(1+D37/100)</f>
        <v>150.27142064703997</v>
      </c>
      <c r="D37" s="223">
        <v>1.57</v>
      </c>
      <c r="E37" s="223">
        <f t="shared" si="5"/>
        <v>9.9198454005120063</v>
      </c>
      <c r="F37" s="224">
        <f t="shared" si="6"/>
        <v>18.407864350358505</v>
      </c>
      <c r="G37" s="225">
        <f t="shared" si="0"/>
        <v>5.4330109804539353</v>
      </c>
    </row>
    <row r="38" spans="1:7" ht="18" hidden="1" customHeight="1">
      <c r="A38" s="220">
        <v>1996</v>
      </c>
      <c r="B38" s="221" t="s">
        <v>62</v>
      </c>
      <c r="C38" s="222">
        <f t="shared" si="7"/>
        <v>151.41348344395749</v>
      </c>
      <c r="D38" s="223">
        <v>0.76</v>
      </c>
      <c r="E38" s="223">
        <f t="shared" si="5"/>
        <v>10.755236225555898</v>
      </c>
      <c r="F38" s="224">
        <f t="shared" si="6"/>
        <v>16.254603659281109</v>
      </c>
      <c r="G38" s="225">
        <f t="shared" si="0"/>
        <v>5.392031540744278</v>
      </c>
    </row>
    <row r="39" spans="1:7" ht="18" hidden="1" customHeight="1">
      <c r="A39" s="220">
        <v>1996</v>
      </c>
      <c r="B39" s="221" t="s">
        <v>63</v>
      </c>
      <c r="C39" s="222">
        <f t="shared" si="7"/>
        <v>151.42862479230189</v>
      </c>
      <c r="D39" s="223">
        <v>0.01</v>
      </c>
      <c r="E39" s="223">
        <f t="shared" si="5"/>
        <v>10.76631174917846</v>
      </c>
      <c r="F39" s="224">
        <f t="shared" si="6"/>
        <v>15.409362695146612</v>
      </c>
      <c r="G39" s="225">
        <f t="shared" si="0"/>
        <v>5.3914923915051274</v>
      </c>
    </row>
    <row r="40" spans="1:7" ht="18" hidden="1" customHeight="1">
      <c r="A40" s="220">
        <v>1996</v>
      </c>
      <c r="B40" s="221" t="s">
        <v>64</v>
      </c>
      <c r="C40" s="222">
        <f t="shared" si="7"/>
        <v>150.89862460552885</v>
      </c>
      <c r="D40" s="223">
        <v>-0.35</v>
      </c>
      <c r="E40" s="223">
        <f t="shared" si="5"/>
        <v>10.37862965805636</v>
      </c>
      <c r="F40" s="224">
        <f t="shared" si="6"/>
        <v>14.234925323084791</v>
      </c>
      <c r="G40" s="225">
        <f t="shared" si="0"/>
        <v>5.4104288926293291</v>
      </c>
    </row>
    <row r="41" spans="1:7" ht="18" hidden="1" customHeight="1">
      <c r="A41" s="220">
        <v>1996</v>
      </c>
      <c r="B41" s="221" t="s">
        <v>65</v>
      </c>
      <c r="C41" s="222">
        <f t="shared" si="7"/>
        <v>151.1702421298188</v>
      </c>
      <c r="D41" s="223">
        <v>0.18</v>
      </c>
      <c r="E41" s="223">
        <f t="shared" si="5"/>
        <v>10.577311191440852</v>
      </c>
      <c r="F41" s="224">
        <f t="shared" si="6"/>
        <v>13.71912326496718</v>
      </c>
      <c r="G41" s="225">
        <f t="shared" si="0"/>
        <v>5.4007076189152823</v>
      </c>
    </row>
    <row r="42" spans="1:7" ht="18" hidden="1" customHeight="1">
      <c r="A42" s="220">
        <v>1996</v>
      </c>
      <c r="B42" s="221" t="s">
        <v>66</v>
      </c>
      <c r="C42" s="222">
        <f t="shared" si="7"/>
        <v>151.54816773514335</v>
      </c>
      <c r="D42" s="223">
        <v>0.25</v>
      </c>
      <c r="E42" s="223">
        <f t="shared" si="5"/>
        <v>10.853754469419453</v>
      </c>
      <c r="F42" s="224">
        <f t="shared" si="6"/>
        <v>12.595689093312057</v>
      </c>
      <c r="G42" s="225">
        <f t="shared" si="0"/>
        <v>5.3872395201149939</v>
      </c>
    </row>
    <row r="43" spans="1:7" ht="18" hidden="1" customHeight="1">
      <c r="A43" s="220">
        <v>1996</v>
      </c>
      <c r="B43" s="221" t="s">
        <v>55</v>
      </c>
      <c r="C43" s="222">
        <v>152.22</v>
      </c>
      <c r="D43" s="223">
        <v>0.44</v>
      </c>
      <c r="E43" s="223">
        <f t="shared" si="5"/>
        <v>11.345183234584155</v>
      </c>
      <c r="F43" s="224">
        <f t="shared" si="6"/>
        <v>11.345183234584155</v>
      </c>
      <c r="G43" s="225">
        <f t="shared" si="0"/>
        <v>5.3634626095373825</v>
      </c>
    </row>
    <row r="44" spans="1:7" ht="18" hidden="1" customHeight="1">
      <c r="A44" s="220">
        <v>1997</v>
      </c>
      <c r="B44" s="221" t="s">
        <v>56</v>
      </c>
      <c r="C44" s="222">
        <f t="shared" si="7"/>
        <v>155.03607</v>
      </c>
      <c r="D44" s="223">
        <v>1.85</v>
      </c>
      <c r="E44" s="223">
        <f>100*(C44/C$43-1)</f>
        <v>1.8499999999999961</v>
      </c>
      <c r="F44" s="224">
        <f t="shared" si="6"/>
        <v>10.425337787306166</v>
      </c>
      <c r="G44" s="225">
        <f t="shared" si="0"/>
        <v>5.2660408537431342</v>
      </c>
    </row>
    <row r="45" spans="1:7" ht="18" hidden="1" customHeight="1">
      <c r="A45" s="220">
        <v>1997</v>
      </c>
      <c r="B45" s="221" t="s">
        <v>57</v>
      </c>
      <c r="C45" s="222">
        <f t="shared" si="7"/>
        <v>155.85776117100002</v>
      </c>
      <c r="D45" s="223">
        <v>0.53</v>
      </c>
      <c r="E45" s="223">
        <f>100*(C45/C$43-1)</f>
        <v>2.3898050000000115</v>
      </c>
      <c r="F45" s="224">
        <f t="shared" si="6"/>
        <v>9.4184026979402304</v>
      </c>
      <c r="G45" s="225">
        <f t="shared" si="0"/>
        <v>5.2382779804467656</v>
      </c>
    </row>
    <row r="46" spans="1:7" ht="18" hidden="1" customHeight="1">
      <c r="A46" s="220">
        <v>1997</v>
      </c>
      <c r="B46" s="221" t="s">
        <v>58</v>
      </c>
      <c r="C46" s="222">
        <f t="shared" si="7"/>
        <v>156.83966506637731</v>
      </c>
      <c r="D46" s="223">
        <v>0.63</v>
      </c>
      <c r="E46" s="223">
        <f>100*(C46/C$43-1)</f>
        <v>3.0348607715000142</v>
      </c>
      <c r="F46" s="224">
        <f t="shared" si="6"/>
        <v>9.6351534129133221</v>
      </c>
      <c r="G46" s="225">
        <f t="shared" si="0"/>
        <v>5.205483434807479</v>
      </c>
    </row>
    <row r="47" spans="1:7" ht="18" hidden="1" customHeight="1">
      <c r="A47" s="220">
        <v>1997</v>
      </c>
      <c r="B47" s="221" t="s">
        <v>59</v>
      </c>
      <c r="C47" s="222">
        <v>158.09299999999999</v>
      </c>
      <c r="D47" s="223">
        <v>0.8</v>
      </c>
      <c r="E47" s="223">
        <f t="shared" ref="E47:E52" si="8">100*((C47/152.22)-1)</f>
        <v>3.8582315070292861</v>
      </c>
      <c r="F47" s="224">
        <f t="shared" si="6"/>
        <v>9.0793050629941909</v>
      </c>
      <c r="G47" s="225">
        <f t="shared" si="0"/>
        <v>5.1642152304262705</v>
      </c>
    </row>
    <row r="48" spans="1:7" ht="18" hidden="1" customHeight="1">
      <c r="A48" s="220">
        <v>1997</v>
      </c>
      <c r="B48" s="221" t="s">
        <v>60</v>
      </c>
      <c r="C48" s="222">
        <v>158.709</v>
      </c>
      <c r="D48" s="223">
        <f>100*((C48/C47)-1)</f>
        <v>0.38964407026245151</v>
      </c>
      <c r="E48" s="223">
        <f t="shared" si="8"/>
        <v>4.262908947575883</v>
      </c>
      <c r="F48" s="224">
        <f t="shared" si="6"/>
        <v>7.2730467349683137</v>
      </c>
      <c r="G48" s="225">
        <f t="shared" si="0"/>
        <v>5.1441712721003867</v>
      </c>
    </row>
    <row r="49" spans="1:7" ht="18" hidden="1" customHeight="1">
      <c r="A49" s="220">
        <v>1997</v>
      </c>
      <c r="B49" s="221" t="s">
        <v>61</v>
      </c>
      <c r="C49" s="222">
        <v>160.77000000000001</v>
      </c>
      <c r="D49" s="223">
        <f>100*((C49/C48)-1)</f>
        <v>1.2986031037937495</v>
      </c>
      <c r="E49" s="223">
        <f t="shared" si="8"/>
        <v>5.616870319274736</v>
      </c>
      <c r="F49" s="224">
        <f t="shared" si="6"/>
        <v>6.986411193662212</v>
      </c>
      <c r="G49" s="225">
        <f t="shared" si="0"/>
        <v>5.0782252809838919</v>
      </c>
    </row>
    <row r="50" spans="1:7" ht="18" hidden="1" customHeight="1">
      <c r="A50" s="220">
        <v>1997</v>
      </c>
      <c r="B50" s="221" t="s">
        <v>62</v>
      </c>
      <c r="C50" s="222">
        <v>161.15</v>
      </c>
      <c r="D50" s="223">
        <f>100*((C50/C49)-1)</f>
        <v>0.23636250544254445</v>
      </c>
      <c r="E50" s="223">
        <f t="shared" si="8"/>
        <v>5.8665090001313924</v>
      </c>
      <c r="F50" s="224">
        <f t="shared" si="6"/>
        <v>6.4304157955960894</v>
      </c>
      <c r="G50" s="225">
        <f t="shared" si="0"/>
        <v>5.0662505642183078</v>
      </c>
    </row>
    <row r="51" spans="1:7" ht="18" hidden="1" customHeight="1">
      <c r="A51" s="220">
        <v>1997</v>
      </c>
      <c r="B51" s="221" t="s">
        <v>63</v>
      </c>
      <c r="C51" s="222">
        <v>160.71</v>
      </c>
      <c r="D51" s="223">
        <f>100*((C51/C50)-1)</f>
        <v>-0.27303754266211344</v>
      </c>
      <c r="E51" s="223">
        <f t="shared" si="8"/>
        <v>5.5774536854552581</v>
      </c>
      <c r="F51" s="224">
        <f t="shared" si="6"/>
        <v>6.1292078828744323</v>
      </c>
      <c r="G51" s="225">
        <f t="shared" si="0"/>
        <v>5.0801212023133608</v>
      </c>
    </row>
    <row r="52" spans="1:7" ht="18" hidden="1" customHeight="1">
      <c r="A52" s="220">
        <v>1997</v>
      </c>
      <c r="B52" s="221" t="s">
        <v>64</v>
      </c>
      <c r="C52" s="222">
        <v>160.977</v>
      </c>
      <c r="D52" s="223">
        <f>100*((C52/C51)-1)</f>
        <v>0.16613776367369049</v>
      </c>
      <c r="E52" s="223">
        <f t="shared" si="8"/>
        <v>5.7528577059519082</v>
      </c>
      <c r="F52" s="224">
        <f t="shared" si="6"/>
        <v>6.6789047420528158</v>
      </c>
      <c r="G52" s="225">
        <f t="shared" si="0"/>
        <v>5.0716952013255332</v>
      </c>
    </row>
    <row r="53" spans="1:7" ht="18" hidden="1" customHeight="1">
      <c r="A53" s="220">
        <v>1997</v>
      </c>
      <c r="B53" s="221" t="s">
        <v>65</v>
      </c>
      <c r="C53" s="222">
        <v>161.47</v>
      </c>
      <c r="D53" s="223">
        <v>0.28999999999999998</v>
      </c>
      <c r="E53" s="223">
        <f>100*(($C$53/$C$43)-1)</f>
        <v>6.0767310471685709</v>
      </c>
      <c r="F53" s="224">
        <v>6.81</v>
      </c>
      <c r="G53" s="225">
        <f t="shared" si="0"/>
        <v>5.0562103079443883</v>
      </c>
    </row>
    <row r="54" spans="1:7" ht="18" hidden="1" customHeight="1">
      <c r="A54" s="220">
        <v>1997</v>
      </c>
      <c r="B54" s="221" t="s">
        <v>66</v>
      </c>
      <c r="C54" s="222">
        <v>162.32</v>
      </c>
      <c r="D54" s="223">
        <f>100*($C$54/$C$53-1)</f>
        <v>0.52641357527714039</v>
      </c>
      <c r="E54" s="223">
        <f>100*(($C$54/$C$43)-1)</f>
        <v>6.6351333596110784</v>
      </c>
      <c r="F54" s="224">
        <v>7.1</v>
      </c>
      <c r="G54" s="225">
        <f t="shared" si="0"/>
        <v>5.0297331100528604</v>
      </c>
    </row>
    <row r="55" spans="1:7" ht="18" hidden="1" customHeight="1">
      <c r="A55" s="220">
        <v>1997</v>
      </c>
      <c r="B55" s="221" t="s">
        <v>55</v>
      </c>
      <c r="C55" s="222">
        <v>163.22999999999999</v>
      </c>
      <c r="D55" s="223">
        <f>100*($C$55/$C$54-1)</f>
        <v>0.56062099556430933</v>
      </c>
      <c r="E55" s="223">
        <f>100*(($C$55/$C$43)-1)</f>
        <v>7.2329523058730638</v>
      </c>
      <c r="F55" s="224">
        <v>7.23</v>
      </c>
      <c r="G55" s="225">
        <f t="shared" si="0"/>
        <v>5.0016925713642122</v>
      </c>
    </row>
    <row r="56" spans="1:7" ht="18" hidden="1" customHeight="1">
      <c r="A56" s="220">
        <v>1998</v>
      </c>
      <c r="B56" s="221" t="s">
        <v>56</v>
      </c>
      <c r="C56" s="222">
        <v>165.29</v>
      </c>
      <c r="D56" s="223">
        <f>100*($C$56/$C$55-1)</f>
        <v>1.2620229124548299</v>
      </c>
      <c r="E56" s="223">
        <f>100*($C$56/$C$55-1)</f>
        <v>1.2620229124548299</v>
      </c>
      <c r="F56" s="224">
        <v>6.61</v>
      </c>
      <c r="G56" s="225">
        <f t="shared" si="0"/>
        <v>4.9393567573584631</v>
      </c>
    </row>
    <row r="57" spans="1:7" ht="18" hidden="1" customHeight="1">
      <c r="A57" s="220">
        <v>1998</v>
      </c>
      <c r="B57" s="221" t="s">
        <v>57</v>
      </c>
      <c r="C57" s="222">
        <v>165.52</v>
      </c>
      <c r="D57" s="223">
        <f>100*($C$57/$C$56-1)</f>
        <v>0.13914937382781822</v>
      </c>
      <c r="E57" s="223">
        <f>100*($C$57/$C$55-1)</f>
        <v>1.4029283832629025</v>
      </c>
      <c r="F57" s="224">
        <v>6.2</v>
      </c>
      <c r="G57" s="225">
        <f t="shared" si="0"/>
        <v>4.9324932239232737</v>
      </c>
    </row>
    <row r="58" spans="1:7" ht="18" hidden="1" customHeight="1">
      <c r="A58" s="220">
        <v>1998</v>
      </c>
      <c r="B58" s="221" t="s">
        <v>58</v>
      </c>
      <c r="C58" s="222">
        <v>166.07</v>
      </c>
      <c r="D58" s="223">
        <f>100*($C$58/$C$57-1)</f>
        <v>0.33228612856450734</v>
      </c>
      <c r="E58" s="223">
        <f>100*($C$58/$C$55-1)</f>
        <v>1.7398762482386809</v>
      </c>
      <c r="F58" s="224">
        <v>5.88</v>
      </c>
      <c r="G58" s="225">
        <f t="shared" si="0"/>
        <v>4.916157514444393</v>
      </c>
    </row>
    <row r="59" spans="1:7" ht="18" hidden="1" customHeight="1">
      <c r="A59" s="220">
        <v>1998</v>
      </c>
      <c r="B59" s="221" t="s">
        <v>59</v>
      </c>
      <c r="C59" s="222">
        <v>166.45</v>
      </c>
      <c r="D59" s="223">
        <f>100*($C$59/$C$58-1)</f>
        <v>0.22881917263803953</v>
      </c>
      <c r="E59" s="223">
        <f>100*($C$59/$C$55-1)</f>
        <v>1.9726765913128608</v>
      </c>
      <c r="F59" s="224">
        <v>5.28</v>
      </c>
      <c r="G59" s="225">
        <f t="shared" si="0"/>
        <v>4.9049340848529912</v>
      </c>
    </row>
    <row r="60" spans="1:7" ht="18" hidden="1" customHeight="1">
      <c r="A60" s="220">
        <v>1998</v>
      </c>
      <c r="B60" s="221" t="s">
        <v>60</v>
      </c>
      <c r="C60" s="222">
        <v>166.68</v>
      </c>
      <c r="D60" s="223">
        <f>100*($C$60/$C$59-1)</f>
        <v>0.13817963352358298</v>
      </c>
      <c r="E60" s="223">
        <f>100*($C$60/$C$55-1)</f>
        <v>2.1135820621209334</v>
      </c>
      <c r="F60" s="224">
        <v>5.0199999999999996</v>
      </c>
      <c r="G60" s="225">
        <f t="shared" si="0"/>
        <v>4.8981658172772997</v>
      </c>
    </row>
    <row r="61" spans="1:7" ht="18" hidden="1" customHeight="1">
      <c r="A61" s="220">
        <v>1998</v>
      </c>
      <c r="B61" s="221" t="s">
        <v>61</v>
      </c>
      <c r="C61" s="222">
        <v>167.37</v>
      </c>
      <c r="D61" s="223">
        <f>100*($C$60/$C$59-1)</f>
        <v>0.13817963352358298</v>
      </c>
      <c r="E61" s="223">
        <f>100*($C$61/$C$55-1)</f>
        <v>2.5362984745451289</v>
      </c>
      <c r="F61" s="224">
        <v>4.0999999999999996</v>
      </c>
      <c r="G61" s="225">
        <f t="shared" si="0"/>
        <v>4.8779726260607053</v>
      </c>
    </row>
    <row r="62" spans="1:7" ht="18" hidden="1" customHeight="1">
      <c r="A62" s="220">
        <v>1998</v>
      </c>
      <c r="B62" s="221" t="s">
        <v>62</v>
      </c>
      <c r="C62" s="222">
        <v>166.95</v>
      </c>
      <c r="D62" s="223">
        <f>100*($C$61/$C$60-1)</f>
        <v>0.41396688264938586</v>
      </c>
      <c r="E62" s="223">
        <f>100*($C$62/$C$55-1)</f>
        <v>2.2789928321999664</v>
      </c>
      <c r="F62" s="224">
        <v>3.59</v>
      </c>
      <c r="G62" s="225">
        <f t="shared" si="0"/>
        <v>4.8902442553086578</v>
      </c>
    </row>
    <row r="63" spans="1:7" ht="18" hidden="1" customHeight="1">
      <c r="A63" s="220">
        <v>1998</v>
      </c>
      <c r="B63" s="221" t="s">
        <v>63</v>
      </c>
      <c r="C63" s="222">
        <v>166.08</v>
      </c>
      <c r="D63" s="223">
        <f>100*($C$62/$C$61-1)</f>
        <v>-0.25094102885823144</v>
      </c>
      <c r="E63" s="223">
        <f>100*($C$63/$C$55-1)</f>
        <v>1.7460025730564377</v>
      </c>
      <c r="F63" s="224">
        <v>3.33</v>
      </c>
      <c r="G63" s="225">
        <f t="shared" si="0"/>
        <v>4.9158615030333594</v>
      </c>
    </row>
    <row r="64" spans="1:7" ht="18" hidden="1" customHeight="1">
      <c r="A64" s="220">
        <v>1998</v>
      </c>
      <c r="B64" s="221" t="s">
        <v>64</v>
      </c>
      <c r="C64" s="222">
        <v>165.8</v>
      </c>
      <c r="D64" s="223">
        <f>100*($C$63/$C$62-1)</f>
        <v>-0.52111410601974884</v>
      </c>
      <c r="E64" s="223">
        <f>+$C$64/$C$55*100-100</f>
        <v>1.5744654781596665</v>
      </c>
      <c r="F64" s="224">
        <v>3.98</v>
      </c>
      <c r="G64" s="225">
        <f t="shared" si="0"/>
        <v>4.9241633198056709</v>
      </c>
    </row>
    <row r="65" spans="1:7" ht="18" hidden="1" customHeight="1">
      <c r="A65" s="220">
        <v>1998</v>
      </c>
      <c r="B65" s="221" t="s">
        <v>65</v>
      </c>
      <c r="C65" s="222">
        <v>166.13</v>
      </c>
      <c r="D65" s="223">
        <f>100*($C$65/$C$63-1)</f>
        <v>3.0105973025040811E-2</v>
      </c>
      <c r="E65" s="223">
        <f>+$C$65/$C$55*100-100</f>
        <v>1.7766341971451283</v>
      </c>
      <c r="F65" s="224">
        <v>2.16</v>
      </c>
      <c r="G65" s="225">
        <f t="shared" si="0"/>
        <v>4.9143819805199564</v>
      </c>
    </row>
    <row r="66" spans="1:7" ht="18" hidden="1" customHeight="1">
      <c r="A66" s="220">
        <v>1998</v>
      </c>
      <c r="B66" s="221" t="s">
        <v>66</v>
      </c>
      <c r="C66" s="222">
        <v>165.81</v>
      </c>
      <c r="D66" s="223">
        <f>100*($C$66/$C$65-1)</f>
        <v>-0.19262023716366539</v>
      </c>
      <c r="E66" s="223">
        <f>+$C$66/$C$55*100-100</f>
        <v>1.5805918029774091</v>
      </c>
      <c r="F66" s="224">
        <v>2.15</v>
      </c>
      <c r="G66" s="225">
        <f t="shared" si="0"/>
        <v>4.9238663435485215</v>
      </c>
    </row>
    <row r="67" spans="1:7" ht="18" hidden="1" customHeight="1">
      <c r="A67" s="220">
        <v>1998</v>
      </c>
      <c r="B67" s="221" t="s">
        <v>55</v>
      </c>
      <c r="C67" s="222">
        <v>165.96</v>
      </c>
      <c r="D67" s="223">
        <f>100*($C$67/$C$66-1)</f>
        <v>9.0464990048855221E-2</v>
      </c>
      <c r="E67" s="223">
        <f>+(($C$67/$C$55)-1)*100</f>
        <v>1.6724866752435341</v>
      </c>
      <c r="F67" s="224">
        <v>1.67</v>
      </c>
      <c r="G67" s="225">
        <f t="shared" si="0"/>
        <v>4.9194159943587632</v>
      </c>
    </row>
    <row r="68" spans="1:7" ht="18" hidden="1" customHeight="1">
      <c r="A68" s="220">
        <v>1999</v>
      </c>
      <c r="B68" s="221" t="s">
        <v>56</v>
      </c>
      <c r="C68" s="222">
        <v>167.03</v>
      </c>
      <c r="D68" s="223">
        <f>($C$68/$C$67-1)*100</f>
        <v>0.64473367076403054</v>
      </c>
      <c r="E68" s="223">
        <f>+(($C$68/$C$67)-1)*100</f>
        <v>0.64473367076403054</v>
      </c>
      <c r="F68" s="224">
        <f>+(($C$68/$C$56)-1)*100</f>
        <v>1.0526952628713282</v>
      </c>
      <c r="G68" s="225">
        <f t="shared" si="0"/>
        <v>4.887902044086573</v>
      </c>
    </row>
    <row r="69" spans="1:7" ht="18" hidden="1" customHeight="1">
      <c r="A69" s="220">
        <v>1999</v>
      </c>
      <c r="B69" s="221" t="s">
        <v>57</v>
      </c>
      <c r="C69" s="222">
        <v>169.38</v>
      </c>
      <c r="D69" s="223">
        <f>($C$69/$C$68-1)*100</f>
        <v>1.4069328863078434</v>
      </c>
      <c r="E69" s="223">
        <f>+(($C$69/$C$67)-1)*100</f>
        <v>2.0607375271149531</v>
      </c>
      <c r="F69" s="224">
        <f>+(($C$69/$C$57)-1)*100</f>
        <v>2.3320444659255646</v>
      </c>
      <c r="G69" s="225">
        <f t="shared" si="0"/>
        <v>4.820086659722401</v>
      </c>
    </row>
    <row r="70" spans="1:7" ht="18" hidden="1" customHeight="1">
      <c r="A70" s="220">
        <v>1999</v>
      </c>
      <c r="B70" s="221" t="s">
        <v>58</v>
      </c>
      <c r="C70" s="222">
        <v>170.99</v>
      </c>
      <c r="D70" s="223">
        <f>($C$70/$C$69-1)*100</f>
        <v>0.95052544574329989</v>
      </c>
      <c r="E70" s="223">
        <f>+(($C$70/$C$67)-1)*100</f>
        <v>3.0308508074234686</v>
      </c>
      <c r="F70" s="224">
        <f>+(($C$70/$C$58)-1)*100</f>
        <v>2.9626061299452111</v>
      </c>
      <c r="G70" s="225">
        <f t="shared" si="0"/>
        <v>4.7747019031743392</v>
      </c>
    </row>
    <row r="71" spans="1:7" ht="18" hidden="1" customHeight="1">
      <c r="A71" s="220">
        <v>1999</v>
      </c>
      <c r="B71" s="221" t="s">
        <v>59</v>
      </c>
      <c r="C71" s="222">
        <v>171.88</v>
      </c>
      <c r="D71" s="223">
        <f>($C$71/$C$70-1)*100</f>
        <v>0.52049827475291188</v>
      </c>
      <c r="E71" s="223">
        <f>+(($C$71/$C$67)-1)*100</f>
        <v>3.5671246083393449</v>
      </c>
      <c r="F71" s="224">
        <f>+(($C$71/$C$59)-1)*100</f>
        <v>3.2622409131871422</v>
      </c>
      <c r="G71" s="225">
        <f t="shared" ref="G71:G134" si="9">+$C$396/C71</f>
        <v>4.7499783478227853</v>
      </c>
    </row>
    <row r="72" spans="1:7" ht="18" hidden="1" customHeight="1">
      <c r="A72" s="220">
        <v>1999</v>
      </c>
      <c r="B72" s="221" t="s">
        <v>60</v>
      </c>
      <c r="C72" s="222">
        <v>172.02</v>
      </c>
      <c r="D72" s="223">
        <f>($C$72/$C$71-1)*100</f>
        <v>8.1452175936713722E-2</v>
      </c>
      <c r="E72" s="223">
        <f>+(($C$72/$C$67)-1)*100</f>
        <v>3.6514822848879191</v>
      </c>
      <c r="F72" s="224">
        <f>+(($C$72/$C$60)-1)*100</f>
        <v>3.2037437005039582</v>
      </c>
      <c r="G72" s="225">
        <f t="shared" si="9"/>
        <v>4.7461125358898979</v>
      </c>
    </row>
    <row r="73" spans="1:7" ht="18" hidden="1" customHeight="1">
      <c r="A73" s="220">
        <v>1999</v>
      </c>
      <c r="B73" s="221" t="s">
        <v>61</v>
      </c>
      <c r="C73" s="222">
        <v>173.13</v>
      </c>
      <c r="D73" s="223">
        <f>($C$73/$C$72-1)*100</f>
        <v>0.64527380537144907</v>
      </c>
      <c r="E73" s="223">
        <f>+(($C$73/$C$67)-1)*100</f>
        <v>4.3203181489515519</v>
      </c>
      <c r="F73" s="224">
        <f>+(($C$73/$C$61)-1)*100</f>
        <v>3.4414769671984091</v>
      </c>
      <c r="G73" s="225">
        <f t="shared" si="9"/>
        <v>4.715683465741237</v>
      </c>
    </row>
    <row r="74" spans="1:7" ht="18" hidden="1" customHeight="1">
      <c r="A74" s="220">
        <v>1999</v>
      </c>
      <c r="B74" s="221" t="s">
        <v>62</v>
      </c>
      <c r="C74" s="222">
        <v>175.21</v>
      </c>
      <c r="D74" s="223">
        <f>($C$74/$C$73-1)*100</f>
        <v>1.2014093455784636</v>
      </c>
      <c r="E74" s="223">
        <f>+(($C$74/$C$67)-1)*100</f>
        <v>5.573632200530243</v>
      </c>
      <c r="F74" s="224">
        <f>+(($C$74/$C$62)-1)*100</f>
        <v>4.9475890985325011</v>
      </c>
      <c r="G74" s="225">
        <f t="shared" si="9"/>
        <v>4.6597013779109657</v>
      </c>
    </row>
    <row r="75" spans="1:7" ht="18" hidden="1" customHeight="1">
      <c r="A75" s="220">
        <v>1999</v>
      </c>
      <c r="B75" s="221" t="s">
        <v>63</v>
      </c>
      <c r="C75" s="222">
        <v>176.05</v>
      </c>
      <c r="D75" s="223">
        <f>($C$75/$C$74-1)*100</f>
        <v>0.47942469037156599</v>
      </c>
      <c r="E75" s="223">
        <f>+(($C$75/$C$67)-1)*100</f>
        <v>6.0797782598216443</v>
      </c>
      <c r="F75" s="224">
        <f>+(($C$75/$C$63)-1)*100</f>
        <v>6.0031310211946076</v>
      </c>
      <c r="G75" s="225">
        <f t="shared" si="9"/>
        <v>4.637468210302643</v>
      </c>
    </row>
    <row r="76" spans="1:7" ht="18" hidden="1" customHeight="1">
      <c r="A76" s="220">
        <v>1999</v>
      </c>
      <c r="B76" s="221" t="s">
        <v>64</v>
      </c>
      <c r="C76" s="222">
        <f>+$C$75*(1+$D$76/100)</f>
        <v>176.38449500000002</v>
      </c>
      <c r="D76" s="223">
        <v>0.19</v>
      </c>
      <c r="E76" s="223">
        <f>+(($C$76/$C$67)-1)*100</f>
        <v>6.2813298385153038</v>
      </c>
      <c r="F76" s="224">
        <f>+(($C$76/$C$64)-1)*100</f>
        <v>6.3838932448733399</v>
      </c>
      <c r="G76" s="225">
        <f t="shared" si="9"/>
        <v>4.6286737302152341</v>
      </c>
    </row>
    <row r="77" spans="1:7" ht="18" hidden="1" customHeight="1">
      <c r="A77" s="220">
        <v>1999</v>
      </c>
      <c r="B77" s="221" t="s">
        <v>65</v>
      </c>
      <c r="C77" s="222">
        <f>+$C$76*(1+$D$77/100)</f>
        <v>178.00723235400002</v>
      </c>
      <c r="D77" s="223">
        <v>0.92</v>
      </c>
      <c r="E77" s="223">
        <f>+(($C$77/$C$67)-1)*100</f>
        <v>7.2591180730296578</v>
      </c>
      <c r="F77" s="224">
        <f>+(($C$77/$C$65)-1)*100</f>
        <v>7.149360352735834</v>
      </c>
      <c r="G77" s="225">
        <f t="shared" si="9"/>
        <v>4.5864781314062961</v>
      </c>
    </row>
    <row r="78" spans="1:7" ht="18" hidden="1" customHeight="1">
      <c r="A78" s="220">
        <v>1999</v>
      </c>
      <c r="B78" s="221" t="s">
        <v>66</v>
      </c>
      <c r="C78" s="222">
        <f>+$C$77*(1+$D$78/100)</f>
        <v>180.00091335636483</v>
      </c>
      <c r="D78" s="223">
        <v>1.1200000000000001</v>
      </c>
      <c r="E78" s="223">
        <f>+(($C$78/$C$67)-1)*100</f>
        <v>8.4604201954475933</v>
      </c>
      <c r="F78" s="224">
        <f>+(($C$78/$C$66)-1)*100</f>
        <v>8.5585389037843527</v>
      </c>
      <c r="G78" s="225">
        <f t="shared" si="9"/>
        <v>4.5356785318495803</v>
      </c>
    </row>
    <row r="79" spans="1:7" ht="18" hidden="1" customHeight="1">
      <c r="A79" s="220">
        <v>1999</v>
      </c>
      <c r="B79" s="221" t="s">
        <v>55</v>
      </c>
      <c r="C79" s="222">
        <f>+$C$78*(1+$D$79/100)</f>
        <v>181.08091883650303</v>
      </c>
      <c r="D79" s="223">
        <v>0.6</v>
      </c>
      <c r="E79" s="223">
        <f>+(($C$79/$C$67)-1)*100</f>
        <v>9.1111827166202808</v>
      </c>
      <c r="F79" s="224">
        <f>+(($C$79/$C$67)-1)*100</f>
        <v>9.1111827166202808</v>
      </c>
      <c r="G79" s="225">
        <f t="shared" si="9"/>
        <v>4.5086267712222465</v>
      </c>
    </row>
    <row r="80" spans="1:7" ht="18" hidden="1" customHeight="1">
      <c r="A80" s="220">
        <v>2000</v>
      </c>
      <c r="B80" s="221" t="s">
        <v>56</v>
      </c>
      <c r="C80" s="222">
        <f>+$C$79*(1+$D$80/100)</f>
        <v>182.90983611675171</v>
      </c>
      <c r="D80" s="223">
        <v>1.01</v>
      </c>
      <c r="E80" s="223">
        <f>+(($C$80/$C$79)-1)*100</f>
        <v>1.0099999999999998</v>
      </c>
      <c r="F80" s="224">
        <f>+(($C$80/$C$68)-1)*100</f>
        <v>9.5071760263136582</v>
      </c>
      <c r="G80" s="225">
        <f t="shared" si="9"/>
        <v>4.4635449670549914</v>
      </c>
    </row>
    <row r="81" spans="1:7" ht="18" hidden="1" customHeight="1">
      <c r="A81" s="220">
        <v>2000</v>
      </c>
      <c r="B81" s="221" t="s">
        <v>57</v>
      </c>
      <c r="C81" s="222">
        <f>+$C$80*(1+$D$81/100)</f>
        <v>183.00129103481007</v>
      </c>
      <c r="D81" s="223">
        <v>0.05</v>
      </c>
      <c r="E81" s="223">
        <f>+(($C$81/$C$79)-1)*100</f>
        <v>1.0605049999999894</v>
      </c>
      <c r="F81" s="224">
        <f>+(($C$81/$C$69)-1)*100</f>
        <v>8.0418532499764162</v>
      </c>
      <c r="G81" s="225">
        <f t="shared" si="9"/>
        <v>4.4613143099000414</v>
      </c>
    </row>
    <row r="82" spans="1:7" ht="18" hidden="1" customHeight="1">
      <c r="A82" s="220">
        <v>2000</v>
      </c>
      <c r="B82" s="221" t="s">
        <v>58</v>
      </c>
      <c r="C82" s="222">
        <f>+$C$81*(1+$D$82/100)</f>
        <v>183.93459761908761</v>
      </c>
      <c r="D82" s="223">
        <v>0.51</v>
      </c>
      <c r="E82" s="223">
        <f>+(($C$82/$C$79)-1)*100</f>
        <v>1.5759135754999987</v>
      </c>
      <c r="F82" s="224">
        <f>+(($C$82/$C$70)-1)*100</f>
        <v>7.5703828405682128</v>
      </c>
      <c r="G82" s="225">
        <f t="shared" si="9"/>
        <v>4.4386770569098015</v>
      </c>
    </row>
    <row r="83" spans="1:7" ht="18" hidden="1" customHeight="1">
      <c r="A83" s="220">
        <v>2000</v>
      </c>
      <c r="B83" s="221" t="s">
        <v>59</v>
      </c>
      <c r="C83" s="222">
        <f>+$C$82*(1+$D$83/100)</f>
        <v>184.39443411313533</v>
      </c>
      <c r="D83" s="223">
        <v>0.25</v>
      </c>
      <c r="E83" s="223">
        <f>+(($C$83/$C$79)-1)*100</f>
        <v>1.8298533594387489</v>
      </c>
      <c r="F83" s="224">
        <f>+(($C$83/$C$71)-1)*100</f>
        <v>7.2809134937952935</v>
      </c>
      <c r="G83" s="225">
        <f t="shared" si="9"/>
        <v>4.4276080368177571</v>
      </c>
    </row>
    <row r="84" spans="1:7" ht="18" hidden="1" customHeight="1">
      <c r="A84" s="220">
        <v>2000</v>
      </c>
      <c r="B84" s="221" t="s">
        <v>60</v>
      </c>
      <c r="C84" s="222">
        <f>+$C$83*(1+$D$84/100)</f>
        <v>185.13201184958788</v>
      </c>
      <c r="D84" s="223">
        <v>0.4</v>
      </c>
      <c r="E84" s="223">
        <f>+(($C$84/$C$79)-1)*100</f>
        <v>2.2371727728765167</v>
      </c>
      <c r="F84" s="224">
        <f>+(($C$84/$C$72)-1)*100</f>
        <v>7.6223763804138311</v>
      </c>
      <c r="G84" s="225">
        <f t="shared" si="9"/>
        <v>4.4099681641611124</v>
      </c>
    </row>
    <row r="85" spans="1:7" ht="18" hidden="1" customHeight="1">
      <c r="A85" s="220">
        <v>2000</v>
      </c>
      <c r="B85" s="221" t="s">
        <v>61</v>
      </c>
      <c r="C85" s="222">
        <f>+$C$84*(1+$D$85/100)</f>
        <v>185.11349864840292</v>
      </c>
      <c r="D85" s="223">
        <v>-0.01</v>
      </c>
      <c r="E85" s="223">
        <f>+(($C$85/$C$79)-1)*100</f>
        <v>2.2269490555992144</v>
      </c>
      <c r="F85" s="224">
        <f>+(($C$85/$C$73)-1)*100</f>
        <v>6.921676571595281</v>
      </c>
      <c r="G85" s="225">
        <f t="shared" si="9"/>
        <v>4.4104092050816206</v>
      </c>
    </row>
    <row r="86" spans="1:7" ht="18" hidden="1" customHeight="1">
      <c r="A86" s="220">
        <v>2000</v>
      </c>
      <c r="B86" s="221" t="s">
        <v>62</v>
      </c>
      <c r="C86" s="222">
        <f>+$C$85*(1+$D$86/100)</f>
        <v>188.64916647258741</v>
      </c>
      <c r="D86" s="223">
        <v>1.91</v>
      </c>
      <c r="E86" s="223">
        <f>+(($C$86/$C$79)-1)*100</f>
        <v>4.1794837825611664</v>
      </c>
      <c r="F86" s="224">
        <f>+(($C$86/$C$74)-1)*100</f>
        <v>7.6703193154428417</v>
      </c>
      <c r="G86" s="225">
        <f t="shared" si="9"/>
        <v>4.3277491954485532</v>
      </c>
    </row>
    <row r="87" spans="1:7" ht="18" hidden="1" customHeight="1">
      <c r="A87" s="220">
        <v>2000</v>
      </c>
      <c r="B87" s="221" t="s">
        <v>63</v>
      </c>
      <c r="C87" s="222">
        <f>+$C$86*(1+$D$87/100)</f>
        <v>190.27154930425166</v>
      </c>
      <c r="D87" s="223">
        <v>0.86</v>
      </c>
      <c r="E87" s="223">
        <f>+(($C$87/$C$79)-1)*100</f>
        <v>5.0754273430911878</v>
      </c>
      <c r="F87" s="224">
        <f>+(($C$87/$C$75)-1)*100</f>
        <v>8.0781308175243751</v>
      </c>
      <c r="G87" s="225">
        <f t="shared" si="9"/>
        <v>4.2908479034786371</v>
      </c>
    </row>
    <row r="88" spans="1:7" ht="18" hidden="1" customHeight="1">
      <c r="A88" s="220">
        <v>2000</v>
      </c>
      <c r="B88" s="221" t="s">
        <v>64</v>
      </c>
      <c r="C88" s="222">
        <f>+$C$87*(1+$D$88/100)</f>
        <v>190.34765792397334</v>
      </c>
      <c r="D88" s="223">
        <v>0.04</v>
      </c>
      <c r="E88" s="223">
        <f>+(($C$88/$C$79)-1)*100</f>
        <v>5.1174575140284118</v>
      </c>
      <c r="F88" s="224">
        <f>+(($C$88/$C$76)-1)*100</f>
        <v>7.9163210598376832</v>
      </c>
      <c r="G88" s="225">
        <f t="shared" si="9"/>
        <v>4.2891322505784055</v>
      </c>
    </row>
    <row r="89" spans="1:7" ht="18" hidden="1" customHeight="1">
      <c r="A89" s="220">
        <v>2000</v>
      </c>
      <c r="B89" s="221" t="s">
        <v>65</v>
      </c>
      <c r="C89" s="222">
        <f>+$C$88*(1+$D$89/100)</f>
        <v>190.38572745555814</v>
      </c>
      <c r="D89" s="223">
        <v>0.02</v>
      </c>
      <c r="E89" s="223">
        <f>+(($C$89/$C$79)-1)*100</f>
        <v>5.1384810055312258</v>
      </c>
      <c r="F89" s="224">
        <f>+(($C$89/$C$77)-1)*100</f>
        <v>6.9539281847499357</v>
      </c>
      <c r="G89" s="225">
        <f t="shared" si="9"/>
        <v>4.2882745956592743</v>
      </c>
    </row>
    <row r="90" spans="1:7" ht="18" hidden="1" customHeight="1">
      <c r="A90" s="220">
        <v>2000</v>
      </c>
      <c r="B90" s="221" t="s">
        <v>66</v>
      </c>
      <c r="C90" s="222">
        <f>+$C$89*(1+$D$90/100)</f>
        <v>191.14727036538036</v>
      </c>
      <c r="D90" s="223">
        <v>0.4</v>
      </c>
      <c r="E90" s="223">
        <f>+(($C$90/$C$79)-1)*100</f>
        <v>5.5590349295533414</v>
      </c>
      <c r="F90" s="224">
        <f>+(($C$90/$C$78)-1)*100</f>
        <v>6.1923891391306718</v>
      </c>
      <c r="G90" s="225">
        <f t="shared" si="9"/>
        <v>4.2711898363140177</v>
      </c>
    </row>
    <row r="91" spans="1:7" ht="18" hidden="1" customHeight="1">
      <c r="A91" s="220">
        <v>2000</v>
      </c>
      <c r="B91" s="221" t="s">
        <v>55</v>
      </c>
      <c r="C91" s="222">
        <f>+$C$90*(1+$D$91/100)</f>
        <v>192.33238344164573</v>
      </c>
      <c r="D91" s="223">
        <v>0.62</v>
      </c>
      <c r="E91" s="223">
        <f>+(($C$91/$C$79)-1)*100</f>
        <v>6.213500946116568</v>
      </c>
      <c r="F91" s="224">
        <f>+(($C$91/$C$79)-1)*100</f>
        <v>6.213500946116568</v>
      </c>
      <c r="G91" s="225">
        <f t="shared" si="9"/>
        <v>4.2448716321944122</v>
      </c>
    </row>
    <row r="92" spans="1:7" ht="18" hidden="1" customHeight="1">
      <c r="A92" s="220">
        <v>2001</v>
      </c>
      <c r="B92" s="221" t="s">
        <v>56</v>
      </c>
      <c r="C92" s="222">
        <f>+$C$91*(1+$D$92/100)</f>
        <v>193.56331069567224</v>
      </c>
      <c r="D92" s="223">
        <v>0.64</v>
      </c>
      <c r="E92" s="223">
        <f>+(($C$92/$C$91)-1)*100</f>
        <v>0.63999999999999613</v>
      </c>
      <c r="F92" s="224">
        <f>+(($C$92/$C$80)-1)*100</f>
        <v>5.8244405030905</v>
      </c>
      <c r="G92" s="225">
        <f t="shared" si="9"/>
        <v>4.2178772179992183</v>
      </c>
    </row>
    <row r="93" spans="1:7" ht="18" hidden="1" customHeight="1">
      <c r="A93" s="220">
        <v>2001</v>
      </c>
      <c r="B93" s="221" t="s">
        <v>57</v>
      </c>
      <c r="C93" s="222">
        <f>+$C$92*(1+$D$93/100)</f>
        <v>194.33756393845493</v>
      </c>
      <c r="D93" s="223">
        <v>0.4</v>
      </c>
      <c r="E93" s="223">
        <f>+(($C$93/$C$91)-1)*100</f>
        <v>1.0425599999999813</v>
      </c>
      <c r="F93" s="224">
        <f>+(($C$93/$C$81)-1)*100</f>
        <v>6.1946409446305584</v>
      </c>
      <c r="G93" s="225">
        <f t="shared" si="9"/>
        <v>4.2010729262940423</v>
      </c>
    </row>
    <row r="94" spans="1:7" ht="18" hidden="1" customHeight="1">
      <c r="A94" s="220">
        <v>2001</v>
      </c>
      <c r="B94" s="221" t="s">
        <v>58</v>
      </c>
      <c r="C94" s="222">
        <f>+$C$93*(1+$D$94/100)</f>
        <v>195.42585429651029</v>
      </c>
      <c r="D94" s="223">
        <v>0.56000000000000005</v>
      </c>
      <c r="E94" s="223">
        <f>+(($C$94/$C$91)-1)*100</f>
        <v>1.6083983359999943</v>
      </c>
      <c r="F94" s="224">
        <f>+(($C$94/$C$82)-1)*100</f>
        <v>6.2474688428221015</v>
      </c>
      <c r="G94" s="225">
        <f t="shared" si="9"/>
        <v>4.1776779298866762</v>
      </c>
    </row>
    <row r="95" spans="1:7" ht="18" hidden="1" customHeight="1">
      <c r="A95" s="220">
        <v>2001</v>
      </c>
      <c r="B95" s="221" t="s">
        <v>59</v>
      </c>
      <c r="C95" s="222">
        <f t="shared" ref="C95:C123" si="10">+C94*(1+D95/100)</f>
        <v>197.10651664346028</v>
      </c>
      <c r="D95" s="223">
        <v>0.86</v>
      </c>
      <c r="E95" s="223">
        <f t="shared" ref="E95:E100" si="11">+((C95/$C$91)-1)*100</f>
        <v>2.4822305616895912</v>
      </c>
      <c r="F95" s="224">
        <f t="shared" ref="F95:F145" si="12">+((C95/C83)-1)*100</f>
        <v>6.8939621694467323</v>
      </c>
      <c r="G95" s="225">
        <f t="shared" si="9"/>
        <v>4.1420562461696173</v>
      </c>
    </row>
    <row r="96" spans="1:7" ht="18" hidden="1" customHeight="1">
      <c r="A96" s="220">
        <v>2001</v>
      </c>
      <c r="B96" s="221" t="s">
        <v>60</v>
      </c>
      <c r="C96" s="222">
        <f t="shared" si="10"/>
        <v>197.91465336169847</v>
      </c>
      <c r="D96" s="223">
        <v>0.41</v>
      </c>
      <c r="E96" s="223">
        <f t="shared" si="11"/>
        <v>2.9024077069925269</v>
      </c>
      <c r="F96" s="224">
        <f t="shared" si="12"/>
        <v>6.9046089784277509</v>
      </c>
      <c r="G96" s="225">
        <f t="shared" si="9"/>
        <v>4.1251431592168286</v>
      </c>
    </row>
    <row r="97" spans="1:7" ht="18" hidden="1" customHeight="1">
      <c r="A97" s="220">
        <v>2001</v>
      </c>
      <c r="B97" s="221" t="s">
        <v>61</v>
      </c>
      <c r="C97" s="222">
        <f t="shared" si="10"/>
        <v>198.94380955917933</v>
      </c>
      <c r="D97" s="223">
        <v>0.52</v>
      </c>
      <c r="E97" s="223">
        <f t="shared" si="11"/>
        <v>3.4375002270689015</v>
      </c>
      <c r="F97" s="224">
        <f t="shared" si="12"/>
        <v>7.4712600711227095</v>
      </c>
      <c r="G97" s="225">
        <f t="shared" si="9"/>
        <v>4.10380338163234</v>
      </c>
    </row>
    <row r="98" spans="1:7" ht="18" hidden="1" customHeight="1">
      <c r="A98" s="220">
        <v>2001</v>
      </c>
      <c r="B98" s="221" t="s">
        <v>62</v>
      </c>
      <c r="C98" s="222">
        <f t="shared" si="10"/>
        <v>201.64944536918418</v>
      </c>
      <c r="D98" s="223">
        <v>1.36</v>
      </c>
      <c r="E98" s="223">
        <f t="shared" si="11"/>
        <v>4.8442502301570434</v>
      </c>
      <c r="F98" s="224">
        <f t="shared" si="12"/>
        <v>6.8912464018153097</v>
      </c>
      <c r="G98" s="225">
        <f t="shared" si="9"/>
        <v>4.0487405106869963</v>
      </c>
    </row>
    <row r="99" spans="1:7" ht="18" hidden="1" customHeight="1">
      <c r="A99" s="220">
        <v>2001</v>
      </c>
      <c r="B99" s="221" t="s">
        <v>63</v>
      </c>
      <c r="C99" s="222">
        <f>+C98*(1+D99/100)</f>
        <v>202.73835237417779</v>
      </c>
      <c r="D99" s="223">
        <v>0.54</v>
      </c>
      <c r="E99" s="223">
        <f t="shared" si="11"/>
        <v>5.4104091813999</v>
      </c>
      <c r="F99" s="224">
        <f t="shared" si="12"/>
        <v>6.5521109779745457</v>
      </c>
      <c r="G99" s="225">
        <f t="shared" si="9"/>
        <v>4.026994739095878</v>
      </c>
    </row>
    <row r="100" spans="1:7" ht="18" hidden="1" customHeight="1">
      <c r="A100" s="220">
        <v>2001</v>
      </c>
      <c r="B100" s="221" t="s">
        <v>64</v>
      </c>
      <c r="C100" s="222">
        <f t="shared" si="10"/>
        <v>202.98163839702681</v>
      </c>
      <c r="D100" s="223">
        <v>0.12</v>
      </c>
      <c r="E100" s="223">
        <f t="shared" si="11"/>
        <v>5.5369016724175824</v>
      </c>
      <c r="F100" s="224">
        <f t="shared" si="12"/>
        <v>6.6373185837146575</v>
      </c>
      <c r="G100" s="225">
        <f t="shared" si="9"/>
        <v>4.0221681373310805</v>
      </c>
    </row>
    <row r="101" spans="1:7" ht="18" hidden="1" customHeight="1">
      <c r="A101" s="220">
        <v>2001</v>
      </c>
      <c r="B101" s="221" t="s">
        <v>65</v>
      </c>
      <c r="C101" s="222">
        <f t="shared" si="10"/>
        <v>204.42280802964572</v>
      </c>
      <c r="D101" s="223">
        <v>0.71</v>
      </c>
      <c r="E101" s="223">
        <f>+((C101/$C$91)-1)*100</f>
        <v>6.2862136742917629</v>
      </c>
      <c r="F101" s="224">
        <f t="shared" si="12"/>
        <v>7.3729689518686525</v>
      </c>
      <c r="G101" s="225">
        <f t="shared" si="9"/>
        <v>3.9938120716225605</v>
      </c>
    </row>
    <row r="102" spans="1:7" ht="18" hidden="1" customHeight="1">
      <c r="A102" s="220">
        <v>2001</v>
      </c>
      <c r="B102" s="221" t="s">
        <v>66</v>
      </c>
      <c r="C102" s="222">
        <f t="shared" si="10"/>
        <v>206.16040189789771</v>
      </c>
      <c r="D102" s="223">
        <v>0.85</v>
      </c>
      <c r="E102" s="223">
        <f>+((C102/$C$91)-1)*100</f>
        <v>7.1896464905232493</v>
      </c>
      <c r="F102" s="224">
        <f t="shared" si="12"/>
        <v>7.8542222987644905</v>
      </c>
      <c r="G102" s="225">
        <f t="shared" si="9"/>
        <v>3.9601507899083392</v>
      </c>
    </row>
    <row r="103" spans="1:7" ht="18" hidden="1" customHeight="1">
      <c r="A103" s="220">
        <v>2001</v>
      </c>
      <c r="B103" s="221" t="s">
        <v>55</v>
      </c>
      <c r="C103" s="222">
        <f t="shared" si="10"/>
        <v>207.60352471118298</v>
      </c>
      <c r="D103" s="223">
        <v>0.7</v>
      </c>
      <c r="E103" s="223">
        <f>+((C103/$C$91)-1)*100</f>
        <v>7.9399740159568966</v>
      </c>
      <c r="F103" s="224">
        <f t="shared" si="12"/>
        <v>7.9399740159568966</v>
      </c>
      <c r="G103" s="225">
        <f t="shared" si="9"/>
        <v>3.9326224328781922</v>
      </c>
    </row>
    <row r="104" spans="1:7" ht="18" hidden="1" customHeight="1">
      <c r="A104" s="220">
        <v>2002</v>
      </c>
      <c r="B104" s="221" t="s">
        <v>56</v>
      </c>
      <c r="C104" s="222">
        <f>+C103*(1+D104/100)</f>
        <v>209.24359255640132</v>
      </c>
      <c r="D104" s="223">
        <v>0.79</v>
      </c>
      <c r="E104" s="223">
        <f>+((C104/$C$103)-1)*100</f>
        <v>0.79000000000000181</v>
      </c>
      <c r="F104" s="224">
        <f t="shared" si="12"/>
        <v>8.1008543428884749</v>
      </c>
      <c r="G104" s="225">
        <f t="shared" si="9"/>
        <v>3.9017982268857945</v>
      </c>
    </row>
    <row r="105" spans="1:7" ht="18" hidden="1" customHeight="1">
      <c r="A105" s="220">
        <v>2002</v>
      </c>
      <c r="B105" s="221" t="s">
        <v>57</v>
      </c>
      <c r="C105" s="222">
        <f>+C104*(1+D105/100)</f>
        <v>209.53653358598029</v>
      </c>
      <c r="D105" s="223">
        <v>0.14000000000000001</v>
      </c>
      <c r="E105" s="223">
        <f t="shared" ref="E105:E115" si="13">+((C105/$C$103)-1)*100</f>
        <v>0.93110599999999266</v>
      </c>
      <c r="F105" s="224">
        <f t="shared" si="12"/>
        <v>7.8209118914029041</v>
      </c>
      <c r="G105" s="225">
        <f t="shared" si="9"/>
        <v>3.896343346201113</v>
      </c>
    </row>
    <row r="106" spans="1:7" ht="18" hidden="1" customHeight="1">
      <c r="A106" s="220">
        <v>2002</v>
      </c>
      <c r="B106" s="221" t="s">
        <v>58</v>
      </c>
      <c r="C106" s="222">
        <f t="shared" si="10"/>
        <v>210.4165870270414</v>
      </c>
      <c r="D106" s="223">
        <v>0.42</v>
      </c>
      <c r="E106" s="223">
        <f t="shared" si="13"/>
        <v>1.3550166451999912</v>
      </c>
      <c r="F106" s="224">
        <f t="shared" si="12"/>
        <v>7.6708032232963408</v>
      </c>
      <c r="G106" s="225">
        <f t="shared" si="9"/>
        <v>3.8800471481787624</v>
      </c>
    </row>
    <row r="107" spans="1:7" ht="18" hidden="1" customHeight="1">
      <c r="A107" s="220">
        <v>2002</v>
      </c>
      <c r="B107" s="221" t="s">
        <v>59</v>
      </c>
      <c r="C107" s="222">
        <f t="shared" si="10"/>
        <v>211.91054479493343</v>
      </c>
      <c r="D107" s="223">
        <v>0.71</v>
      </c>
      <c r="E107" s="223">
        <f t="shared" si="13"/>
        <v>2.0746372633809296</v>
      </c>
      <c r="F107" s="224">
        <f t="shared" si="12"/>
        <v>7.5106741286751433</v>
      </c>
      <c r="G107" s="225">
        <f t="shared" si="9"/>
        <v>3.8526930276822178</v>
      </c>
    </row>
    <row r="108" spans="1:7" ht="18" hidden="1" customHeight="1">
      <c r="A108" s="220">
        <v>2002</v>
      </c>
      <c r="B108" s="221" t="s">
        <v>60</v>
      </c>
      <c r="C108" s="222">
        <f t="shared" si="10"/>
        <v>212.50389432035922</v>
      </c>
      <c r="D108" s="223">
        <v>0.28000000000000003</v>
      </c>
      <c r="E108" s="223">
        <f t="shared" si="13"/>
        <v>2.3604462477183841</v>
      </c>
      <c r="F108" s="224">
        <f t="shared" si="12"/>
        <v>7.3714809443635287</v>
      </c>
      <c r="G108" s="225">
        <f t="shared" si="9"/>
        <v>3.8419356079798748</v>
      </c>
    </row>
    <row r="109" spans="1:7" ht="18" hidden="1" customHeight="1">
      <c r="A109" s="220">
        <v>2002</v>
      </c>
      <c r="B109" s="221" t="s">
        <v>61</v>
      </c>
      <c r="C109" s="222">
        <f t="shared" si="10"/>
        <v>213.67266573912121</v>
      </c>
      <c r="D109" s="223">
        <v>0.55000000000000004</v>
      </c>
      <c r="E109" s="223">
        <f t="shared" si="13"/>
        <v>2.9234287020808436</v>
      </c>
      <c r="F109" s="224">
        <f t="shared" si="12"/>
        <v>7.4035257556282597</v>
      </c>
      <c r="G109" s="225">
        <f t="shared" si="9"/>
        <v>3.8209205449824708</v>
      </c>
    </row>
    <row r="110" spans="1:7" ht="18" hidden="1" customHeight="1">
      <c r="A110" s="220">
        <v>2002</v>
      </c>
      <c r="B110" s="221" t="s">
        <v>62</v>
      </c>
      <c r="C110" s="222">
        <f t="shared" si="10"/>
        <v>215.87349419623416</v>
      </c>
      <c r="D110" s="223">
        <v>1.03</v>
      </c>
      <c r="E110" s="223">
        <f t="shared" si="13"/>
        <v>3.9835400177122837</v>
      </c>
      <c r="F110" s="224">
        <f t="shared" si="12"/>
        <v>7.0538497147900836</v>
      </c>
      <c r="G110" s="225">
        <f t="shared" si="9"/>
        <v>3.7819662921730881</v>
      </c>
    </row>
    <row r="111" spans="1:7" ht="18" hidden="1" customHeight="1">
      <c r="A111" s="220">
        <v>2002</v>
      </c>
      <c r="B111" s="221" t="s">
        <v>63</v>
      </c>
      <c r="C111" s="222">
        <f t="shared" si="10"/>
        <v>217.51413275212556</v>
      </c>
      <c r="D111" s="223">
        <v>0.76</v>
      </c>
      <c r="E111" s="223">
        <f t="shared" si="13"/>
        <v>4.7738149218468973</v>
      </c>
      <c r="F111" s="224">
        <f t="shared" si="12"/>
        <v>7.2881032152600778</v>
      </c>
      <c r="G111" s="225">
        <f t="shared" si="9"/>
        <v>3.7534401470554659</v>
      </c>
    </row>
    <row r="112" spans="1:7" ht="18" hidden="1" customHeight="1">
      <c r="A112" s="220">
        <v>2002</v>
      </c>
      <c r="B112" s="221" t="s">
        <v>64</v>
      </c>
      <c r="C112" s="222">
        <f t="shared" si="10"/>
        <v>218.94972602828958</v>
      </c>
      <c r="D112" s="223">
        <v>0.66</v>
      </c>
      <c r="E112" s="223">
        <f t="shared" si="13"/>
        <v>5.4653221003310826</v>
      </c>
      <c r="F112" s="224">
        <f t="shared" si="12"/>
        <v>7.8667645789860075</v>
      </c>
      <c r="G112" s="225">
        <f t="shared" si="9"/>
        <v>3.7288298699140339</v>
      </c>
    </row>
    <row r="113" spans="1:7" ht="18" hidden="1" customHeight="1">
      <c r="A113" s="220">
        <v>2002</v>
      </c>
      <c r="B113" s="221" t="s">
        <v>65</v>
      </c>
      <c r="C113" s="222">
        <f t="shared" si="10"/>
        <v>221.44575290501209</v>
      </c>
      <c r="D113" s="223">
        <v>1.1399999999999999</v>
      </c>
      <c r="E113" s="223">
        <f t="shared" si="13"/>
        <v>6.6676267722748594</v>
      </c>
      <c r="F113" s="224">
        <f t="shared" si="12"/>
        <v>8.3273217110380706</v>
      </c>
      <c r="G113" s="225">
        <f t="shared" si="9"/>
        <v>3.6868003459699756</v>
      </c>
    </row>
    <row r="114" spans="1:7" ht="18" hidden="1" customHeight="1">
      <c r="A114" s="220">
        <v>2002</v>
      </c>
      <c r="B114" s="221" t="s">
        <v>66</v>
      </c>
      <c r="C114" s="222">
        <f t="shared" si="10"/>
        <v>228.39914954622949</v>
      </c>
      <c r="D114" s="223">
        <v>3.14</v>
      </c>
      <c r="E114" s="223">
        <f t="shared" si="13"/>
        <v>10.016990252924307</v>
      </c>
      <c r="F114" s="224">
        <f t="shared" si="12"/>
        <v>10.787109184694765</v>
      </c>
      <c r="G114" s="225">
        <f t="shared" si="9"/>
        <v>3.5745591874830089</v>
      </c>
    </row>
    <row r="115" spans="1:7" ht="18" hidden="1" customHeight="1">
      <c r="A115" s="220">
        <v>2002</v>
      </c>
      <c r="B115" s="221" t="s">
        <v>55</v>
      </c>
      <c r="C115" s="222">
        <f t="shared" si="10"/>
        <v>232.83009304742637</v>
      </c>
      <c r="D115" s="223">
        <v>1.94</v>
      </c>
      <c r="E115" s="223">
        <f t="shared" si="13"/>
        <v>12.151319863831045</v>
      </c>
      <c r="F115" s="224">
        <f t="shared" si="12"/>
        <v>12.151319863831045</v>
      </c>
      <c r="G115" s="225">
        <f t="shared" si="9"/>
        <v>3.5065324578016561</v>
      </c>
    </row>
    <row r="116" spans="1:7" ht="18" hidden="1" customHeight="1">
      <c r="A116" s="220">
        <v>2003</v>
      </c>
      <c r="B116" s="221" t="s">
        <v>56</v>
      </c>
      <c r="C116" s="222">
        <f t="shared" si="10"/>
        <v>238.23175120612669</v>
      </c>
      <c r="D116" s="223">
        <v>2.3199999999999998</v>
      </c>
      <c r="E116" s="223">
        <f t="shared" ref="E116:E127" si="14">+((C116/$C$115)-1)*100</f>
        <v>2.3200000000000109</v>
      </c>
      <c r="F116" s="224">
        <f t="shared" si="12"/>
        <v>13.853785578600997</v>
      </c>
      <c r="G116" s="225">
        <f t="shared" si="9"/>
        <v>3.4270254669679985</v>
      </c>
    </row>
    <row r="117" spans="1:7" ht="18" hidden="1" customHeight="1">
      <c r="A117" s="220">
        <v>2003</v>
      </c>
      <c r="B117" s="221" t="s">
        <v>57</v>
      </c>
      <c r="C117" s="222">
        <f t="shared" si="10"/>
        <v>241.49552619765063</v>
      </c>
      <c r="D117" s="223">
        <v>1.37</v>
      </c>
      <c r="E117" s="223">
        <f t="shared" si="14"/>
        <v>3.7217840000000058</v>
      </c>
      <c r="F117" s="224">
        <f t="shared" si="12"/>
        <v>15.252229319979872</v>
      </c>
      <c r="G117" s="225">
        <f t="shared" si="9"/>
        <v>3.3807097434822908</v>
      </c>
    </row>
    <row r="118" spans="1:7" ht="18" hidden="1" customHeight="1">
      <c r="A118" s="220">
        <v>2003</v>
      </c>
      <c r="B118" s="221" t="s">
        <v>58</v>
      </c>
      <c r="C118" s="222">
        <f t="shared" si="10"/>
        <v>244.05537877534573</v>
      </c>
      <c r="D118" s="223">
        <v>1.06</v>
      </c>
      <c r="E118" s="223">
        <f t="shared" si="14"/>
        <v>4.8212349104000074</v>
      </c>
      <c r="F118" s="224">
        <f t="shared" si="12"/>
        <v>15.986758564799498</v>
      </c>
      <c r="G118" s="225">
        <f t="shared" si="9"/>
        <v>3.3452500925017721</v>
      </c>
    </row>
    <row r="119" spans="1:7" ht="18" hidden="1" customHeight="1">
      <c r="A119" s="220">
        <v>2003</v>
      </c>
      <c r="B119" s="221" t="s">
        <v>59</v>
      </c>
      <c r="C119" s="222">
        <f t="shared" si="10"/>
        <v>246.78879901762963</v>
      </c>
      <c r="D119" s="223">
        <v>1.1200000000000001</v>
      </c>
      <c r="E119" s="223">
        <f t="shared" si="14"/>
        <v>5.9952327413965056</v>
      </c>
      <c r="F119" s="224">
        <f t="shared" si="12"/>
        <v>16.458951703629477</v>
      </c>
      <c r="G119" s="225">
        <f t="shared" si="9"/>
        <v>3.3081982718569738</v>
      </c>
    </row>
    <row r="120" spans="1:7" ht="18" hidden="1" customHeight="1">
      <c r="A120" s="220">
        <v>2003</v>
      </c>
      <c r="B120" s="221" t="s">
        <v>60</v>
      </c>
      <c r="C120" s="222">
        <f t="shared" si="10"/>
        <v>248.49164173085126</v>
      </c>
      <c r="D120" s="223">
        <v>0.69</v>
      </c>
      <c r="E120" s="223">
        <f t="shared" si="14"/>
        <v>6.7265998473121424</v>
      </c>
      <c r="F120" s="224">
        <f t="shared" si="12"/>
        <v>16.935100189852935</v>
      </c>
      <c r="G120" s="225">
        <f t="shared" si="9"/>
        <v>3.2855281277753243</v>
      </c>
    </row>
    <row r="121" spans="1:7" ht="18" hidden="1" customHeight="1">
      <c r="A121" s="220">
        <v>2003</v>
      </c>
      <c r="B121" s="221" t="s">
        <v>61</v>
      </c>
      <c r="C121" s="222">
        <f t="shared" si="10"/>
        <v>248.09405510408189</v>
      </c>
      <c r="D121" s="223">
        <v>-0.16</v>
      </c>
      <c r="E121" s="223">
        <f t="shared" si="14"/>
        <v>6.555837287556443</v>
      </c>
      <c r="F121" s="224">
        <f t="shared" si="12"/>
        <v>16.10940231680673</v>
      </c>
      <c r="G121" s="225">
        <f t="shared" si="9"/>
        <v>3.2907933972108614</v>
      </c>
    </row>
    <row r="122" spans="1:7" ht="18" hidden="1" customHeight="1">
      <c r="A122" s="220">
        <v>2003</v>
      </c>
      <c r="B122" s="221" t="s">
        <v>62</v>
      </c>
      <c r="C122" s="222">
        <f t="shared" si="10"/>
        <v>248.93757489143579</v>
      </c>
      <c r="D122" s="223">
        <v>0.34</v>
      </c>
      <c r="E122" s="223">
        <f t="shared" si="14"/>
        <v>6.9181271343341288</v>
      </c>
      <c r="F122" s="224">
        <f t="shared" si="12"/>
        <v>15.316415208041057</v>
      </c>
      <c r="G122" s="225">
        <f t="shared" si="9"/>
        <v>3.2796426123289431</v>
      </c>
    </row>
    <row r="123" spans="1:7" ht="18" hidden="1" customHeight="1">
      <c r="A123" s="220">
        <v>2003</v>
      </c>
      <c r="B123" s="221" t="s">
        <v>63</v>
      </c>
      <c r="C123" s="222">
        <f t="shared" si="10"/>
        <v>249.26119373879467</v>
      </c>
      <c r="D123" s="223">
        <v>0.13</v>
      </c>
      <c r="E123" s="223">
        <f t="shared" si="14"/>
        <v>7.0571206996087765</v>
      </c>
      <c r="F123" s="224">
        <f t="shared" si="12"/>
        <v>14.595401496438566</v>
      </c>
      <c r="G123" s="225">
        <f t="shared" si="9"/>
        <v>3.27538461233291</v>
      </c>
    </row>
    <row r="124" spans="1:7" ht="18" hidden="1" customHeight="1">
      <c r="A124" s="220">
        <v>2003</v>
      </c>
      <c r="B124" s="221" t="s">
        <v>64</v>
      </c>
      <c r="C124" s="222">
        <f>+C123*(1+D124/100)</f>
        <v>251.15557881120952</v>
      </c>
      <c r="D124" s="223">
        <v>0.76</v>
      </c>
      <c r="E124" s="223">
        <f t="shared" si="14"/>
        <v>7.8707548169258068</v>
      </c>
      <c r="F124" s="224">
        <f t="shared" si="12"/>
        <v>14.709245527331127</v>
      </c>
      <c r="G124" s="225">
        <f t="shared" si="9"/>
        <v>3.2506794485241262</v>
      </c>
    </row>
    <row r="125" spans="1:7" ht="18" hidden="1" customHeight="1">
      <c r="A125" s="220">
        <v>2003</v>
      </c>
      <c r="B125" s="221" t="s">
        <v>65</v>
      </c>
      <c r="C125" s="222">
        <f>+C124*(1+D125/100)</f>
        <v>251.68300552671306</v>
      </c>
      <c r="D125" s="223">
        <v>0.21</v>
      </c>
      <c r="E125" s="223">
        <f t="shared" si="14"/>
        <v>8.0972834020413451</v>
      </c>
      <c r="F125" s="224">
        <f t="shared" si="12"/>
        <v>13.65447394002226</v>
      </c>
      <c r="G125" s="225">
        <f t="shared" si="9"/>
        <v>3.2438673271371385</v>
      </c>
    </row>
    <row r="126" spans="1:7" ht="18" hidden="1" customHeight="1">
      <c r="A126" s="220">
        <v>2003</v>
      </c>
      <c r="B126" s="221" t="s">
        <v>66</v>
      </c>
      <c r="C126" s="222">
        <f>+C125*(1+D126/100)</f>
        <v>252.51355944495123</v>
      </c>
      <c r="D126" s="223">
        <v>0.33</v>
      </c>
      <c r="E126" s="223">
        <f t="shared" si="14"/>
        <v>8.4540044372680931</v>
      </c>
      <c r="F126" s="224">
        <f t="shared" si="12"/>
        <v>10.558012123351102</v>
      </c>
      <c r="G126" s="225">
        <f t="shared" si="9"/>
        <v>3.2331977744813498</v>
      </c>
    </row>
    <row r="127" spans="1:7" ht="18" hidden="1" customHeight="1">
      <c r="A127" s="220">
        <v>2003</v>
      </c>
      <c r="B127" s="221" t="s">
        <v>55</v>
      </c>
      <c r="C127" s="222">
        <f>+C126*(1+D127/100)</f>
        <v>253.59936775056451</v>
      </c>
      <c r="D127" s="223">
        <v>0.43</v>
      </c>
      <c r="E127" s="223">
        <f t="shared" si="14"/>
        <v>8.9203566563483392</v>
      </c>
      <c r="F127" s="224">
        <f t="shared" si="12"/>
        <v>8.9203566563483392</v>
      </c>
      <c r="G127" s="225">
        <f t="shared" si="9"/>
        <v>3.2193545499167082</v>
      </c>
    </row>
    <row r="128" spans="1:7" ht="18" hidden="1" customHeight="1">
      <c r="A128" s="220">
        <v>2004</v>
      </c>
      <c r="B128" s="221" t="s">
        <v>56</v>
      </c>
      <c r="C128" s="222">
        <f>+C127*(1+D128/100)</f>
        <v>256.33824092227059</v>
      </c>
      <c r="D128" s="223">
        <v>1.08</v>
      </c>
      <c r="E128" s="223">
        <f t="shared" ref="E128:E139" si="15">+((C128/$C$127)-1)*100</f>
        <v>1.0799999999999921</v>
      </c>
      <c r="F128" s="224">
        <f t="shared" si="12"/>
        <v>7.6003679713026573</v>
      </c>
      <c r="G128" s="225">
        <f t="shared" si="9"/>
        <v>3.1849570141637398</v>
      </c>
    </row>
    <row r="129" spans="1:7" ht="18" hidden="1" customHeight="1">
      <c r="A129" s="220">
        <v>2004</v>
      </c>
      <c r="B129" s="221" t="s">
        <v>57</v>
      </c>
      <c r="C129" s="222">
        <f t="shared" ref="C129:C192" si="16">+C128*(1+D129/100)</f>
        <v>257.05598799685293</v>
      </c>
      <c r="D129" s="223">
        <v>0.28000000000000003</v>
      </c>
      <c r="E129" s="223">
        <f t="shared" si="15"/>
        <v>1.3630239999999905</v>
      </c>
      <c r="F129" s="224">
        <f t="shared" si="12"/>
        <v>6.4433747673101616</v>
      </c>
      <c r="G129" s="225">
        <f t="shared" si="9"/>
        <v>3.1760640348661151</v>
      </c>
    </row>
    <row r="130" spans="1:7" ht="18" hidden="1" customHeight="1">
      <c r="A130" s="220">
        <v>2004</v>
      </c>
      <c r="B130" s="221" t="s">
        <v>58</v>
      </c>
      <c r="C130" s="222">
        <f t="shared" si="16"/>
        <v>258.23844554163844</v>
      </c>
      <c r="D130" s="223">
        <v>0.46</v>
      </c>
      <c r="E130" s="223">
        <f t="shared" si="15"/>
        <v>1.8292939103999872</v>
      </c>
      <c r="F130" s="224">
        <f t="shared" si="12"/>
        <v>5.8114133101521581</v>
      </c>
      <c r="G130" s="225">
        <f t="shared" si="9"/>
        <v>3.1615210380908971</v>
      </c>
    </row>
    <row r="131" spans="1:7" ht="18" hidden="1" customHeight="1">
      <c r="A131" s="220">
        <v>2004</v>
      </c>
      <c r="B131" s="221" t="s">
        <v>59</v>
      </c>
      <c r="C131" s="222">
        <f t="shared" si="16"/>
        <v>259.03898472281753</v>
      </c>
      <c r="D131" s="223">
        <v>0.31</v>
      </c>
      <c r="E131" s="223">
        <f t="shared" si="15"/>
        <v>2.1449647215222356</v>
      </c>
      <c r="F131" s="224">
        <f t="shared" si="12"/>
        <v>4.9638337533758126</v>
      </c>
      <c r="G131" s="225">
        <f t="shared" si="9"/>
        <v>3.1517506111961886</v>
      </c>
    </row>
    <row r="132" spans="1:7" ht="18" hidden="1" customHeight="1">
      <c r="A132" s="220">
        <v>2004</v>
      </c>
      <c r="B132" s="221" t="s">
        <v>60</v>
      </c>
      <c r="C132" s="222">
        <f t="shared" si="16"/>
        <v>260.87816151434959</v>
      </c>
      <c r="D132" s="223">
        <v>0.71</v>
      </c>
      <c r="E132" s="223">
        <f t="shared" si="15"/>
        <v>2.870193971045043</v>
      </c>
      <c r="F132" s="224">
        <f t="shared" si="12"/>
        <v>4.9846826626525065</v>
      </c>
      <c r="G132" s="225">
        <f t="shared" si="9"/>
        <v>3.1295309415114567</v>
      </c>
    </row>
    <row r="133" spans="1:7" ht="18" hidden="1" customHeight="1">
      <c r="A133" s="220">
        <v>2004</v>
      </c>
      <c r="B133" s="221" t="s">
        <v>61</v>
      </c>
      <c r="C133" s="222">
        <f t="shared" si="16"/>
        <v>262.91301117416151</v>
      </c>
      <c r="D133" s="223">
        <v>0.78</v>
      </c>
      <c r="E133" s="223">
        <f t="shared" si="15"/>
        <v>3.6725814840192106</v>
      </c>
      <c r="F133" s="224">
        <f t="shared" si="12"/>
        <v>5.9731201797087241</v>
      </c>
      <c r="G133" s="225">
        <f t="shared" si="9"/>
        <v>3.1053095271993021</v>
      </c>
    </row>
    <row r="134" spans="1:7" ht="18" hidden="1" customHeight="1">
      <c r="A134" s="220">
        <v>2004</v>
      </c>
      <c r="B134" s="221" t="s">
        <v>76</v>
      </c>
      <c r="C134" s="222">
        <f t="shared" si="16"/>
        <v>264.46419794008909</v>
      </c>
      <c r="D134" s="223">
        <v>0.59</v>
      </c>
      <c r="E134" s="223">
        <f t="shared" si="15"/>
        <v>4.2842497147749237</v>
      </c>
      <c r="F134" s="224">
        <f t="shared" si="12"/>
        <v>6.2371552608820213</v>
      </c>
      <c r="G134" s="225">
        <f t="shared" si="9"/>
        <v>3.0870956627888475</v>
      </c>
    </row>
    <row r="135" spans="1:7" ht="18" hidden="1" customHeight="1">
      <c r="A135" s="220">
        <v>2004</v>
      </c>
      <c r="B135" s="221" t="s">
        <v>77</v>
      </c>
      <c r="C135" s="222">
        <f t="shared" si="16"/>
        <v>266.55346510381582</v>
      </c>
      <c r="D135" s="223">
        <v>0.79</v>
      </c>
      <c r="E135" s="223">
        <f t="shared" si="15"/>
        <v>5.1080952875216523</v>
      </c>
      <c r="F135" s="224">
        <f t="shared" si="12"/>
        <v>6.9374101542424738</v>
      </c>
      <c r="G135" s="225">
        <f t="shared" ref="G135:G198" si="17">+$C$396/C135</f>
        <v>3.0628987625645872</v>
      </c>
    </row>
    <row r="136" spans="1:7" ht="18" hidden="1" customHeight="1">
      <c r="A136" s="220">
        <v>2004</v>
      </c>
      <c r="B136" s="221" t="s">
        <v>79</v>
      </c>
      <c r="C136" s="222">
        <f t="shared" si="16"/>
        <v>267.2998148061065</v>
      </c>
      <c r="D136" s="223">
        <v>0.28000000000000003</v>
      </c>
      <c r="E136" s="223">
        <f t="shared" si="15"/>
        <v>5.4023979543267098</v>
      </c>
      <c r="F136" s="224">
        <f t="shared" si="12"/>
        <v>6.4279822376680729</v>
      </c>
      <c r="G136" s="225">
        <f t="shared" si="17"/>
        <v>3.0543465921066884</v>
      </c>
    </row>
    <row r="137" spans="1:7" ht="18" hidden="1" customHeight="1">
      <c r="A137" s="220">
        <v>2004</v>
      </c>
      <c r="B137" s="221" t="s">
        <v>78</v>
      </c>
      <c r="C137" s="222">
        <f t="shared" si="16"/>
        <v>267.56711462091255</v>
      </c>
      <c r="D137" s="223">
        <v>0.1</v>
      </c>
      <c r="E137" s="223">
        <f t="shared" si="15"/>
        <v>5.5078003522810226</v>
      </c>
      <c r="F137" s="224">
        <f t="shared" si="12"/>
        <v>6.3111567906453558</v>
      </c>
      <c r="G137" s="225">
        <f t="shared" si="17"/>
        <v>3.0512952968098794</v>
      </c>
    </row>
    <row r="138" spans="1:7" ht="18" hidden="1" customHeight="1">
      <c r="A138" s="220">
        <v>2004</v>
      </c>
      <c r="B138" s="221" t="s">
        <v>68</v>
      </c>
      <c r="C138" s="222">
        <f t="shared" si="16"/>
        <v>268.55711294500992</v>
      </c>
      <c r="D138" s="223">
        <v>0.37</v>
      </c>
      <c r="E138" s="223">
        <f t="shared" si="15"/>
        <v>5.8981792135844646</v>
      </c>
      <c r="F138" s="224">
        <f t="shared" si="12"/>
        <v>6.3535413842028765</v>
      </c>
      <c r="G138" s="225">
        <f t="shared" si="17"/>
        <v>3.0400471224567891</v>
      </c>
    </row>
    <row r="139" spans="1:7" ht="18" hidden="1" customHeight="1">
      <c r="A139" s="220">
        <v>2004</v>
      </c>
      <c r="B139" s="221" t="s">
        <v>69</v>
      </c>
      <c r="C139" s="222">
        <f t="shared" si="16"/>
        <v>270.24902275656348</v>
      </c>
      <c r="D139" s="223">
        <v>0.63</v>
      </c>
      <c r="E139" s="223">
        <f t="shared" si="15"/>
        <v>6.5653377426300397</v>
      </c>
      <c r="F139" s="224">
        <f t="shared" si="12"/>
        <v>6.5653377426300397</v>
      </c>
      <c r="G139" s="225">
        <f t="shared" si="17"/>
        <v>3.0210147296599317</v>
      </c>
    </row>
    <row r="140" spans="1:7" ht="18" hidden="1" customHeight="1">
      <c r="A140" s="220">
        <v>2005</v>
      </c>
      <c r="B140" s="221" t="s">
        <v>70</v>
      </c>
      <c r="C140" s="222">
        <f t="shared" si="16"/>
        <v>272.54613944999426</v>
      </c>
      <c r="D140" s="223">
        <v>0.85</v>
      </c>
      <c r="E140" s="223">
        <f t="shared" ref="E140:E151" si="18">100*(C140/C$139-1)</f>
        <v>0.8499999999999952</v>
      </c>
      <c r="F140" s="224">
        <f t="shared" si="12"/>
        <v>6.3228562657720699</v>
      </c>
      <c r="G140" s="225">
        <f t="shared" si="17"/>
        <v>2.995552533128341</v>
      </c>
    </row>
    <row r="141" spans="1:7" ht="18" hidden="1" customHeight="1">
      <c r="A141" s="220">
        <v>2005</v>
      </c>
      <c r="B141" s="221" t="s">
        <v>57</v>
      </c>
      <c r="C141" s="222">
        <f t="shared" si="16"/>
        <v>273.71808784962923</v>
      </c>
      <c r="D141" s="223">
        <v>0.43</v>
      </c>
      <c r="E141" s="223">
        <f t="shared" si="18"/>
        <v>1.2836550000000058</v>
      </c>
      <c r="F141" s="224">
        <f t="shared" si="12"/>
        <v>6.4818952410399699</v>
      </c>
      <c r="G141" s="225">
        <f t="shared" si="17"/>
        <v>2.9827268078545663</v>
      </c>
    </row>
    <row r="142" spans="1:7" ht="18" hidden="1" customHeight="1">
      <c r="A142" s="220">
        <v>2005</v>
      </c>
      <c r="B142" s="221" t="s">
        <v>58</v>
      </c>
      <c r="C142" s="222">
        <f t="shared" si="16"/>
        <v>275.63411446457661</v>
      </c>
      <c r="D142" s="223">
        <v>0.7</v>
      </c>
      <c r="E142" s="223">
        <f t="shared" si="18"/>
        <v>1.992640584999994</v>
      </c>
      <c r="F142" s="224">
        <f t="shared" si="12"/>
        <v>6.7362816123106128</v>
      </c>
      <c r="G142" s="225">
        <f t="shared" si="17"/>
        <v>2.9619928578496193</v>
      </c>
    </row>
    <row r="143" spans="1:7" ht="18" hidden="1" customHeight="1">
      <c r="A143" s="220">
        <v>2005</v>
      </c>
      <c r="B143" s="221" t="s">
        <v>59</v>
      </c>
      <c r="C143" s="222">
        <f t="shared" si="16"/>
        <v>278.05969467186486</v>
      </c>
      <c r="D143" s="223">
        <v>0.88</v>
      </c>
      <c r="E143" s="223">
        <f t="shared" si="18"/>
        <v>2.8901758221479668</v>
      </c>
      <c r="F143" s="224">
        <f t="shared" si="12"/>
        <v>7.342798216029256</v>
      </c>
      <c r="G143" s="225">
        <f t="shared" si="17"/>
        <v>2.9361546965202412</v>
      </c>
    </row>
    <row r="144" spans="1:7" ht="18" hidden="1" customHeight="1">
      <c r="A144" s="220">
        <v>2005</v>
      </c>
      <c r="B144" s="221" t="s">
        <v>60</v>
      </c>
      <c r="C144" s="222">
        <f t="shared" si="16"/>
        <v>280.25636625977262</v>
      </c>
      <c r="D144" s="223">
        <v>0.79</v>
      </c>
      <c r="E144" s="223">
        <f t="shared" si="18"/>
        <v>3.7030082111429552</v>
      </c>
      <c r="F144" s="224">
        <f t="shared" si="12"/>
        <v>7.428067045909903</v>
      </c>
      <c r="G144" s="225">
        <f t="shared" si="17"/>
        <v>2.9131408835402728</v>
      </c>
    </row>
    <row r="145" spans="1:7" ht="18" hidden="1" customHeight="1">
      <c r="A145" s="220">
        <v>2005</v>
      </c>
      <c r="B145" s="221" t="s">
        <v>61</v>
      </c>
      <c r="C145" s="222">
        <f t="shared" si="16"/>
        <v>280.11623807664273</v>
      </c>
      <c r="D145" s="223">
        <v>-0.05</v>
      </c>
      <c r="E145" s="223">
        <f t="shared" si="18"/>
        <v>3.6511567070373729</v>
      </c>
      <c r="F145" s="224">
        <f t="shared" si="12"/>
        <v>6.5433151541843149</v>
      </c>
      <c r="G145" s="225">
        <f t="shared" si="17"/>
        <v>2.9145981826315888</v>
      </c>
    </row>
    <row r="146" spans="1:7" ht="18" hidden="1" customHeight="1">
      <c r="A146" s="220">
        <v>2005</v>
      </c>
      <c r="B146" s="221" t="s">
        <v>62</v>
      </c>
      <c r="C146" s="222">
        <f t="shared" si="16"/>
        <v>280.48038918614236</v>
      </c>
      <c r="D146" s="223">
        <v>0.13</v>
      </c>
      <c r="E146" s="223">
        <f t="shared" si="18"/>
        <v>3.785903210756536</v>
      </c>
      <c r="F146" s="224">
        <f>+((C146/C134)-1)*100</f>
        <v>6.0560905297591727</v>
      </c>
      <c r="G146" s="225">
        <f t="shared" si="17"/>
        <v>2.9108141242700376</v>
      </c>
    </row>
    <row r="147" spans="1:7" ht="18" hidden="1" customHeight="1">
      <c r="A147" s="220">
        <v>2005</v>
      </c>
      <c r="B147" s="221" t="s">
        <v>63</v>
      </c>
      <c r="C147" s="222">
        <f t="shared" si="16"/>
        <v>279.24627547372336</v>
      </c>
      <c r="D147" s="223">
        <v>-0.44</v>
      </c>
      <c r="E147" s="223">
        <f t="shared" si="18"/>
        <v>3.329245236629208</v>
      </c>
      <c r="F147" s="224">
        <f>+((C147/C135)-1)*100</f>
        <v>4.7618253114676268</v>
      </c>
      <c r="G147" s="225">
        <f t="shared" si="17"/>
        <v>2.9236783088288845</v>
      </c>
    </row>
    <row r="148" spans="1:7" ht="18" hidden="1" customHeight="1">
      <c r="A148" s="220">
        <v>2005</v>
      </c>
      <c r="B148" s="221" t="s">
        <v>64</v>
      </c>
      <c r="C148" s="222">
        <f t="shared" si="16"/>
        <v>279.49759712164968</v>
      </c>
      <c r="D148" s="223">
        <v>0.09</v>
      </c>
      <c r="E148" s="223">
        <f t="shared" si="18"/>
        <v>3.422241557342165</v>
      </c>
      <c r="F148" s="224">
        <f>+((C148/C136)-1)*100</f>
        <v>4.5633336201116315</v>
      </c>
      <c r="G148" s="225">
        <f t="shared" si="17"/>
        <v>2.9210493644009241</v>
      </c>
    </row>
    <row r="149" spans="1:7" ht="18" hidden="1" customHeight="1">
      <c r="A149" s="220">
        <v>2005</v>
      </c>
      <c r="B149" s="221" t="s">
        <v>78</v>
      </c>
      <c r="C149" s="222">
        <f t="shared" si="16"/>
        <v>280.67148702956058</v>
      </c>
      <c r="D149" s="223">
        <v>0.42</v>
      </c>
      <c r="E149" s="223">
        <f t="shared" si="18"/>
        <v>3.8566149718829879</v>
      </c>
      <c r="F149" s="224">
        <f>+((C149/C137)-1)*100</f>
        <v>4.8976020192968095</v>
      </c>
      <c r="G149" s="225">
        <f t="shared" si="17"/>
        <v>2.9088322688716635</v>
      </c>
    </row>
    <row r="150" spans="1:7" ht="18" hidden="1" customHeight="1">
      <c r="A150" s="220">
        <v>2005</v>
      </c>
      <c r="B150" s="221" t="s">
        <v>68</v>
      </c>
      <c r="C150" s="222">
        <f t="shared" si="16"/>
        <v>282.27131450562911</v>
      </c>
      <c r="D150" s="223">
        <v>0.56999999999999995</v>
      </c>
      <c r="E150" s="223">
        <f t="shared" si="18"/>
        <v>4.4485976772227431</v>
      </c>
      <c r="F150" s="224">
        <f>+((C150/C138)-1)*100</f>
        <v>5.1066238425892418</v>
      </c>
      <c r="G150" s="225">
        <f t="shared" si="17"/>
        <v>2.8923458972572966</v>
      </c>
    </row>
    <row r="151" spans="1:7" ht="18" hidden="1" customHeight="1">
      <c r="A151" s="220">
        <v>2005</v>
      </c>
      <c r="B151" s="221" t="s">
        <v>69</v>
      </c>
      <c r="C151" s="222">
        <f t="shared" si="16"/>
        <v>283.56976255235497</v>
      </c>
      <c r="D151" s="223">
        <v>0.46</v>
      </c>
      <c r="E151" s="223">
        <f t="shared" si="18"/>
        <v>4.9290612265379563</v>
      </c>
      <c r="F151" s="224">
        <f t="shared" ref="F151:F214" si="19">+((C151/C139)-1)*100</f>
        <v>4.9290612265379563</v>
      </c>
      <c r="G151" s="225">
        <f t="shared" si="17"/>
        <v>2.8791020279288242</v>
      </c>
    </row>
    <row r="152" spans="1:7" ht="18" hidden="1" customHeight="1">
      <c r="A152" s="220">
        <v>2006</v>
      </c>
      <c r="B152" s="221" t="s">
        <v>70</v>
      </c>
      <c r="C152" s="222">
        <f t="shared" si="16"/>
        <v>285.41296600894526</v>
      </c>
      <c r="D152" s="223">
        <v>0.65</v>
      </c>
      <c r="E152" s="223">
        <f>100*(C152/C$151-1)</f>
        <v>0.64999999999999503</v>
      </c>
      <c r="F152" s="224">
        <f t="shared" si="19"/>
        <v>4.7209718636692655</v>
      </c>
      <c r="G152" s="225">
        <f t="shared" si="17"/>
        <v>2.8605087212407594</v>
      </c>
    </row>
    <row r="153" spans="1:7" ht="18" hidden="1" customHeight="1">
      <c r="A153" s="220">
        <v>2006</v>
      </c>
      <c r="B153" s="221" t="s">
        <v>57</v>
      </c>
      <c r="C153" s="222">
        <f t="shared" si="16"/>
        <v>285.44150730554617</v>
      </c>
      <c r="D153" s="223">
        <v>0.01</v>
      </c>
      <c r="E153" s="223">
        <f t="shared" ref="E153:E158" si="20">100*(C153/C$151-1)</f>
        <v>0.66006499999999857</v>
      </c>
      <c r="F153" s="224">
        <f t="shared" si="19"/>
        <v>4.2830269449921632</v>
      </c>
      <c r="G153" s="225">
        <f t="shared" si="17"/>
        <v>2.8602226989708623</v>
      </c>
    </row>
    <row r="154" spans="1:7" ht="18" hidden="1" customHeight="1">
      <c r="A154" s="220">
        <v>2006</v>
      </c>
      <c r="B154" s="221" t="s">
        <v>58</v>
      </c>
      <c r="C154" s="222">
        <f t="shared" si="16"/>
        <v>286.06947862161837</v>
      </c>
      <c r="D154" s="223">
        <v>0.22</v>
      </c>
      <c r="E154" s="223">
        <f t="shared" si="20"/>
        <v>0.88151714299999906</v>
      </c>
      <c r="F154" s="224">
        <f t="shared" si="19"/>
        <v>3.7859479684917208</v>
      </c>
      <c r="G154" s="225">
        <f t="shared" si="17"/>
        <v>2.8539440221221932</v>
      </c>
    </row>
    <row r="155" spans="1:7" ht="18" hidden="1" customHeight="1">
      <c r="A155" s="220">
        <v>2006</v>
      </c>
      <c r="B155" s="221" t="s">
        <v>73</v>
      </c>
      <c r="C155" s="222">
        <f t="shared" si="16"/>
        <v>287.04211484893187</v>
      </c>
      <c r="D155" s="223">
        <v>0.34</v>
      </c>
      <c r="E155" s="223">
        <f t="shared" si="20"/>
        <v>1.2245143012862059</v>
      </c>
      <c r="F155" s="224">
        <f t="shared" si="19"/>
        <v>3.2303927355120887</v>
      </c>
      <c r="G155" s="225">
        <f t="shared" si="17"/>
        <v>2.8442734922485484</v>
      </c>
    </row>
    <row r="156" spans="1:7" ht="18" hidden="1" customHeight="1">
      <c r="A156" s="220">
        <v>2006</v>
      </c>
      <c r="B156" s="221" t="s">
        <v>74</v>
      </c>
      <c r="C156" s="222">
        <f t="shared" si="16"/>
        <v>286.49673483071888</v>
      </c>
      <c r="D156" s="223">
        <v>-0.19</v>
      </c>
      <c r="E156" s="223">
        <f t="shared" si="20"/>
        <v>1.0321877241137534</v>
      </c>
      <c r="F156" s="224">
        <f t="shared" si="19"/>
        <v>2.2266643410205234</v>
      </c>
      <c r="G156" s="225">
        <f t="shared" si="17"/>
        <v>2.8496878992571371</v>
      </c>
    </row>
    <row r="157" spans="1:7" ht="18" hidden="1" customHeight="1">
      <c r="A157" s="220">
        <v>2006</v>
      </c>
      <c r="B157" s="221" t="s">
        <v>75</v>
      </c>
      <c r="C157" s="222">
        <f t="shared" si="16"/>
        <v>285.350747891396</v>
      </c>
      <c r="D157" s="223">
        <v>-0.4</v>
      </c>
      <c r="E157" s="223">
        <f t="shared" si="20"/>
        <v>0.62805897321729365</v>
      </c>
      <c r="F157" s="224">
        <f t="shared" si="19"/>
        <v>1.8686920296712817</v>
      </c>
      <c r="G157" s="225">
        <f t="shared" si="17"/>
        <v>2.8611324289730291</v>
      </c>
    </row>
    <row r="158" spans="1:7" ht="18" hidden="1" customHeight="1">
      <c r="A158" s="220">
        <v>2006</v>
      </c>
      <c r="B158" s="221" t="s">
        <v>76</v>
      </c>
      <c r="C158" s="222">
        <f t="shared" si="16"/>
        <v>285.52195834013082</v>
      </c>
      <c r="D158" s="223">
        <v>0.06</v>
      </c>
      <c r="E158" s="223">
        <f t="shared" si="20"/>
        <v>0.68843580860120657</v>
      </c>
      <c r="F158" s="224">
        <f t="shared" si="19"/>
        <v>1.7974765254060499</v>
      </c>
      <c r="G158" s="225">
        <f t="shared" si="17"/>
        <v>2.8594167789056861</v>
      </c>
    </row>
    <row r="159" spans="1:7" ht="18" hidden="1" customHeight="1">
      <c r="A159" s="220">
        <v>2006</v>
      </c>
      <c r="B159" s="221" t="s">
        <v>77</v>
      </c>
      <c r="C159" s="222">
        <f t="shared" si="16"/>
        <v>285.97879347347504</v>
      </c>
      <c r="D159" s="223">
        <v>0.16</v>
      </c>
      <c r="E159" s="223">
        <f>100*(C159/C$151-1)</f>
        <v>0.84953730589498733</v>
      </c>
      <c r="F159" s="224">
        <f t="shared" si="19"/>
        <v>2.4109607149926715</v>
      </c>
      <c r="G159" s="225">
        <f t="shared" si="17"/>
        <v>2.8548490204729293</v>
      </c>
    </row>
    <row r="160" spans="1:7" ht="18" hidden="1" customHeight="1">
      <c r="A160" s="220">
        <v>2006</v>
      </c>
      <c r="B160" s="221" t="s">
        <v>64</v>
      </c>
      <c r="C160" s="222">
        <f t="shared" si="16"/>
        <v>286.52215318107466</v>
      </c>
      <c r="D160" s="223">
        <v>0.19</v>
      </c>
      <c r="E160" s="223">
        <f>100*(C160/C$151-1)</f>
        <v>1.0411514267761879</v>
      </c>
      <c r="F160" s="224">
        <f t="shared" si="19"/>
        <v>2.5132795887213177</v>
      </c>
      <c r="G160" s="225">
        <f t="shared" si="17"/>
        <v>2.8494350937947193</v>
      </c>
    </row>
    <row r="161" spans="1:7" ht="18" hidden="1" customHeight="1">
      <c r="A161" s="220">
        <v>2006</v>
      </c>
      <c r="B161" s="221" t="s">
        <v>78</v>
      </c>
      <c r="C161" s="222">
        <f t="shared" si="16"/>
        <v>286.9232841955282</v>
      </c>
      <c r="D161" s="223">
        <v>0.14000000000000001</v>
      </c>
      <c r="E161" s="223">
        <f>100*(C161/C$151-1)</f>
        <v>1.1826090387736743</v>
      </c>
      <c r="F161" s="224">
        <f t="shared" si="19"/>
        <v>2.2274429198820611</v>
      </c>
      <c r="G161" s="225">
        <f t="shared" si="17"/>
        <v>2.8454514617482713</v>
      </c>
    </row>
    <row r="162" spans="1:7" ht="18" hidden="1" customHeight="1">
      <c r="A162" s="220">
        <v>2006</v>
      </c>
      <c r="B162" s="221" t="s">
        <v>68</v>
      </c>
      <c r="C162" s="222">
        <f t="shared" si="16"/>
        <v>287.61190007759745</v>
      </c>
      <c r="D162" s="223">
        <v>0.24</v>
      </c>
      <c r="E162" s="223">
        <f>100*(C162/C$151-1)</f>
        <v>1.4254473004667423</v>
      </c>
      <c r="F162" s="224">
        <f t="shared" si="19"/>
        <v>1.8920043580488821</v>
      </c>
      <c r="G162" s="225">
        <f t="shared" si="17"/>
        <v>2.8386387287991535</v>
      </c>
    </row>
    <row r="163" spans="1:7" ht="18" hidden="1" customHeight="1">
      <c r="A163" s="220">
        <v>2006</v>
      </c>
      <c r="B163" s="221" t="s">
        <v>55</v>
      </c>
      <c r="C163" s="222">
        <f t="shared" si="16"/>
        <v>289.4238550480863</v>
      </c>
      <c r="D163" s="223">
        <v>0.63</v>
      </c>
      <c r="E163" s="223">
        <f>100*(C163/C$151-1)</f>
        <v>2.0644276184596633</v>
      </c>
      <c r="F163" s="224">
        <f t="shared" si="19"/>
        <v>2.0644276184596633</v>
      </c>
      <c r="G163" s="225">
        <f t="shared" si="17"/>
        <v>2.8208672650294679</v>
      </c>
    </row>
    <row r="164" spans="1:7" ht="18" hidden="1" customHeight="1">
      <c r="A164" s="220">
        <v>2007</v>
      </c>
      <c r="B164" s="221" t="s">
        <v>70</v>
      </c>
      <c r="C164" s="222">
        <f t="shared" si="16"/>
        <v>291.42087964791807</v>
      </c>
      <c r="D164" s="223">
        <v>0.69</v>
      </c>
      <c r="E164" s="223">
        <f t="shared" ref="E164:E175" si="21">100*(C164/C$163-1)</f>
        <v>0.68999999999999062</v>
      </c>
      <c r="F164" s="224">
        <f t="shared" si="19"/>
        <v>2.1049897357447112</v>
      </c>
      <c r="G164" s="225">
        <f t="shared" si="17"/>
        <v>2.8015366620612454</v>
      </c>
    </row>
    <row r="165" spans="1:7" ht="18" hidden="1" customHeight="1">
      <c r="A165" s="220">
        <v>2007</v>
      </c>
      <c r="B165" s="221" t="s">
        <v>57</v>
      </c>
      <c r="C165" s="222">
        <f t="shared" si="16"/>
        <v>292.41171063872099</v>
      </c>
      <c r="D165" s="223">
        <v>0.34</v>
      </c>
      <c r="E165" s="223">
        <f t="shared" si="21"/>
        <v>1.0323459999999951</v>
      </c>
      <c r="F165" s="224">
        <f t="shared" si="19"/>
        <v>2.441902510595173</v>
      </c>
      <c r="G165" s="225">
        <f t="shared" si="17"/>
        <v>2.7920437134355645</v>
      </c>
    </row>
    <row r="166" spans="1:7" ht="18" hidden="1" customHeight="1">
      <c r="A166" s="220">
        <v>2007</v>
      </c>
      <c r="B166" s="221" t="s">
        <v>72</v>
      </c>
      <c r="C166" s="222">
        <f t="shared" si="16"/>
        <v>293.81528684978684</v>
      </c>
      <c r="D166" s="223">
        <v>0.48</v>
      </c>
      <c r="E166" s="223">
        <f t="shared" si="21"/>
        <v>1.5173012607999858</v>
      </c>
      <c r="F166" s="224">
        <f t="shared" si="19"/>
        <v>2.7076667757393924</v>
      </c>
      <c r="G166" s="225">
        <f t="shared" si="17"/>
        <v>2.7787059249955859</v>
      </c>
    </row>
    <row r="167" spans="1:7" ht="18" hidden="1" customHeight="1">
      <c r="A167" s="220">
        <v>2007</v>
      </c>
      <c r="B167" s="221" t="s">
        <v>73</v>
      </c>
      <c r="C167" s="222">
        <f t="shared" si="16"/>
        <v>294.72611423902123</v>
      </c>
      <c r="D167" s="223">
        <v>0.31</v>
      </c>
      <c r="E167" s="223">
        <f t="shared" si="21"/>
        <v>1.8320048947084944</v>
      </c>
      <c r="F167" s="224">
        <f t="shared" si="19"/>
        <v>2.6769588825435564</v>
      </c>
      <c r="G167" s="225">
        <f t="shared" si="17"/>
        <v>2.7701185574674363</v>
      </c>
    </row>
    <row r="168" spans="1:7" ht="18" hidden="1" customHeight="1">
      <c r="A168" s="220">
        <v>2007</v>
      </c>
      <c r="B168" s="221" t="s">
        <v>74</v>
      </c>
      <c r="C168" s="222">
        <f t="shared" si="16"/>
        <v>295.46292952461874</v>
      </c>
      <c r="D168" s="223">
        <v>0.25</v>
      </c>
      <c r="E168" s="223">
        <f t="shared" si="21"/>
        <v>2.0865849069452436</v>
      </c>
      <c r="F168" s="224">
        <f t="shared" si="19"/>
        <v>3.1295975150284594</v>
      </c>
      <c r="G168" s="225">
        <f t="shared" si="17"/>
        <v>2.7632105311395878</v>
      </c>
    </row>
    <row r="169" spans="1:7" ht="18" hidden="1" customHeight="1">
      <c r="A169" s="220">
        <v>2007</v>
      </c>
      <c r="B169" s="221" t="s">
        <v>75</v>
      </c>
      <c r="C169" s="222">
        <f t="shared" si="16"/>
        <v>296.70387382862214</v>
      </c>
      <c r="D169" s="223">
        <v>0.42</v>
      </c>
      <c r="E169" s="223">
        <f t="shared" si="21"/>
        <v>2.5153485635544204</v>
      </c>
      <c r="F169" s="224">
        <f t="shared" si="19"/>
        <v>3.9786564503931476</v>
      </c>
      <c r="G169" s="225">
        <f t="shared" si="17"/>
        <v>2.75165358607806</v>
      </c>
    </row>
    <row r="170" spans="1:7" ht="18" hidden="1" customHeight="1">
      <c r="A170" s="220">
        <v>2007</v>
      </c>
      <c r="B170" s="221" t="s">
        <v>76</v>
      </c>
      <c r="C170" s="222">
        <f t="shared" si="16"/>
        <v>297.53464467534224</v>
      </c>
      <c r="D170" s="223">
        <v>0.28000000000000003</v>
      </c>
      <c r="E170" s="223">
        <f t="shared" si="21"/>
        <v>2.8023915395323451</v>
      </c>
      <c r="F170" s="224">
        <f t="shared" si="19"/>
        <v>4.2072723250592192</v>
      </c>
      <c r="G170" s="225">
        <f t="shared" si="17"/>
        <v>2.7439704687655171</v>
      </c>
    </row>
    <row r="171" spans="1:7" ht="18" hidden="1" customHeight="1">
      <c r="A171" s="220">
        <v>2007</v>
      </c>
      <c r="B171" s="221" t="s">
        <v>77</v>
      </c>
      <c r="C171" s="222">
        <f t="shared" si="16"/>
        <v>298.78429018297868</v>
      </c>
      <c r="D171" s="223">
        <v>0.42</v>
      </c>
      <c r="E171" s="223">
        <f t="shared" si="21"/>
        <v>3.234161583998385</v>
      </c>
      <c r="F171" s="224">
        <f t="shared" si="19"/>
        <v>4.4777784233471118</v>
      </c>
      <c r="G171" s="225">
        <f t="shared" si="17"/>
        <v>2.7324939939907558</v>
      </c>
    </row>
    <row r="172" spans="1:7" ht="18" hidden="1" customHeight="1">
      <c r="A172" s="220">
        <v>2007</v>
      </c>
      <c r="B172" s="221" t="s">
        <v>79</v>
      </c>
      <c r="C172" s="222">
        <f t="shared" si="16"/>
        <v>299.47149405039954</v>
      </c>
      <c r="D172" s="223">
        <v>0.23</v>
      </c>
      <c r="E172" s="223">
        <f t="shared" si="21"/>
        <v>3.4716001556415854</v>
      </c>
      <c r="F172" s="224">
        <f t="shared" si="19"/>
        <v>4.5194902821846572</v>
      </c>
      <c r="G172" s="225">
        <f t="shared" si="17"/>
        <v>2.7262236795278416</v>
      </c>
    </row>
    <row r="173" spans="1:7" ht="18" hidden="1" customHeight="1">
      <c r="A173" s="220">
        <v>2007</v>
      </c>
      <c r="B173" s="221" t="s">
        <v>78</v>
      </c>
      <c r="C173" s="222">
        <f t="shared" si="16"/>
        <v>299.86080699266506</v>
      </c>
      <c r="D173" s="223">
        <v>0.13</v>
      </c>
      <c r="E173" s="223">
        <f t="shared" si="21"/>
        <v>3.6061132358439218</v>
      </c>
      <c r="F173" s="224">
        <f t="shared" si="19"/>
        <v>4.5090529454278716</v>
      </c>
      <c r="G173" s="225">
        <f t="shared" si="17"/>
        <v>2.7226841900807366</v>
      </c>
    </row>
    <row r="174" spans="1:7" ht="18" hidden="1" customHeight="1">
      <c r="A174" s="220">
        <v>2007</v>
      </c>
      <c r="B174" s="221" t="s">
        <v>68</v>
      </c>
      <c r="C174" s="222">
        <f t="shared" si="16"/>
        <v>300.67043117154526</v>
      </c>
      <c r="D174" s="223">
        <v>0.27</v>
      </c>
      <c r="E174" s="223">
        <f t="shared" si="21"/>
        <v>3.8858497415807047</v>
      </c>
      <c r="F174" s="224">
        <f t="shared" si="19"/>
        <v>4.5403305949526462</v>
      </c>
      <c r="G174" s="225">
        <f t="shared" si="17"/>
        <v>2.7153527376889763</v>
      </c>
    </row>
    <row r="175" spans="1:7" ht="18" hidden="1" customHeight="1">
      <c r="A175" s="220">
        <v>2007</v>
      </c>
      <c r="B175" s="221" t="s">
        <v>69</v>
      </c>
      <c r="C175" s="222">
        <f t="shared" si="16"/>
        <v>302.77512418974607</v>
      </c>
      <c r="D175" s="223">
        <v>0.7</v>
      </c>
      <c r="E175" s="223">
        <f t="shared" si="21"/>
        <v>4.6130506897717583</v>
      </c>
      <c r="F175" s="224">
        <f t="shared" si="19"/>
        <v>4.6130506897717583</v>
      </c>
      <c r="G175" s="225">
        <f t="shared" si="17"/>
        <v>2.6964773959175536</v>
      </c>
    </row>
    <row r="176" spans="1:7" ht="18" hidden="1" customHeight="1">
      <c r="A176" s="220">
        <v>2008</v>
      </c>
      <c r="B176" s="221" t="s">
        <v>70</v>
      </c>
      <c r="C176" s="222">
        <f t="shared" si="16"/>
        <v>305.71204289438663</v>
      </c>
      <c r="D176" s="223">
        <v>0.97</v>
      </c>
      <c r="E176" s="223">
        <f t="shared" ref="E176:E187" si="22">100*(C176/C$175-1)</f>
        <v>0.97000000000000419</v>
      </c>
      <c r="F176" s="224">
        <f t="shared" si="19"/>
        <v>4.903959957754056</v>
      </c>
      <c r="G176" s="225">
        <f t="shared" si="17"/>
        <v>2.6705728393756099</v>
      </c>
    </row>
    <row r="177" spans="1:7" ht="18" hidden="1" customHeight="1">
      <c r="A177" s="220">
        <v>2008</v>
      </c>
      <c r="B177" s="221" t="s">
        <v>71</v>
      </c>
      <c r="C177" s="222">
        <f t="shared" si="16"/>
        <v>305.72732849653136</v>
      </c>
      <c r="D177" s="223">
        <v>5.0000000000000001E-3</v>
      </c>
      <c r="E177" s="223">
        <f t="shared" si="22"/>
        <v>0.97504850000000864</v>
      </c>
      <c r="F177" s="224">
        <f t="shared" si="19"/>
        <v>4.5537224992544978</v>
      </c>
      <c r="G177" s="225">
        <f t="shared" si="17"/>
        <v>2.6704393174097394</v>
      </c>
    </row>
    <row r="178" spans="1:7" ht="18" hidden="1" customHeight="1">
      <c r="A178" s="220">
        <v>2008</v>
      </c>
      <c r="B178" s="221" t="s">
        <v>72</v>
      </c>
      <c r="C178" s="222">
        <f t="shared" si="16"/>
        <v>307.10310147476571</v>
      </c>
      <c r="D178" s="223">
        <v>0.45</v>
      </c>
      <c r="E178" s="223">
        <f t="shared" si="22"/>
        <v>1.429436218250002</v>
      </c>
      <c r="F178" s="224">
        <f t="shared" si="19"/>
        <v>4.5225062206420308</v>
      </c>
      <c r="G178" s="225">
        <f t="shared" si="17"/>
        <v>2.658476174623932</v>
      </c>
    </row>
    <row r="179" spans="1:7" ht="18" hidden="1" customHeight="1">
      <c r="A179" s="220">
        <v>2008</v>
      </c>
      <c r="B179" s="221" t="s">
        <v>73</v>
      </c>
      <c r="C179" s="222">
        <f t="shared" si="16"/>
        <v>309.31424380538402</v>
      </c>
      <c r="D179" s="223">
        <v>0.72</v>
      </c>
      <c r="E179" s="223">
        <f t="shared" si="22"/>
        <v>2.1597281590213901</v>
      </c>
      <c r="F179" s="224">
        <f t="shared" si="19"/>
        <v>4.9497241206566178</v>
      </c>
      <c r="G179" s="225">
        <f t="shared" si="17"/>
        <v>2.6394719763938959</v>
      </c>
    </row>
    <row r="180" spans="1:7" ht="18" hidden="1" customHeight="1">
      <c r="A180" s="220">
        <v>2008</v>
      </c>
      <c r="B180" s="221" t="s">
        <v>74</v>
      </c>
      <c r="C180" s="222">
        <f t="shared" si="16"/>
        <v>312.00527772649082</v>
      </c>
      <c r="D180" s="223">
        <v>0.87</v>
      </c>
      <c r="E180" s="223">
        <f t="shared" si="22"/>
        <v>3.0485177940048791</v>
      </c>
      <c r="F180" s="224">
        <f t="shared" si="19"/>
        <v>5.5987897461409641</v>
      </c>
      <c r="G180" s="225">
        <f t="shared" si="17"/>
        <v>2.6167066287239975</v>
      </c>
    </row>
    <row r="181" spans="1:7" ht="18" hidden="1" customHeight="1">
      <c r="A181" s="220">
        <v>2008</v>
      </c>
      <c r="B181" s="221" t="s">
        <v>75</v>
      </c>
      <c r="C181" s="222">
        <f t="shared" si="16"/>
        <v>314.40771836498482</v>
      </c>
      <c r="D181" s="223">
        <v>0.77</v>
      </c>
      <c r="E181" s="223">
        <f t="shared" si="22"/>
        <v>3.8419913810187056</v>
      </c>
      <c r="F181" s="224">
        <f t="shared" si="19"/>
        <v>5.966839700444404</v>
      </c>
      <c r="G181" s="225">
        <f t="shared" si="17"/>
        <v>2.5967119467341444</v>
      </c>
    </row>
    <row r="182" spans="1:7" ht="18" hidden="1" customHeight="1">
      <c r="A182" s="220">
        <v>2008</v>
      </c>
      <c r="B182" s="221" t="s">
        <v>76</v>
      </c>
      <c r="C182" s="222">
        <f t="shared" si="16"/>
        <v>316.07407927231924</v>
      </c>
      <c r="D182" s="223">
        <v>0.53</v>
      </c>
      <c r="E182" s="223">
        <f t="shared" si="22"/>
        <v>4.3923539353381225</v>
      </c>
      <c r="F182" s="224">
        <f t="shared" si="19"/>
        <v>6.2310171029684502</v>
      </c>
      <c r="G182" s="225">
        <f t="shared" si="17"/>
        <v>2.5830219305024813</v>
      </c>
    </row>
    <row r="183" spans="1:7" ht="18" hidden="1" customHeight="1">
      <c r="A183" s="220">
        <v>2008</v>
      </c>
      <c r="B183" s="221" t="s">
        <v>77</v>
      </c>
      <c r="C183" s="222">
        <f t="shared" si="16"/>
        <v>316.51658298330051</v>
      </c>
      <c r="D183" s="223">
        <v>0.14000000000000001</v>
      </c>
      <c r="E183" s="223">
        <f t="shared" si="22"/>
        <v>4.5385032308475903</v>
      </c>
      <c r="F183" s="224">
        <f t="shared" si="19"/>
        <v>5.9348143068239656</v>
      </c>
      <c r="G183" s="225">
        <f t="shared" si="17"/>
        <v>2.5794107554448584</v>
      </c>
    </row>
    <row r="184" spans="1:7" ht="18" hidden="1" customHeight="1">
      <c r="A184" s="220">
        <v>2008</v>
      </c>
      <c r="B184" s="221" t="s">
        <v>79</v>
      </c>
      <c r="C184" s="222">
        <f t="shared" si="16"/>
        <v>316.23171805861551</v>
      </c>
      <c r="D184" s="223">
        <v>-0.09</v>
      </c>
      <c r="E184" s="223">
        <f t="shared" si="22"/>
        <v>4.4444185779398238</v>
      </c>
      <c r="F184" s="224">
        <f t="shared" si="19"/>
        <v>5.5966007921259164</v>
      </c>
      <c r="G184" s="225">
        <f t="shared" si="17"/>
        <v>2.581734316329555</v>
      </c>
    </row>
    <row r="185" spans="1:7" ht="18" hidden="1" customHeight="1">
      <c r="A185" s="220">
        <v>2008</v>
      </c>
      <c r="B185" s="221" t="s">
        <v>78</v>
      </c>
      <c r="C185" s="222">
        <f t="shared" si="16"/>
        <v>317.71800713349097</v>
      </c>
      <c r="D185" s="223">
        <v>0.47</v>
      </c>
      <c r="E185" s="223">
        <f t="shared" si="22"/>
        <v>4.9353073452561347</v>
      </c>
      <c r="F185" s="224">
        <f t="shared" si="19"/>
        <v>5.955163103813943</v>
      </c>
      <c r="G185" s="225">
        <f t="shared" si="17"/>
        <v>2.5696569287643629</v>
      </c>
    </row>
    <row r="186" spans="1:7" ht="18" hidden="1" customHeight="1">
      <c r="A186" s="220">
        <v>2008</v>
      </c>
      <c r="B186" s="221" t="s">
        <v>68</v>
      </c>
      <c r="C186" s="222">
        <f t="shared" si="16"/>
        <v>319.49722797343856</v>
      </c>
      <c r="D186" s="223">
        <v>0.56000000000000005</v>
      </c>
      <c r="E186" s="223">
        <f t="shared" si="22"/>
        <v>5.5229450663895729</v>
      </c>
      <c r="F186" s="224">
        <f t="shared" si="19"/>
        <v>6.2616056818542987</v>
      </c>
      <c r="G186" s="225">
        <f t="shared" si="17"/>
        <v>2.5553469856447522</v>
      </c>
    </row>
    <row r="187" spans="1:7" ht="18" hidden="1" customHeight="1">
      <c r="A187" s="220">
        <v>2008</v>
      </c>
      <c r="B187" s="221" t="s">
        <v>69</v>
      </c>
      <c r="C187" s="222">
        <f t="shared" si="16"/>
        <v>321.15861355890047</v>
      </c>
      <c r="D187" s="223">
        <v>0.52</v>
      </c>
      <c r="E187" s="223">
        <f t="shared" si="22"/>
        <v>6.0716643807348092</v>
      </c>
      <c r="F187" s="224">
        <f t="shared" si="19"/>
        <v>6.0716643807348092</v>
      </c>
      <c r="G187" s="225">
        <f t="shared" si="17"/>
        <v>2.542127920458368</v>
      </c>
    </row>
    <row r="188" spans="1:7" ht="18" hidden="1" customHeight="1">
      <c r="A188" s="220">
        <v>2009</v>
      </c>
      <c r="B188" s="221" t="s">
        <v>70</v>
      </c>
      <c r="C188" s="222">
        <f t="shared" si="16"/>
        <v>323.82423005143932</v>
      </c>
      <c r="D188" s="223">
        <v>0.83</v>
      </c>
      <c r="E188" s="223">
        <f t="shared" ref="E188:E199" si="23">100*(C188/C$187-1)</f>
        <v>0.82999999999999741</v>
      </c>
      <c r="F188" s="224">
        <f t="shared" si="19"/>
        <v>5.9245906656381964</v>
      </c>
      <c r="G188" s="225">
        <f t="shared" si="17"/>
        <v>2.521201944320508</v>
      </c>
    </row>
    <row r="189" spans="1:7" ht="18" hidden="1" customHeight="1">
      <c r="A189" s="220">
        <v>2009</v>
      </c>
      <c r="B189" s="221" t="s">
        <v>57</v>
      </c>
      <c r="C189" s="222">
        <f t="shared" si="16"/>
        <v>324.50426093454735</v>
      </c>
      <c r="D189" s="223">
        <v>0.21</v>
      </c>
      <c r="E189" s="223">
        <f t="shared" si="23"/>
        <v>1.041742999999995</v>
      </c>
      <c r="F189" s="224">
        <f t="shared" si="19"/>
        <v>6.1417252197750516</v>
      </c>
      <c r="G189" s="225">
        <f t="shared" si="17"/>
        <v>2.5159185154380883</v>
      </c>
    </row>
    <row r="190" spans="1:7" ht="18" hidden="1" customHeight="1">
      <c r="A190" s="220">
        <v>2009</v>
      </c>
      <c r="B190" s="221" t="s">
        <v>72</v>
      </c>
      <c r="C190" s="222">
        <f t="shared" si="16"/>
        <v>326.48373692624807</v>
      </c>
      <c r="D190" s="223">
        <v>0.61</v>
      </c>
      <c r="E190" s="223">
        <f t="shared" si="23"/>
        <v>1.6580976322999819</v>
      </c>
      <c r="F190" s="224">
        <f t="shared" si="19"/>
        <v>6.3107911832908758</v>
      </c>
      <c r="G190" s="225">
        <f t="shared" si="17"/>
        <v>2.500664462218555</v>
      </c>
    </row>
    <row r="191" spans="1:7" ht="18" hidden="1" customHeight="1">
      <c r="A191" s="220">
        <v>2009</v>
      </c>
      <c r="B191" s="221" t="s">
        <v>73</v>
      </c>
      <c r="C191" s="222">
        <f t="shared" si="16"/>
        <v>328.01821048980139</v>
      </c>
      <c r="D191" s="223">
        <v>0.47</v>
      </c>
      <c r="E191" s="223">
        <f t="shared" si="23"/>
        <v>2.1358906911717934</v>
      </c>
      <c r="F191" s="224">
        <f t="shared" si="19"/>
        <v>6.0469141201869858</v>
      </c>
      <c r="G191" s="225">
        <f t="shared" si="17"/>
        <v>2.4889663205121484</v>
      </c>
    </row>
    <row r="192" spans="1:7" ht="18" hidden="1" customHeight="1">
      <c r="A192" s="220">
        <v>2009</v>
      </c>
      <c r="B192" s="221" t="s">
        <v>74</v>
      </c>
      <c r="C192" s="222">
        <f t="shared" si="16"/>
        <v>329.29748151071163</v>
      </c>
      <c r="D192" s="223">
        <v>0.39</v>
      </c>
      <c r="E192" s="223">
        <f t="shared" si="23"/>
        <v>2.5342206648673704</v>
      </c>
      <c r="F192" s="224">
        <f t="shared" si="19"/>
        <v>5.5422792557308753</v>
      </c>
      <c r="G192" s="225">
        <f t="shared" si="17"/>
        <v>2.4792970619704633</v>
      </c>
    </row>
    <row r="193" spans="1:7" ht="18" hidden="1" customHeight="1">
      <c r="A193" s="220">
        <v>2009</v>
      </c>
      <c r="B193" s="221" t="s">
        <v>75</v>
      </c>
      <c r="C193" s="222">
        <f t="shared" ref="C193:C256" si="24">+C192*(1+D193/100)</f>
        <v>329.69263848852449</v>
      </c>
      <c r="D193" s="223">
        <v>0.12</v>
      </c>
      <c r="E193" s="223">
        <f t="shared" si="23"/>
        <v>2.6572617296652057</v>
      </c>
      <c r="F193" s="224">
        <f t="shared" si="19"/>
        <v>4.8614964680338879</v>
      </c>
      <c r="G193" s="225">
        <f t="shared" si="17"/>
        <v>2.4763254714047775</v>
      </c>
    </row>
    <row r="194" spans="1:7" ht="18" hidden="1" customHeight="1">
      <c r="A194" s="220">
        <v>2009</v>
      </c>
      <c r="B194" s="221" t="s">
        <v>76</v>
      </c>
      <c r="C194" s="222">
        <f t="shared" si="24"/>
        <v>330.81359345938552</v>
      </c>
      <c r="D194" s="223">
        <v>0.34</v>
      </c>
      <c r="E194" s="223">
        <f t="shared" si="23"/>
        <v>3.006296419546084</v>
      </c>
      <c r="F194" s="224">
        <f t="shared" si="19"/>
        <v>4.6633100129565452</v>
      </c>
      <c r="G194" s="225">
        <f t="shared" si="17"/>
        <v>2.4679344941247532</v>
      </c>
    </row>
    <row r="195" spans="1:7" ht="18" hidden="1" customHeight="1">
      <c r="A195" s="220">
        <v>2009</v>
      </c>
      <c r="B195" s="221" t="s">
        <v>77</v>
      </c>
      <c r="C195" s="222">
        <f t="shared" si="24"/>
        <v>331.47522064630431</v>
      </c>
      <c r="D195" s="223">
        <v>0.2</v>
      </c>
      <c r="E195" s="223">
        <f t="shared" si="23"/>
        <v>3.2123090123851838</v>
      </c>
      <c r="F195" s="224">
        <f t="shared" si="19"/>
        <v>4.7260202046958799</v>
      </c>
      <c r="G195" s="225">
        <f t="shared" si="17"/>
        <v>2.4630084771704119</v>
      </c>
    </row>
    <row r="196" spans="1:7" ht="18" hidden="1" customHeight="1">
      <c r="A196" s="220">
        <v>2009</v>
      </c>
      <c r="B196" s="221" t="s">
        <v>64</v>
      </c>
      <c r="C196" s="222">
        <f t="shared" si="24"/>
        <v>332.07187604346768</v>
      </c>
      <c r="D196" s="223">
        <v>0.18</v>
      </c>
      <c r="E196" s="223">
        <f t="shared" si="23"/>
        <v>3.3980911686074755</v>
      </c>
      <c r="F196" s="224">
        <f t="shared" si="19"/>
        <v>5.0090351727198001</v>
      </c>
      <c r="G196" s="225">
        <f t="shared" si="17"/>
        <v>2.4585830277205152</v>
      </c>
    </row>
    <row r="197" spans="1:7" ht="18" hidden="1" customHeight="1">
      <c r="A197" s="220">
        <v>2009</v>
      </c>
      <c r="B197" s="221" t="s">
        <v>78</v>
      </c>
      <c r="C197" s="222">
        <f t="shared" si="24"/>
        <v>332.105083231072</v>
      </c>
      <c r="D197" s="223">
        <v>0.01</v>
      </c>
      <c r="E197" s="223">
        <f t="shared" si="23"/>
        <v>3.4084309777243194</v>
      </c>
      <c r="F197" s="224">
        <f t="shared" si="19"/>
        <v>4.5282532857938484</v>
      </c>
      <c r="G197" s="225">
        <f t="shared" si="17"/>
        <v>2.4583371940011149</v>
      </c>
    </row>
    <row r="198" spans="1:7" ht="18" hidden="1" customHeight="1">
      <c r="A198" s="220">
        <v>2009</v>
      </c>
      <c r="B198" s="221" t="s">
        <v>68</v>
      </c>
      <c r="C198" s="222">
        <f t="shared" si="24"/>
        <v>332.96855644747279</v>
      </c>
      <c r="D198" s="223">
        <v>0.26</v>
      </c>
      <c r="E198" s="223">
        <f t="shared" si="23"/>
        <v>3.6772928982664155</v>
      </c>
      <c r="F198" s="224">
        <f t="shared" si="19"/>
        <v>4.2164148213374109</v>
      </c>
      <c r="G198" s="225">
        <f t="shared" si="17"/>
        <v>2.4519620925604579</v>
      </c>
    </row>
    <row r="199" spans="1:7" ht="18" hidden="1" customHeight="1">
      <c r="A199" s="220">
        <v>2009</v>
      </c>
      <c r="B199" s="221" t="s">
        <v>55</v>
      </c>
      <c r="C199" s="222">
        <f t="shared" si="24"/>
        <v>333.76768098294673</v>
      </c>
      <c r="D199" s="223">
        <v>0.24</v>
      </c>
      <c r="E199" s="223">
        <f t="shared" si="23"/>
        <v>3.9261184012222561</v>
      </c>
      <c r="F199" s="224">
        <f t="shared" si="19"/>
        <v>3.9261184012222561</v>
      </c>
      <c r="G199" s="225">
        <f t="shared" ref="G199:G262" si="25">+$C$396/C199</f>
        <v>2.4460914730251972</v>
      </c>
    </row>
    <row r="200" spans="1:7" ht="18" hidden="1" customHeight="1">
      <c r="A200" s="220">
        <v>2010</v>
      </c>
      <c r="B200" s="221" t="s">
        <v>56</v>
      </c>
      <c r="C200" s="222">
        <f t="shared" si="24"/>
        <v>338.07328406762673</v>
      </c>
      <c r="D200" s="223">
        <v>1.29</v>
      </c>
      <c r="E200" s="223">
        <f t="shared" ref="E200:E211" si="26">100*(C200/C$199-1)</f>
        <v>1.2899999999999912</v>
      </c>
      <c r="F200" s="224">
        <f t="shared" si="19"/>
        <v>4.4002433091322235</v>
      </c>
      <c r="G200" s="225">
        <f t="shared" si="25"/>
        <v>2.4149387629827204</v>
      </c>
    </row>
    <row r="201" spans="1:7" ht="18" hidden="1" customHeight="1">
      <c r="A201" s="220">
        <v>2010</v>
      </c>
      <c r="B201" s="221" t="s">
        <v>57</v>
      </c>
      <c r="C201" s="222">
        <f t="shared" si="24"/>
        <v>340.37218239928654</v>
      </c>
      <c r="D201" s="223">
        <v>0.68</v>
      </c>
      <c r="E201" s="223">
        <f t="shared" si="26"/>
        <v>1.9787719999999842</v>
      </c>
      <c r="F201" s="224">
        <f t="shared" si="19"/>
        <v>4.8898961816528308</v>
      </c>
      <c r="G201" s="225">
        <f t="shared" si="25"/>
        <v>2.3986280919574106</v>
      </c>
    </row>
    <row r="202" spans="1:7" ht="18" hidden="1" customHeight="1">
      <c r="A202" s="220">
        <v>2010</v>
      </c>
      <c r="B202" s="221" t="s">
        <v>58</v>
      </c>
      <c r="C202" s="222">
        <f t="shared" si="24"/>
        <v>343.29938316792038</v>
      </c>
      <c r="D202" s="223">
        <v>0.86</v>
      </c>
      <c r="E202" s="223">
        <f t="shared" si="26"/>
        <v>2.8557894391999739</v>
      </c>
      <c r="F202" s="224">
        <f t="shared" si="19"/>
        <v>5.1505310494136314</v>
      </c>
      <c r="G202" s="225">
        <f t="shared" si="25"/>
        <v>2.3781757802472838</v>
      </c>
    </row>
    <row r="203" spans="1:7" ht="18" hidden="1" customHeight="1">
      <c r="A203" s="220">
        <v>2010</v>
      </c>
      <c r="B203" s="221" t="s">
        <v>59</v>
      </c>
      <c r="C203" s="222">
        <f t="shared" si="24"/>
        <v>345.90845847999657</v>
      </c>
      <c r="D203" s="223">
        <v>0.76</v>
      </c>
      <c r="E203" s="223">
        <f t="shared" si="26"/>
        <v>3.6374934389378888</v>
      </c>
      <c r="F203" s="224">
        <f t="shared" si="19"/>
        <v>5.4540410922555793</v>
      </c>
      <c r="G203" s="225">
        <f t="shared" si="25"/>
        <v>2.3602379716626478</v>
      </c>
    </row>
    <row r="204" spans="1:7" ht="18" hidden="1" customHeight="1">
      <c r="A204" s="220">
        <v>2010</v>
      </c>
      <c r="B204" s="221" t="s">
        <v>60</v>
      </c>
      <c r="C204" s="222">
        <f t="shared" si="24"/>
        <v>346.63486624280455</v>
      </c>
      <c r="D204" s="223">
        <v>0.21</v>
      </c>
      <c r="E204" s="223">
        <f t="shared" si="26"/>
        <v>3.8551321751596479</v>
      </c>
      <c r="F204" s="224">
        <f t="shared" si="19"/>
        <v>5.2649612297532622</v>
      </c>
      <c r="G204" s="225">
        <f t="shared" si="25"/>
        <v>2.3552918587592533</v>
      </c>
    </row>
    <row r="205" spans="1:7" ht="18" hidden="1" customHeight="1">
      <c r="A205" s="220">
        <v>2010</v>
      </c>
      <c r="B205" s="221" t="s">
        <v>61</v>
      </c>
      <c r="C205" s="222">
        <f t="shared" si="24"/>
        <v>345.90693302369465</v>
      </c>
      <c r="D205" s="223">
        <v>-0.21</v>
      </c>
      <c r="E205" s="223">
        <f t="shared" si="26"/>
        <v>3.6370363975918085</v>
      </c>
      <c r="F205" s="224">
        <f t="shared" si="19"/>
        <v>4.9180032073220081</v>
      </c>
      <c r="G205" s="225">
        <f t="shared" si="25"/>
        <v>2.3602483803580054</v>
      </c>
    </row>
    <row r="206" spans="1:7" ht="18" hidden="1" customHeight="1">
      <c r="A206" s="220">
        <v>2010</v>
      </c>
      <c r="B206" s="221" t="s">
        <v>62</v>
      </c>
      <c r="C206" s="222">
        <f t="shared" si="24"/>
        <v>345.18052846434489</v>
      </c>
      <c r="D206" s="223">
        <v>-0.21</v>
      </c>
      <c r="E206" s="223">
        <f t="shared" si="26"/>
        <v>3.4193986211568772</v>
      </c>
      <c r="F206" s="224">
        <f t="shared" si="19"/>
        <v>4.3429095082585301</v>
      </c>
      <c r="G206" s="225">
        <f t="shared" si="25"/>
        <v>2.3652153325563736</v>
      </c>
    </row>
    <row r="207" spans="1:7" ht="18" hidden="1" customHeight="1">
      <c r="A207" s="220">
        <v>2010</v>
      </c>
      <c r="B207" s="221" t="s">
        <v>63</v>
      </c>
      <c r="C207" s="222">
        <f t="shared" si="24"/>
        <v>344.90438404157339</v>
      </c>
      <c r="D207" s="223">
        <v>-0.08</v>
      </c>
      <c r="E207" s="223">
        <f t="shared" si="26"/>
        <v>3.3366631022599513</v>
      </c>
      <c r="F207" s="224">
        <f t="shared" si="19"/>
        <v>4.0513325156206648</v>
      </c>
      <c r="G207" s="225">
        <f t="shared" si="25"/>
        <v>2.3671090197721916</v>
      </c>
    </row>
    <row r="208" spans="1:7" ht="18" hidden="1" customHeight="1">
      <c r="A208" s="220">
        <v>2010</v>
      </c>
      <c r="B208" s="221" t="s">
        <v>64</v>
      </c>
      <c r="C208" s="222">
        <f t="shared" si="24"/>
        <v>346.49094420816459</v>
      </c>
      <c r="D208" s="223">
        <v>0.46</v>
      </c>
      <c r="E208" s="223">
        <f t="shared" si="26"/>
        <v>3.8120117525303199</v>
      </c>
      <c r="F208" s="224">
        <f t="shared" si="19"/>
        <v>4.3421527702061313</v>
      </c>
      <c r="G208" s="225">
        <f t="shared" si="25"/>
        <v>2.3562701769581844</v>
      </c>
    </row>
    <row r="209" spans="1:7" ht="18" hidden="1" customHeight="1">
      <c r="A209" s="220">
        <v>2010</v>
      </c>
      <c r="B209" s="221" t="s">
        <v>65</v>
      </c>
      <c r="C209" s="222">
        <f t="shared" si="24"/>
        <v>348.53524077899277</v>
      </c>
      <c r="D209" s="223">
        <v>0.59</v>
      </c>
      <c r="E209" s="223">
        <f t="shared" si="26"/>
        <v>4.4245026218702632</v>
      </c>
      <c r="F209" s="224">
        <f t="shared" si="19"/>
        <v>4.9472767438759835</v>
      </c>
      <c r="G209" s="225">
        <f t="shared" si="25"/>
        <v>2.3424497235890089</v>
      </c>
    </row>
    <row r="210" spans="1:7" ht="18" hidden="1" customHeight="1">
      <c r="A210" s="220">
        <v>2010</v>
      </c>
      <c r="B210" s="221" t="s">
        <v>66</v>
      </c>
      <c r="C210" s="222">
        <f t="shared" si="24"/>
        <v>352.02059318678272</v>
      </c>
      <c r="D210" s="223">
        <v>1</v>
      </c>
      <c r="E210" s="223">
        <f t="shared" si="26"/>
        <v>5.4687476480889785</v>
      </c>
      <c r="F210" s="224">
        <f t="shared" si="19"/>
        <v>5.7218726424443922</v>
      </c>
      <c r="G210" s="225">
        <f t="shared" si="25"/>
        <v>2.3192571520683258</v>
      </c>
    </row>
    <row r="211" spans="1:7" ht="18" hidden="1" customHeight="1">
      <c r="A211" s="226">
        <v>2010</v>
      </c>
      <c r="B211" s="227" t="s">
        <v>55</v>
      </c>
      <c r="C211" s="228">
        <f t="shared" si="24"/>
        <v>354.55514145772759</v>
      </c>
      <c r="D211" s="229">
        <v>0.72</v>
      </c>
      <c r="E211" s="229">
        <f t="shared" si="26"/>
        <v>6.2281226311552196</v>
      </c>
      <c r="F211" s="230">
        <f t="shared" si="19"/>
        <v>6.2281226311552196</v>
      </c>
      <c r="G211" s="225">
        <f t="shared" si="25"/>
        <v>2.3026778713942866</v>
      </c>
    </row>
    <row r="212" spans="1:7" ht="18" customHeight="1">
      <c r="A212" s="231">
        <v>2011</v>
      </c>
      <c r="B212" s="232" t="s">
        <v>56</v>
      </c>
      <c r="C212" s="233">
        <f t="shared" si="24"/>
        <v>359.05799175424073</v>
      </c>
      <c r="D212" s="234">
        <v>1.27</v>
      </c>
      <c r="E212" s="234">
        <f t="shared" ref="E212:E223" si="27">100*(C212/C$211-1)</f>
        <v>1.2699999999999934</v>
      </c>
      <c r="F212" s="235">
        <f t="shared" si="19"/>
        <v>6.2071475847279123</v>
      </c>
      <c r="G212" s="236">
        <f t="shared" si="25"/>
        <v>2.2738006037269543</v>
      </c>
    </row>
    <row r="213" spans="1:7" ht="18" customHeight="1">
      <c r="A213" s="237">
        <v>2011</v>
      </c>
      <c r="B213" s="238" t="s">
        <v>57</v>
      </c>
      <c r="C213" s="239">
        <f t="shared" si="24"/>
        <v>360.81737591383649</v>
      </c>
      <c r="D213" s="37">
        <v>0.49</v>
      </c>
      <c r="E213" s="37">
        <f t="shared" si="27"/>
        <v>1.7662230000000001</v>
      </c>
      <c r="F213" s="240">
        <f t="shared" si="19"/>
        <v>6.0067169327503667</v>
      </c>
      <c r="G213" s="241">
        <f t="shared" si="25"/>
        <v>2.2627133085152296</v>
      </c>
    </row>
    <row r="214" spans="1:7" ht="18" customHeight="1">
      <c r="A214" s="237">
        <v>2011</v>
      </c>
      <c r="B214" s="238" t="s">
        <v>58</v>
      </c>
      <c r="C214" s="239">
        <f t="shared" si="24"/>
        <v>363.37917928282474</v>
      </c>
      <c r="D214" s="37">
        <v>0.71</v>
      </c>
      <c r="E214" s="37">
        <f t="shared" si="27"/>
        <v>2.4887631833000023</v>
      </c>
      <c r="F214" s="240">
        <f t="shared" si="19"/>
        <v>5.8490626838914483</v>
      </c>
      <c r="G214" s="241">
        <f t="shared" si="25"/>
        <v>2.246761303262069</v>
      </c>
    </row>
    <row r="215" spans="1:7" ht="18" customHeight="1">
      <c r="A215" s="237">
        <v>2011</v>
      </c>
      <c r="B215" s="238" t="s">
        <v>59</v>
      </c>
      <c r="C215" s="239">
        <f t="shared" si="24"/>
        <v>366.83128148601162</v>
      </c>
      <c r="D215" s="37">
        <v>0.95</v>
      </c>
      <c r="E215" s="37">
        <f t="shared" si="27"/>
        <v>3.4624064335413651</v>
      </c>
      <c r="F215" s="240">
        <f t="shared" ref="F215:F278" si="28">+((C215/C203)-1)*100</f>
        <v>6.0486589712072547</v>
      </c>
      <c r="G215" s="241">
        <f t="shared" si="25"/>
        <v>2.2256179328995231</v>
      </c>
    </row>
    <row r="216" spans="1:7" ht="18" customHeight="1">
      <c r="A216" s="237">
        <v>2011</v>
      </c>
      <c r="B216" s="238" t="s">
        <v>60</v>
      </c>
      <c r="C216" s="239">
        <f t="shared" si="24"/>
        <v>368.7021210215903</v>
      </c>
      <c r="D216" s="37">
        <v>0.51</v>
      </c>
      <c r="E216" s="37">
        <f t="shared" si="27"/>
        <v>3.9900647063524364</v>
      </c>
      <c r="F216" s="240">
        <f t="shared" si="28"/>
        <v>6.3661382416529522</v>
      </c>
      <c r="G216" s="241">
        <f t="shared" si="25"/>
        <v>2.2143248760317613</v>
      </c>
    </row>
    <row r="217" spans="1:7" ht="18" customHeight="1">
      <c r="A217" s="237">
        <v>2011</v>
      </c>
      <c r="B217" s="238" t="s">
        <v>61</v>
      </c>
      <c r="C217" s="239">
        <f t="shared" si="24"/>
        <v>368.03845720375142</v>
      </c>
      <c r="D217" s="37">
        <v>-0.18</v>
      </c>
      <c r="E217" s="37">
        <f t="shared" si="27"/>
        <v>3.8028825898809959</v>
      </c>
      <c r="F217" s="240">
        <f t="shared" si="28"/>
        <v>6.3981152348110859</v>
      </c>
      <c r="G217" s="241">
        <f t="shared" si="25"/>
        <v>2.2183178481584465</v>
      </c>
    </row>
    <row r="218" spans="1:7" ht="18" customHeight="1">
      <c r="A218" s="237">
        <v>2011</v>
      </c>
      <c r="B218" s="238" t="s">
        <v>62</v>
      </c>
      <c r="C218" s="239">
        <f t="shared" si="24"/>
        <v>367.89124182086994</v>
      </c>
      <c r="D218" s="37">
        <v>-0.04</v>
      </c>
      <c r="E218" s="37">
        <f t="shared" si="27"/>
        <v>3.7613614368450454</v>
      </c>
      <c r="F218" s="240">
        <f t="shared" si="28"/>
        <v>6.5793726713269551</v>
      </c>
      <c r="G218" s="241">
        <f t="shared" si="25"/>
        <v>2.2192055303705946</v>
      </c>
    </row>
    <row r="219" spans="1:7" ht="18" customHeight="1">
      <c r="A219" s="237">
        <v>2011</v>
      </c>
      <c r="B219" s="238" t="s">
        <v>63</v>
      </c>
      <c r="C219" s="239">
        <f t="shared" si="24"/>
        <v>369.36280678815342</v>
      </c>
      <c r="D219" s="37">
        <v>0.4</v>
      </c>
      <c r="E219" s="37">
        <f t="shared" si="27"/>
        <v>4.1764068825924205</v>
      </c>
      <c r="F219" s="240">
        <f t="shared" si="28"/>
        <v>7.0913632526143466</v>
      </c>
      <c r="G219" s="241">
        <f t="shared" si="25"/>
        <v>2.2103640740742976</v>
      </c>
    </row>
    <row r="220" spans="1:7" ht="18" customHeight="1">
      <c r="A220" s="237">
        <v>2011</v>
      </c>
      <c r="B220" s="238" t="s">
        <v>64</v>
      </c>
      <c r="C220" s="239">
        <f t="shared" si="24"/>
        <v>371.20962082209417</v>
      </c>
      <c r="D220" s="37">
        <v>0.5</v>
      </c>
      <c r="E220" s="37">
        <f t="shared" si="27"/>
        <v>4.6972889170053822</v>
      </c>
      <c r="F220" s="240">
        <f t="shared" si="28"/>
        <v>7.1340036520778805</v>
      </c>
      <c r="G220" s="241">
        <f t="shared" si="25"/>
        <v>2.1993672378848732</v>
      </c>
    </row>
    <row r="221" spans="1:7" ht="18" customHeight="1">
      <c r="A221" s="237">
        <v>2011</v>
      </c>
      <c r="B221" s="238" t="s">
        <v>65</v>
      </c>
      <c r="C221" s="239">
        <f t="shared" si="24"/>
        <v>372.17476583623159</v>
      </c>
      <c r="D221" s="37">
        <v>0.26</v>
      </c>
      <c r="E221" s="37">
        <f t="shared" si="27"/>
        <v>4.9695018681895853</v>
      </c>
      <c r="F221" s="240">
        <f t="shared" si="28"/>
        <v>6.7825351044569659</v>
      </c>
      <c r="G221" s="241">
        <f t="shared" si="25"/>
        <v>2.1936637122330671</v>
      </c>
    </row>
    <row r="222" spans="1:7" ht="18" customHeight="1">
      <c r="A222" s="237">
        <v>2011</v>
      </c>
      <c r="B222" s="238" t="s">
        <v>66</v>
      </c>
      <c r="C222" s="239">
        <f t="shared" si="24"/>
        <v>374.14729209516366</v>
      </c>
      <c r="D222" s="37">
        <v>0.53</v>
      </c>
      <c r="E222" s="37">
        <f t="shared" si="27"/>
        <v>5.5258402280909946</v>
      </c>
      <c r="F222" s="240">
        <f t="shared" si="28"/>
        <v>6.2856262777332583</v>
      </c>
      <c r="G222" s="241">
        <f t="shared" si="25"/>
        <v>2.1820985897076168</v>
      </c>
    </row>
    <row r="223" spans="1:7" ht="18" customHeight="1">
      <c r="A223" s="237">
        <v>2011</v>
      </c>
      <c r="B223" s="238" t="s">
        <v>55</v>
      </c>
      <c r="C223" s="239">
        <f t="shared" si="24"/>
        <v>377.10305570271544</v>
      </c>
      <c r="D223" s="37">
        <v>0.79</v>
      </c>
      <c r="E223" s="37">
        <f t="shared" si="27"/>
        <v>6.3594943658929148</v>
      </c>
      <c r="F223" s="240">
        <f t="shared" si="28"/>
        <v>6.3594943658929148</v>
      </c>
      <c r="G223" s="241">
        <f t="shared" si="25"/>
        <v>2.1649951281948772</v>
      </c>
    </row>
    <row r="224" spans="1:7" ht="18" customHeight="1">
      <c r="A224" s="237">
        <f>2012</f>
        <v>2012</v>
      </c>
      <c r="B224" s="238" t="s">
        <v>56</v>
      </c>
      <c r="C224" s="239">
        <f t="shared" si="24"/>
        <v>380.1575904539074</v>
      </c>
      <c r="D224" s="37">
        <v>0.81</v>
      </c>
      <c r="E224" s="37">
        <f t="shared" ref="E224:E235" si="29">100*(C224/C$223-1)</f>
        <v>0.80999999999999961</v>
      </c>
      <c r="F224" s="240">
        <f t="shared" si="28"/>
        <v>5.8763762913564221</v>
      </c>
      <c r="G224" s="241">
        <f t="shared" si="25"/>
        <v>2.1475995716643959</v>
      </c>
    </row>
    <row r="225" spans="1:7" ht="18" customHeight="1">
      <c r="A225" s="237">
        <f>2012</f>
        <v>2012</v>
      </c>
      <c r="B225" s="238" t="s">
        <v>57</v>
      </c>
      <c r="C225" s="239">
        <f t="shared" si="24"/>
        <v>381.06996867099679</v>
      </c>
      <c r="D225" s="37">
        <v>0.24</v>
      </c>
      <c r="E225" s="37">
        <f t="shared" si="29"/>
        <v>1.0519439999999936</v>
      </c>
      <c r="F225" s="240">
        <f t="shared" si="28"/>
        <v>5.6129760119968841</v>
      </c>
      <c r="G225" s="241">
        <f t="shared" si="25"/>
        <v>2.1424576732485989</v>
      </c>
    </row>
    <row r="226" spans="1:7" ht="18" customHeight="1">
      <c r="A226" s="237">
        <f>2012</f>
        <v>2012</v>
      </c>
      <c r="B226" s="238" t="s">
        <v>58</v>
      </c>
      <c r="C226" s="239">
        <f t="shared" si="24"/>
        <v>383.35638848302278</v>
      </c>
      <c r="D226" s="37">
        <v>0.6</v>
      </c>
      <c r="E226" s="37">
        <f t="shared" si="29"/>
        <v>1.6582556639999968</v>
      </c>
      <c r="F226" s="240">
        <f t="shared" si="28"/>
        <v>5.4976207606681315</v>
      </c>
      <c r="G226" s="241">
        <f t="shared" si="25"/>
        <v>2.1296795956745518</v>
      </c>
    </row>
    <row r="227" spans="1:7" ht="18" customHeight="1">
      <c r="A227" s="237">
        <f>2012</f>
        <v>2012</v>
      </c>
      <c r="B227" s="238" t="s">
        <v>59</v>
      </c>
      <c r="C227" s="239">
        <f t="shared" si="24"/>
        <v>385.34984170313453</v>
      </c>
      <c r="D227" s="37">
        <v>0.52</v>
      </c>
      <c r="E227" s="37">
        <f t="shared" si="29"/>
        <v>2.1868785934528123</v>
      </c>
      <c r="F227" s="240">
        <f t="shared" si="28"/>
        <v>5.0482500134954034</v>
      </c>
      <c r="G227" s="241">
        <f t="shared" si="25"/>
        <v>2.1186625504124073</v>
      </c>
    </row>
    <row r="228" spans="1:7" ht="18" customHeight="1">
      <c r="A228" s="237">
        <f>2012</f>
        <v>2012</v>
      </c>
      <c r="B228" s="238" t="s">
        <v>60</v>
      </c>
      <c r="C228" s="239">
        <f t="shared" si="24"/>
        <v>387.35366087999085</v>
      </c>
      <c r="D228" s="37">
        <v>0.52</v>
      </c>
      <c r="E228" s="37">
        <f t="shared" si="29"/>
        <v>2.7182503621387744</v>
      </c>
      <c r="F228" s="240">
        <f t="shared" si="28"/>
        <v>5.0587015357333343</v>
      </c>
      <c r="G228" s="241">
        <f t="shared" si="25"/>
        <v>2.1077024974257927</v>
      </c>
    </row>
    <row r="229" spans="1:7" ht="18" customHeight="1">
      <c r="A229" s="237">
        <f>2012</f>
        <v>2012</v>
      </c>
      <c r="B229" s="238" t="s">
        <v>61</v>
      </c>
      <c r="C229" s="239">
        <f t="shared" si="24"/>
        <v>387.7797499069589</v>
      </c>
      <c r="D229" s="37">
        <v>0.11</v>
      </c>
      <c r="E229" s="37">
        <f t="shared" si="29"/>
        <v>2.8312404375371303</v>
      </c>
      <c r="F229" s="240">
        <f t="shared" si="28"/>
        <v>5.3639211655206021</v>
      </c>
      <c r="G229" s="241">
        <f t="shared" si="25"/>
        <v>2.1053865721963763</v>
      </c>
    </row>
    <row r="230" spans="1:7" ht="18" customHeight="1">
      <c r="A230" s="237">
        <f>2012</f>
        <v>2012</v>
      </c>
      <c r="B230" s="238" t="s">
        <v>62</v>
      </c>
      <c r="C230" s="239">
        <f t="shared" si="24"/>
        <v>388.63286535675422</v>
      </c>
      <c r="D230" s="37">
        <v>0.22</v>
      </c>
      <c r="E230" s="37">
        <f t="shared" si="29"/>
        <v>3.0574691664997156</v>
      </c>
      <c r="F230" s="240">
        <f t="shared" si="28"/>
        <v>5.6379769828778903</v>
      </c>
      <c r="G230" s="241">
        <f t="shared" si="25"/>
        <v>2.1007648894396094</v>
      </c>
    </row>
    <row r="231" spans="1:7" ht="18" customHeight="1">
      <c r="A231" s="237">
        <f>2012</f>
        <v>2012</v>
      </c>
      <c r="B231" s="238" t="s">
        <v>63</v>
      </c>
      <c r="C231" s="239">
        <f t="shared" si="24"/>
        <v>390.34284996432393</v>
      </c>
      <c r="D231" s="37">
        <v>0.44</v>
      </c>
      <c r="E231" s="37">
        <f t="shared" si="29"/>
        <v>3.5109220308323197</v>
      </c>
      <c r="F231" s="240">
        <f t="shared" si="28"/>
        <v>5.6800638262973546</v>
      </c>
      <c r="G231" s="241">
        <f t="shared" si="25"/>
        <v>2.0915620165667157</v>
      </c>
    </row>
    <row r="232" spans="1:7" ht="18" customHeight="1">
      <c r="A232" s="237">
        <f>2012</f>
        <v>2012</v>
      </c>
      <c r="B232" s="238" t="s">
        <v>64</v>
      </c>
      <c r="C232" s="239">
        <f t="shared" si="24"/>
        <v>392.4507013541313</v>
      </c>
      <c r="D232" s="37">
        <v>0.54</v>
      </c>
      <c r="E232" s="37">
        <f t="shared" si="29"/>
        <v>4.0698810097988147</v>
      </c>
      <c r="F232" s="240">
        <f t="shared" si="28"/>
        <v>5.7221255432431617</v>
      </c>
      <c r="G232" s="241">
        <f t="shared" si="25"/>
        <v>2.080328244048852</v>
      </c>
    </row>
    <row r="233" spans="1:7" ht="18" customHeight="1">
      <c r="A233" s="237">
        <f>2012</f>
        <v>2012</v>
      </c>
      <c r="B233" s="238" t="s">
        <v>65</v>
      </c>
      <c r="C233" s="239">
        <f t="shared" si="24"/>
        <v>394.3344647206311</v>
      </c>
      <c r="D233" s="37">
        <v>0.48</v>
      </c>
      <c r="E233" s="37">
        <f t="shared" si="29"/>
        <v>4.5694164386458347</v>
      </c>
      <c r="F233" s="240">
        <f t="shared" si="28"/>
        <v>5.9541110571022626</v>
      </c>
      <c r="G233" s="241">
        <f t="shared" si="25"/>
        <v>2.0703903702715487</v>
      </c>
    </row>
    <row r="234" spans="1:7" ht="18" customHeight="1">
      <c r="A234" s="237">
        <f>2012</f>
        <v>2012</v>
      </c>
      <c r="B234" s="238" t="s">
        <v>66</v>
      </c>
      <c r="C234" s="239">
        <f t="shared" si="24"/>
        <v>396.10896981187392</v>
      </c>
      <c r="D234" s="37">
        <v>0.45</v>
      </c>
      <c r="E234" s="37">
        <f t="shared" si="29"/>
        <v>5.0399788126197498</v>
      </c>
      <c r="F234" s="240">
        <f t="shared" si="28"/>
        <v>5.8697946452394234</v>
      </c>
      <c r="G234" s="241">
        <f t="shared" si="25"/>
        <v>2.0611153511911882</v>
      </c>
    </row>
    <row r="235" spans="1:7" ht="18" customHeight="1">
      <c r="A235" s="237">
        <f>2012</f>
        <v>2012</v>
      </c>
      <c r="B235" s="238" t="s">
        <v>55</v>
      </c>
      <c r="C235" s="239">
        <f t="shared" si="24"/>
        <v>398.72328901263228</v>
      </c>
      <c r="D235" s="37">
        <v>0.66</v>
      </c>
      <c r="E235" s="37">
        <f t="shared" si="29"/>
        <v>5.7332426727830343</v>
      </c>
      <c r="F235" s="240">
        <f t="shared" si="28"/>
        <v>5.7332426727830343</v>
      </c>
      <c r="G235" s="241">
        <f t="shared" si="25"/>
        <v>2.0476011833808747</v>
      </c>
    </row>
    <row r="236" spans="1:7" ht="18" customHeight="1">
      <c r="A236" s="237">
        <f>2013</f>
        <v>2013</v>
      </c>
      <c r="B236" s="238" t="s">
        <v>56</v>
      </c>
      <c r="C236" s="239">
        <f t="shared" si="24"/>
        <v>402.75039423165987</v>
      </c>
      <c r="D236" s="37">
        <v>1.01</v>
      </c>
      <c r="E236" s="37">
        <f t="shared" ref="E236:E242" si="30">100*(C236/C$235-1)</f>
        <v>1.0099999999999998</v>
      </c>
      <c r="F236" s="240">
        <f t="shared" si="28"/>
        <v>5.9430100424344268</v>
      </c>
      <c r="G236" s="241">
        <f t="shared" si="25"/>
        <v>2.0271271986742647</v>
      </c>
    </row>
    <row r="237" spans="1:7" ht="18" customHeight="1">
      <c r="A237" s="237">
        <f>2013</f>
        <v>2013</v>
      </c>
      <c r="B237" s="238" t="s">
        <v>57</v>
      </c>
      <c r="C237" s="239">
        <f t="shared" si="24"/>
        <v>404.07947053262438</v>
      </c>
      <c r="D237" s="37">
        <v>0.33</v>
      </c>
      <c r="E237" s="37">
        <f t="shared" si="30"/>
        <v>1.3433330000000021</v>
      </c>
      <c r="F237" s="240">
        <f t="shared" si="28"/>
        <v>6.0381304624645527</v>
      </c>
      <c r="G237" s="241">
        <f t="shared" si="25"/>
        <v>2.020459681724573</v>
      </c>
    </row>
    <row r="238" spans="1:7" ht="18" customHeight="1">
      <c r="A238" s="237">
        <f>2013</f>
        <v>2013</v>
      </c>
      <c r="B238" s="238" t="s">
        <v>58</v>
      </c>
      <c r="C238" s="239">
        <f t="shared" si="24"/>
        <v>406.98884272045933</v>
      </c>
      <c r="D238" s="37">
        <v>0.72</v>
      </c>
      <c r="E238" s="37">
        <f t="shared" si="30"/>
        <v>2.0730049976000142</v>
      </c>
      <c r="F238" s="240">
        <f t="shared" si="28"/>
        <v>6.1646172980062808</v>
      </c>
      <c r="G238" s="241">
        <f t="shared" si="25"/>
        <v>2.006016363904461</v>
      </c>
    </row>
    <row r="239" spans="1:7" ht="18" customHeight="1">
      <c r="A239" s="237">
        <f>2013</f>
        <v>2013</v>
      </c>
      <c r="B239" s="238" t="s">
        <v>59</v>
      </c>
      <c r="C239" s="239">
        <f t="shared" si="24"/>
        <v>409.10518470260575</v>
      </c>
      <c r="D239" s="37">
        <v>0.52</v>
      </c>
      <c r="E239" s="37">
        <f t="shared" si="30"/>
        <v>2.6037846235875461</v>
      </c>
      <c r="F239" s="240">
        <f t="shared" si="28"/>
        <v>6.1646172980062808</v>
      </c>
      <c r="G239" s="241">
        <f t="shared" si="25"/>
        <v>1.9956390408918232</v>
      </c>
    </row>
    <row r="240" spans="1:7" ht="18" customHeight="1">
      <c r="A240" s="237">
        <f>2013</f>
        <v>2013</v>
      </c>
      <c r="B240" s="238" t="s">
        <v>60</v>
      </c>
      <c r="C240" s="239">
        <f t="shared" si="24"/>
        <v>410.41432129365415</v>
      </c>
      <c r="D240" s="37">
        <v>0.32</v>
      </c>
      <c r="E240" s="37">
        <f t="shared" si="30"/>
        <v>2.9321167343830501</v>
      </c>
      <c r="F240" s="240">
        <f t="shared" si="28"/>
        <v>5.9533864637484113</v>
      </c>
      <c r="G240" s="241">
        <f t="shared" si="25"/>
        <v>1.9892733661202382</v>
      </c>
    </row>
    <row r="241" spans="1:7" ht="18" customHeight="1">
      <c r="A241" s="237">
        <f>2013</f>
        <v>2013</v>
      </c>
      <c r="B241" s="238" t="s">
        <v>61</v>
      </c>
      <c r="C241" s="239">
        <f t="shared" si="24"/>
        <v>411.85077141818198</v>
      </c>
      <c r="D241" s="37">
        <v>0.35</v>
      </c>
      <c r="E241" s="37">
        <f t="shared" si="30"/>
        <v>3.2923791429533944</v>
      </c>
      <c r="F241" s="240">
        <f t="shared" si="28"/>
        <v>6.2073951816716821</v>
      </c>
      <c r="G241" s="241">
        <f t="shared" si="25"/>
        <v>1.9823351929449307</v>
      </c>
    </row>
    <row r="242" spans="1:7" ht="18" customHeight="1">
      <c r="A242" s="237">
        <f>2013</f>
        <v>2013</v>
      </c>
      <c r="B242" s="238" t="s">
        <v>62</v>
      </c>
      <c r="C242" s="239">
        <f t="shared" si="24"/>
        <v>411.15062510677103</v>
      </c>
      <c r="D242" s="37">
        <v>-0.17</v>
      </c>
      <c r="E242" s="37">
        <f t="shared" si="30"/>
        <v>3.1167820984103756</v>
      </c>
      <c r="F242" s="240">
        <f t="shared" si="28"/>
        <v>5.7940955995438248</v>
      </c>
      <c r="G242" s="241">
        <f t="shared" si="25"/>
        <v>1.9857109014774426</v>
      </c>
    </row>
    <row r="243" spans="1:7" ht="18" customHeight="1">
      <c r="A243" s="237">
        <f>2013</f>
        <v>2013</v>
      </c>
      <c r="B243" s="238" t="s">
        <v>63</v>
      </c>
      <c r="C243" s="239">
        <f t="shared" si="24"/>
        <v>411.9729263569846</v>
      </c>
      <c r="D243" s="37">
        <v>0.2</v>
      </c>
      <c r="E243" s="37">
        <f>100*(C243/C$235-1)</f>
        <v>3.3230156626071983</v>
      </c>
      <c r="F243" s="240">
        <f t="shared" si="28"/>
        <v>5.5413020616715825</v>
      </c>
      <c r="G243" s="241">
        <f t="shared" si="25"/>
        <v>1.9817474066641141</v>
      </c>
    </row>
    <row r="244" spans="1:7" ht="18" customHeight="1">
      <c r="A244" s="237">
        <f>2013</f>
        <v>2013</v>
      </c>
      <c r="B244" s="238" t="s">
        <v>64</v>
      </c>
      <c r="C244" s="239">
        <f t="shared" si="24"/>
        <v>413.20884513605552</v>
      </c>
      <c r="D244" s="37">
        <v>0.3</v>
      </c>
      <c r="E244" s="37">
        <f>100*(C244/C$235-1)</f>
        <v>3.6329847095950107</v>
      </c>
      <c r="F244" s="240">
        <f t="shared" si="28"/>
        <v>5.2893634054670624</v>
      </c>
      <c r="G244" s="241">
        <f t="shared" si="25"/>
        <v>1.9758199468236435</v>
      </c>
    </row>
    <row r="245" spans="1:7" ht="18" customHeight="1">
      <c r="A245" s="237">
        <f>2013</f>
        <v>2013</v>
      </c>
      <c r="B245" s="238" t="s">
        <v>65</v>
      </c>
      <c r="C245" s="239">
        <f t="shared" si="24"/>
        <v>415.48149378430384</v>
      </c>
      <c r="D245" s="37">
        <v>0.55000000000000004</v>
      </c>
      <c r="E245" s="37">
        <f>100*(C245/C$235-1)</f>
        <v>4.2029661254977757</v>
      </c>
      <c r="F245" s="240">
        <f t="shared" si="28"/>
        <v>5.3627138775847349</v>
      </c>
      <c r="G245" s="241">
        <f t="shared" si="25"/>
        <v>1.9650123787405702</v>
      </c>
    </row>
    <row r="246" spans="1:7" ht="18" customHeight="1">
      <c r="A246" s="237">
        <f>2013</f>
        <v>2013</v>
      </c>
      <c r="B246" s="238" t="s">
        <v>66</v>
      </c>
      <c r="C246" s="239">
        <f t="shared" si="24"/>
        <v>418.30676794203708</v>
      </c>
      <c r="D246" s="37">
        <v>0.68</v>
      </c>
      <c r="E246" s="37">
        <f>100*(C246/C$235-1)</f>
        <v>4.911546295151159</v>
      </c>
      <c r="F246" s="240">
        <f t="shared" si="28"/>
        <v>5.6039625006991667</v>
      </c>
      <c r="G246" s="241">
        <f t="shared" si="25"/>
        <v>1.9517405430478449</v>
      </c>
    </row>
    <row r="247" spans="1:7" ht="18" customHeight="1">
      <c r="A247" s="237">
        <f>2013</f>
        <v>2013</v>
      </c>
      <c r="B247" s="238" t="s">
        <v>55</v>
      </c>
      <c r="C247" s="239">
        <f t="shared" si="24"/>
        <v>421.19308464083713</v>
      </c>
      <c r="D247" s="37">
        <v>0.69</v>
      </c>
      <c r="E247" s="37">
        <f>100*(C247/C$235-1)</f>
        <v>5.6354359645877095</v>
      </c>
      <c r="F247" s="240">
        <f t="shared" si="28"/>
        <v>5.6354359645877095</v>
      </c>
      <c r="G247" s="241">
        <f t="shared" si="25"/>
        <v>1.9383658188974526</v>
      </c>
    </row>
    <row r="248" spans="1:7" ht="18" customHeight="1">
      <c r="A248" s="237">
        <f>2014</f>
        <v>2014</v>
      </c>
      <c r="B248" s="238" t="s">
        <v>56</v>
      </c>
      <c r="C248" s="239">
        <f t="shared" si="24"/>
        <v>425.3628961787814</v>
      </c>
      <c r="D248" s="37">
        <v>0.99</v>
      </c>
      <c r="E248" s="37">
        <f t="shared" ref="E248:E259" si="31">100*(C248/C$247-1)</f>
        <v>0.99000000000000199</v>
      </c>
      <c r="F248" s="240">
        <f t="shared" si="28"/>
        <v>5.6145201273508638</v>
      </c>
      <c r="G248" s="241">
        <f t="shared" si="25"/>
        <v>1.9193641141671975</v>
      </c>
    </row>
    <row r="249" spans="1:7" ht="18" customHeight="1">
      <c r="A249" s="237">
        <f>2014</f>
        <v>2014</v>
      </c>
      <c r="B249" s="238" t="s">
        <v>57</v>
      </c>
      <c r="C249" s="239">
        <f t="shared" si="24"/>
        <v>428.14992592583411</v>
      </c>
      <c r="D249" s="37">
        <v>0.65521223691342723</v>
      </c>
      <c r="E249" s="37">
        <f t="shared" si="31"/>
        <v>1.6516988380588682</v>
      </c>
      <c r="F249" s="240">
        <f t="shared" si="28"/>
        <v>5.9568617434293314</v>
      </c>
      <c r="G249" s="241">
        <f t="shared" si="25"/>
        <v>1.9068700681387132</v>
      </c>
    </row>
    <row r="250" spans="1:7" ht="18" customHeight="1">
      <c r="A250" s="237">
        <f>2014</f>
        <v>2014</v>
      </c>
      <c r="B250" s="238" t="s">
        <v>58</v>
      </c>
      <c r="C250" s="239">
        <f t="shared" si="24"/>
        <v>431.78008229780465</v>
      </c>
      <c r="D250" s="37">
        <v>0.84787037253846176</v>
      </c>
      <c r="E250" s="37">
        <f t="shared" si="31"/>
        <v>2.5135734756887906</v>
      </c>
      <c r="F250" s="240">
        <f t="shared" si="28"/>
        <v>6.0913806412067117</v>
      </c>
      <c r="G250" s="241">
        <f t="shared" si="25"/>
        <v>1.8908382111537048</v>
      </c>
    </row>
    <row r="251" spans="1:7" ht="18" customHeight="1">
      <c r="A251" s="237">
        <f>2014</f>
        <v>2014</v>
      </c>
      <c r="B251" s="238" t="s">
        <v>59</v>
      </c>
      <c r="C251" s="239">
        <f t="shared" si="24"/>
        <v>435.12251293689599</v>
      </c>
      <c r="D251" s="37">
        <v>0.77410486868776385</v>
      </c>
      <c r="E251" s="37">
        <f t="shared" si="31"/>
        <v>3.3071360390299009</v>
      </c>
      <c r="F251" s="240">
        <f t="shared" si="28"/>
        <v>6.3595694230087041</v>
      </c>
      <c r="G251" s="241">
        <f t="shared" si="25"/>
        <v>1.8763135764068894</v>
      </c>
    </row>
    <row r="252" spans="1:7" ht="18" customHeight="1">
      <c r="A252" s="237">
        <f>2014</f>
        <v>2014</v>
      </c>
      <c r="B252" s="238" t="s">
        <v>60</v>
      </c>
      <c r="C252" s="239">
        <f t="shared" si="24"/>
        <v>437.40025811146575</v>
      </c>
      <c r="D252" s="37">
        <v>0.52347215022177096</v>
      </c>
      <c r="E252" s="37">
        <f t="shared" si="31"/>
        <v>3.8479201253859507</v>
      </c>
      <c r="F252" s="240">
        <f t="shared" si="28"/>
        <v>6.5752912161422872</v>
      </c>
      <c r="G252" s="241">
        <f t="shared" si="25"/>
        <v>1.8665427449650127</v>
      </c>
    </row>
    <row r="253" spans="1:7" ht="18" customHeight="1">
      <c r="A253" s="237">
        <f>2014</f>
        <v>2014</v>
      </c>
      <c r="B253" s="238" t="s">
        <v>61</v>
      </c>
      <c r="C253" s="239">
        <f t="shared" si="24"/>
        <v>438.86595505038338</v>
      </c>
      <c r="D253" s="37">
        <v>0.33509283813548674</v>
      </c>
      <c r="E253" s="37">
        <f t="shared" si="31"/>
        <v>4.1959070682787702</v>
      </c>
      <c r="F253" s="240">
        <f t="shared" si="28"/>
        <v>6.5594592767609372</v>
      </c>
      <c r="G253" s="241">
        <f t="shared" si="25"/>
        <v>1.8603089827964707</v>
      </c>
    </row>
    <row r="254" spans="1:7" ht="18" customHeight="1">
      <c r="A254" s="237">
        <f>2014</f>
        <v>2014</v>
      </c>
      <c r="B254" s="238" t="s">
        <v>62</v>
      </c>
      <c r="C254" s="239">
        <f t="shared" si="24"/>
        <v>439.31809548776494</v>
      </c>
      <c r="D254" s="37">
        <v>0.10302472364931425</v>
      </c>
      <c r="E254" s="37">
        <f t="shared" si="31"/>
        <v>4.3032546135897576</v>
      </c>
      <c r="F254" s="240">
        <f t="shared" si="28"/>
        <v>6.8508883754412775</v>
      </c>
      <c r="G254" s="241">
        <f t="shared" si="25"/>
        <v>1.8583943771251232</v>
      </c>
    </row>
    <row r="255" spans="1:7" ht="18" customHeight="1">
      <c r="A255" s="237">
        <f>2014</f>
        <v>2014</v>
      </c>
      <c r="B255" s="238" t="s">
        <v>63</v>
      </c>
      <c r="C255" s="239">
        <f t="shared" si="24"/>
        <v>439.83941040447985</v>
      </c>
      <c r="D255" s="37">
        <v>0.11866456721663088</v>
      </c>
      <c r="E255" s="37">
        <f t="shared" si="31"/>
        <v>4.4270256192698199</v>
      </c>
      <c r="F255" s="240">
        <f t="shared" si="28"/>
        <v>6.7641542112765629</v>
      </c>
      <c r="G255" s="241">
        <f t="shared" si="25"/>
        <v>1.8561917352357948</v>
      </c>
    </row>
    <row r="256" spans="1:7" ht="18" customHeight="1">
      <c r="A256" s="237">
        <f>2014</f>
        <v>2014</v>
      </c>
      <c r="B256" s="238" t="s">
        <v>64</v>
      </c>
      <c r="C256" s="239">
        <f t="shared" si="24"/>
        <v>441.9838192638129</v>
      </c>
      <c r="D256" s="37">
        <v>0.48754359173068806</v>
      </c>
      <c r="E256" s="37">
        <f t="shared" si="31"/>
        <v>4.9361528907115426</v>
      </c>
      <c r="F256" s="240">
        <f t="shared" si="28"/>
        <v>6.9637846494507549</v>
      </c>
      <c r="G256" s="241">
        <f t="shared" si="25"/>
        <v>1.8471858987590422</v>
      </c>
    </row>
    <row r="257" spans="1:7" ht="18" customHeight="1">
      <c r="A257" s="237">
        <f>2014</f>
        <v>2014</v>
      </c>
      <c r="B257" s="238" t="s">
        <v>65</v>
      </c>
      <c r="C257" s="239">
        <f t="shared" ref="C257:C320" si="32">+C256*(1+D257/100)</f>
        <v>443.87960100902035</v>
      </c>
      <c r="D257" s="37">
        <v>0.42892559921428042</v>
      </c>
      <c r="E257" s="37">
        <f t="shared" si="31"/>
        <v>5.3862509132904357</v>
      </c>
      <c r="F257" s="240">
        <f t="shared" si="28"/>
        <v>6.8349872736953587</v>
      </c>
      <c r="G257" s="241">
        <f t="shared" si="25"/>
        <v>1.8392966844340055</v>
      </c>
    </row>
    <row r="258" spans="1:7" ht="18" customHeight="1">
      <c r="A258" s="237">
        <f>2014</f>
        <v>2014</v>
      </c>
      <c r="B258" s="238" t="s">
        <v>66</v>
      </c>
      <c r="C258" s="239">
        <f t="shared" si="32"/>
        <v>446.77791144021802</v>
      </c>
      <c r="D258" s="37">
        <v>0.65294967928448688</v>
      </c>
      <c r="E258" s="37">
        <f t="shared" si="31"/>
        <v>6.0743701006387152</v>
      </c>
      <c r="F258" s="240">
        <f t="shared" si="28"/>
        <v>6.8062832543331009</v>
      </c>
      <c r="G258" s="241">
        <f t="shared" si="25"/>
        <v>1.8273649111075712</v>
      </c>
    </row>
    <row r="259" spans="1:7" ht="18" customHeight="1">
      <c r="A259" s="237">
        <f>2014</f>
        <v>2014</v>
      </c>
      <c r="B259" s="238" t="s">
        <v>55</v>
      </c>
      <c r="C259" s="239">
        <f t="shared" si="32"/>
        <v>450.13939012434315</v>
      </c>
      <c r="D259" s="37">
        <v>0.75238246969040468</v>
      </c>
      <c r="E259" s="37">
        <f t="shared" si="31"/>
        <v>6.8724550661104278</v>
      </c>
      <c r="F259" s="240">
        <f t="shared" si="28"/>
        <v>6.8724550661104278</v>
      </c>
      <c r="G259" s="241">
        <f t="shared" si="25"/>
        <v>1.8137188087411253</v>
      </c>
    </row>
    <row r="260" spans="1:7" ht="18" customHeight="1">
      <c r="A260" s="237">
        <f>2015</f>
        <v>2015</v>
      </c>
      <c r="B260" s="238" t="s">
        <v>56</v>
      </c>
      <c r="C260" s="239">
        <f t="shared" si="32"/>
        <v>457.92803548580099</v>
      </c>
      <c r="D260" s="37">
        <v>1.7302741178252257</v>
      </c>
      <c r="E260" s="37">
        <f t="shared" ref="E260:E271" si="33">100*(C260/C$259-1)</f>
        <v>1.7302741178252257</v>
      </c>
      <c r="F260" s="240">
        <f t="shared" si="28"/>
        <v>7.655848594121939</v>
      </c>
      <c r="G260" s="241">
        <f t="shared" si="25"/>
        <v>1.7828702659745657</v>
      </c>
    </row>
    <row r="261" spans="1:7" ht="18" customHeight="1">
      <c r="A261" s="237">
        <f>2015</f>
        <v>2015</v>
      </c>
      <c r="B261" s="238" t="s">
        <v>57</v>
      </c>
      <c r="C261" s="239">
        <f t="shared" si="32"/>
        <v>462.35921227787765</v>
      </c>
      <c r="D261" s="37">
        <v>0.96765789571624516</v>
      </c>
      <c r="E261" s="37">
        <f t="shared" si="33"/>
        <v>2.7146751476601505</v>
      </c>
      <c r="F261" s="240">
        <f t="shared" si="28"/>
        <v>7.9900250544407303</v>
      </c>
      <c r="G261" s="241">
        <f t="shared" si="25"/>
        <v>1.7657835222997753</v>
      </c>
    </row>
    <row r="262" spans="1:7" ht="18" customHeight="1">
      <c r="A262" s="237">
        <f>2015</f>
        <v>2015</v>
      </c>
      <c r="B262" s="238" t="s">
        <v>58</v>
      </c>
      <c r="C262" s="239">
        <f t="shared" si="32"/>
        <v>468.87464620812796</v>
      </c>
      <c r="D262" s="37">
        <v>1.4091714314831401</v>
      </c>
      <c r="E262" s="37">
        <f t="shared" si="33"/>
        <v>4.162101005781671</v>
      </c>
      <c r="F262" s="240">
        <f t="shared" si="28"/>
        <v>8.5910780582830739</v>
      </c>
      <c r="G262" s="241">
        <f t="shared" si="25"/>
        <v>1.7412463758199848</v>
      </c>
    </row>
    <row r="263" spans="1:7" ht="18" customHeight="1">
      <c r="A263" s="237">
        <f>2015</f>
        <v>2015</v>
      </c>
      <c r="B263" s="238" t="s">
        <v>59</v>
      </c>
      <c r="C263" s="239">
        <f t="shared" si="32"/>
        <v>471.71280491816623</v>
      </c>
      <c r="D263" s="37">
        <v>0.60531289823218004</v>
      </c>
      <c r="E263" s="37">
        <f t="shared" si="33"/>
        <v>4.792607638239299</v>
      </c>
      <c r="F263" s="240">
        <f t="shared" si="28"/>
        <v>8.4091930188353139</v>
      </c>
      <c r="G263" s="241">
        <f t="shared" ref="G263:G326" si="34">+$C$396/C263</f>
        <v>1.7307698029639365</v>
      </c>
    </row>
    <row r="264" spans="1:7" ht="18" customHeight="1">
      <c r="A264" s="237">
        <f>2015</f>
        <v>2015</v>
      </c>
      <c r="B264" s="238" t="s">
        <v>60</v>
      </c>
      <c r="C264" s="239">
        <f t="shared" si="32"/>
        <v>475.12741762264881</v>
      </c>
      <c r="D264" s="37">
        <v>0.72387534722000402</v>
      </c>
      <c r="E264" s="37">
        <f t="shared" si="33"/>
        <v>5.5511754906415023</v>
      </c>
      <c r="F264" s="240">
        <f t="shared" si="28"/>
        <v>8.6253171578076113</v>
      </c>
      <c r="G264" s="241">
        <f t="shared" si="34"/>
        <v>1.7183312268293358</v>
      </c>
    </row>
    <row r="265" spans="1:7" ht="18" customHeight="1">
      <c r="A265" s="237">
        <f>2015</f>
        <v>2015</v>
      </c>
      <c r="B265" s="238" t="s">
        <v>61</v>
      </c>
      <c r="C265" s="239">
        <f t="shared" si="32"/>
        <v>479.0332693832666</v>
      </c>
      <c r="D265" s="37">
        <v>0.82206406444846891</v>
      </c>
      <c r="E265" s="37">
        <f t="shared" si="33"/>
        <v>6.4188737739530044</v>
      </c>
      <c r="F265" s="240">
        <f t="shared" si="28"/>
        <v>9.1525245626017835</v>
      </c>
      <c r="G265" s="241">
        <f t="shared" si="34"/>
        <v>1.7043206194736573</v>
      </c>
    </row>
    <row r="266" spans="1:7" ht="18" customHeight="1">
      <c r="A266" s="237">
        <f>2015</f>
        <v>2015</v>
      </c>
      <c r="B266" s="238" t="s">
        <v>62</v>
      </c>
      <c r="C266" s="239">
        <f t="shared" si="32"/>
        <v>481.55061891378796</v>
      </c>
      <c r="D266" s="37">
        <v>0.52550619996860615</v>
      </c>
      <c r="E266" s="37">
        <f t="shared" si="33"/>
        <v>6.9781115535718863</v>
      </c>
      <c r="F266" s="240">
        <f t="shared" si="28"/>
        <v>9.6131991510919335</v>
      </c>
      <c r="G266" s="241">
        <f t="shared" si="34"/>
        <v>1.695411128876454</v>
      </c>
    </row>
    <row r="267" spans="1:7" ht="18" customHeight="1">
      <c r="A267" s="237">
        <f>2015</f>
        <v>2015</v>
      </c>
      <c r="B267" s="238" t="s">
        <v>63</v>
      </c>
      <c r="C267" s="239">
        <f t="shared" si="32"/>
        <v>482.61831196436748</v>
      </c>
      <c r="D267" s="37">
        <v>0.22171979614269421</v>
      </c>
      <c r="E267" s="37">
        <f t="shared" si="33"/>
        <v>7.2153032044257603</v>
      </c>
      <c r="F267" s="240">
        <f t="shared" si="28"/>
        <v>9.7260273972602498</v>
      </c>
      <c r="G267" s="241">
        <f t="shared" si="34"/>
        <v>1.6916603829240082</v>
      </c>
    </row>
    <row r="268" spans="1:7" ht="18" customHeight="1">
      <c r="A268" s="237">
        <f>2015</f>
        <v>2015</v>
      </c>
      <c r="B268" s="238" t="s">
        <v>64</v>
      </c>
      <c r="C268" s="239">
        <f t="shared" si="32"/>
        <v>484.63740473795173</v>
      </c>
      <c r="D268" s="37">
        <v>0.41836223854956334</v>
      </c>
      <c r="E268" s="37">
        <f t="shared" si="33"/>
        <v>7.6638515469795054</v>
      </c>
      <c r="F268" s="240">
        <f t="shared" si="28"/>
        <v>9.6504857451986439</v>
      </c>
      <c r="G268" s="241">
        <f t="shared" si="34"/>
        <v>1.6846125999400112</v>
      </c>
    </row>
    <row r="269" spans="1:7" ht="18" customHeight="1">
      <c r="A269" s="237">
        <f>2015</f>
        <v>2015</v>
      </c>
      <c r="B269" s="238" t="s">
        <v>65</v>
      </c>
      <c r="C269" s="239">
        <f t="shared" si="32"/>
        <v>488.31768754422177</v>
      </c>
      <c r="D269" s="37">
        <v>0.75938893083582482</v>
      </c>
      <c r="E269" s="37">
        <f t="shared" si="33"/>
        <v>8.4814389181387959</v>
      </c>
      <c r="F269" s="240">
        <f t="shared" si="28"/>
        <v>10.011292799710869</v>
      </c>
      <c r="G269" s="241">
        <f t="shared" si="34"/>
        <v>1.6719162529820206</v>
      </c>
    </row>
    <row r="270" spans="1:7" ht="18" customHeight="1">
      <c r="A270" s="237">
        <f>2015</f>
        <v>2015</v>
      </c>
      <c r="B270" s="238" t="s">
        <v>66</v>
      </c>
      <c r="C270" s="239">
        <f t="shared" si="32"/>
        <v>493.20902500316788</v>
      </c>
      <c r="D270" s="37">
        <v>1.0016711627925945</v>
      </c>
      <c r="E270" s="37">
        <f t="shared" si="33"/>
        <v>9.5680662087642467</v>
      </c>
      <c r="F270" s="240">
        <f t="shared" si="28"/>
        <v>10.392437131297761</v>
      </c>
      <c r="G270" s="241">
        <f t="shared" si="34"/>
        <v>1.6553352372628145</v>
      </c>
    </row>
    <row r="271" spans="1:7" ht="18" customHeight="1">
      <c r="A271" s="237">
        <f>2015</f>
        <v>2015</v>
      </c>
      <c r="B271" s="238" t="s">
        <v>55</v>
      </c>
      <c r="C271" s="239">
        <f t="shared" si="32"/>
        <v>497.55699191430745</v>
      </c>
      <c r="D271" s="37">
        <v>0.88156677812447626</v>
      </c>
      <c r="E271" s="37">
        <f t="shared" si="33"/>
        <v>10.533981879894139</v>
      </c>
      <c r="F271" s="240">
        <f t="shared" si="28"/>
        <v>10.533981879894139</v>
      </c>
      <c r="G271" s="241">
        <f t="shared" si="34"/>
        <v>1.6408698735850358</v>
      </c>
    </row>
    <row r="272" spans="1:7" ht="18" customHeight="1">
      <c r="A272" s="237">
        <f>2016</f>
        <v>2016</v>
      </c>
      <c r="B272" s="238" t="s">
        <v>56</v>
      </c>
      <c r="C272" s="239">
        <f t="shared" si="32"/>
        <v>506.41934549846081</v>
      </c>
      <c r="D272" s="37">
        <v>1.7811735596471534</v>
      </c>
      <c r="E272" s="37">
        <f t="shared" ref="E272:E283" si="35">100*(C272/C$271-1)</f>
        <v>1.7811735596471534</v>
      </c>
      <c r="F272" s="240">
        <f t="shared" si="28"/>
        <v>10.589286144321131</v>
      </c>
      <c r="G272" s="241">
        <f t="shared" si="34"/>
        <v>1.6121546020722894</v>
      </c>
    </row>
    <row r="273" spans="1:7" ht="18" customHeight="1">
      <c r="A273" s="237">
        <f>2016</f>
        <v>2016</v>
      </c>
      <c r="B273" s="238" t="s">
        <v>57</v>
      </c>
      <c r="C273" s="239">
        <f t="shared" si="32"/>
        <v>510.28509611163895</v>
      </c>
      <c r="D273" s="37">
        <v>0.76334971156624132</v>
      </c>
      <c r="E273" s="37">
        <f t="shared" si="35"/>
        <v>2.5581198544434525</v>
      </c>
      <c r="F273" s="240">
        <f t="shared" si="28"/>
        <v>10.365508583174465</v>
      </c>
      <c r="G273" s="241">
        <f t="shared" si="34"/>
        <v>1.5999414536009975</v>
      </c>
    </row>
    <row r="274" spans="1:7" ht="18" customHeight="1">
      <c r="A274" s="237">
        <f>2016</f>
        <v>2016</v>
      </c>
      <c r="B274" s="238" t="s">
        <v>58</v>
      </c>
      <c r="C274" s="239">
        <f t="shared" si="32"/>
        <v>512.82049115850816</v>
      </c>
      <c r="D274" s="37">
        <v>0.496858533825284</v>
      </c>
      <c r="E274" s="37">
        <f t="shared" si="35"/>
        <v>3.0676886250710078</v>
      </c>
      <c r="F274" s="240">
        <f t="shared" si="28"/>
        <v>9.3726212977771404</v>
      </c>
      <c r="G274" s="241">
        <f t="shared" si="34"/>
        <v>1.5920313101752215</v>
      </c>
    </row>
    <row r="275" spans="1:7" ht="18" customHeight="1">
      <c r="A275" s="237">
        <f>2016</f>
        <v>2016</v>
      </c>
      <c r="B275" s="238" t="s">
        <v>59</v>
      </c>
      <c r="C275" s="239">
        <f t="shared" si="32"/>
        <v>515.31678758662383</v>
      </c>
      <c r="D275" s="37">
        <v>0.4867778240444931</v>
      </c>
      <c r="E275" s="37">
        <f t="shared" si="35"/>
        <v>3.5693992770530869</v>
      </c>
      <c r="F275" s="240">
        <f t="shared" si="28"/>
        <v>9.2437564157331167</v>
      </c>
      <c r="G275" s="241">
        <f t="shared" si="34"/>
        <v>1.5843191956686264</v>
      </c>
    </row>
    <row r="276" spans="1:7" ht="18" customHeight="1">
      <c r="A276" s="237">
        <f>2016</f>
        <v>2016</v>
      </c>
      <c r="B276" s="238" t="s">
        <v>60</v>
      </c>
      <c r="C276" s="239">
        <f t="shared" si="32"/>
        <v>518.59204880375376</v>
      </c>
      <c r="D276" s="37">
        <v>0.63558209164287227</v>
      </c>
      <c r="E276" s="37">
        <f t="shared" si="35"/>
        <v>4.2276678312801463</v>
      </c>
      <c r="F276" s="240">
        <f t="shared" si="28"/>
        <v>9.1479947418283913</v>
      </c>
      <c r="G276" s="241">
        <f t="shared" si="34"/>
        <v>1.5743131432636628</v>
      </c>
    </row>
    <row r="277" spans="1:7" ht="18" customHeight="1">
      <c r="A277" s="237">
        <f>2016</f>
        <v>2016</v>
      </c>
      <c r="B277" s="238" t="s">
        <v>61</v>
      </c>
      <c r="C277" s="239">
        <f t="shared" si="32"/>
        <v>519.94947264458449</v>
      </c>
      <c r="D277" s="37">
        <v>0.26175176498790531</v>
      </c>
      <c r="E277" s="37">
        <f t="shared" si="35"/>
        <v>4.5004855914342334</v>
      </c>
      <c r="F277" s="240">
        <f t="shared" si="28"/>
        <v>8.5414116046669708</v>
      </c>
      <c r="G277" s="241">
        <f t="shared" si="34"/>
        <v>1.5702031089121902</v>
      </c>
    </row>
    <row r="278" spans="1:7" ht="18" customHeight="1">
      <c r="A278" s="237">
        <f>2016</f>
        <v>2016</v>
      </c>
      <c r="B278" s="238" t="s">
        <v>62</v>
      </c>
      <c r="C278" s="239">
        <f t="shared" si="32"/>
        <v>521.86931507825568</v>
      </c>
      <c r="D278" s="37">
        <v>0.36923634596770505</v>
      </c>
      <c r="E278" s="37">
        <f t="shared" si="35"/>
        <v>4.8863393659505538</v>
      </c>
      <c r="F278" s="240">
        <f t="shared" si="28"/>
        <v>8.3726807901135736</v>
      </c>
      <c r="G278" s="241">
        <f t="shared" si="34"/>
        <v>1.5644266770146373</v>
      </c>
    </row>
    <row r="279" spans="1:7" ht="18" customHeight="1">
      <c r="A279" s="237">
        <f>2016</f>
        <v>2016</v>
      </c>
      <c r="B279" s="238" t="s">
        <v>63</v>
      </c>
      <c r="C279" s="239">
        <f t="shared" si="32"/>
        <v>523.53251016831337</v>
      </c>
      <c r="D279" s="37">
        <v>0.31869953683869578</v>
      </c>
      <c r="E279" s="37">
        <f t="shared" si="35"/>
        <v>5.2206116437168992</v>
      </c>
      <c r="F279" s="240">
        <f t="shared" ref="F279:F342" si="36">+((C279/C267)-1)*100</f>
        <v>8.4775478239554669</v>
      </c>
      <c r="G279" s="241">
        <f t="shared" si="34"/>
        <v>1.5594566957480882</v>
      </c>
    </row>
    <row r="280" spans="1:7" ht="18" customHeight="1">
      <c r="A280" s="237">
        <f>2016</f>
        <v>2016</v>
      </c>
      <c r="B280" s="238" t="s">
        <v>64</v>
      </c>
      <c r="C280" s="239">
        <f t="shared" si="32"/>
        <v>523.88640279446793</v>
      </c>
      <c r="D280" s="37">
        <v>6.7597067857505522E-2</v>
      </c>
      <c r="E280" s="37">
        <f t="shared" si="35"/>
        <v>5.2917376919697778</v>
      </c>
      <c r="F280" s="240">
        <f t="shared" si="36"/>
        <v>8.0986316105209575</v>
      </c>
      <c r="G280" s="241">
        <f t="shared" si="34"/>
        <v>1.5584032608383658</v>
      </c>
    </row>
    <row r="281" spans="1:7" ht="18" customHeight="1">
      <c r="A281" s="237">
        <f>2016</f>
        <v>2016</v>
      </c>
      <c r="B281" s="238" t="s">
        <v>65</v>
      </c>
      <c r="C281" s="239">
        <f t="shared" si="32"/>
        <v>525.66689374078646</v>
      </c>
      <c r="D281" s="37">
        <v>0.33986202673350618</v>
      </c>
      <c r="E281" s="37">
        <f t="shared" si="35"/>
        <v>5.6495843256726408</v>
      </c>
      <c r="F281" s="240">
        <f t="shared" si="36"/>
        <v>7.6485466632175481</v>
      </c>
      <c r="G281" s="241">
        <f t="shared" si="34"/>
        <v>1.5531247794851073</v>
      </c>
    </row>
    <row r="282" spans="1:7" ht="18" customHeight="1">
      <c r="A282" s="237">
        <f>2016</f>
        <v>2016</v>
      </c>
      <c r="B282" s="238" t="s">
        <v>66</v>
      </c>
      <c r="C282" s="239">
        <f t="shared" si="32"/>
        <v>526.55012151314372</v>
      </c>
      <c r="D282" s="37">
        <v>0.16802042945334161</v>
      </c>
      <c r="E282" s="37">
        <f t="shared" si="35"/>
        <v>5.8270972109722985</v>
      </c>
      <c r="F282" s="240">
        <f t="shared" si="36"/>
        <v>6.7600337422377255</v>
      </c>
      <c r="G282" s="241">
        <f t="shared" si="34"/>
        <v>1.550519589811548</v>
      </c>
    </row>
    <row r="283" spans="1:7" ht="18" customHeight="1">
      <c r="A283" s="237">
        <f>2016</f>
        <v>2016</v>
      </c>
      <c r="B283" s="238" t="s">
        <v>55</v>
      </c>
      <c r="C283" s="239">
        <f t="shared" si="32"/>
        <v>528.29452142676666</v>
      </c>
      <c r="D283" s="37">
        <v>0.33128848372687703</v>
      </c>
      <c r="E283" s="37">
        <f t="shared" si="35"/>
        <v>6.1776901966946962</v>
      </c>
      <c r="F283" s="240">
        <f t="shared" si="36"/>
        <v>6.1776901966946962</v>
      </c>
      <c r="G283" s="241">
        <f t="shared" si="34"/>
        <v>1.5453998580542825</v>
      </c>
    </row>
    <row r="284" spans="1:7" ht="18" customHeight="1">
      <c r="A284" s="237">
        <f>2017</f>
        <v>2017</v>
      </c>
      <c r="B284" s="238" t="s">
        <v>56</v>
      </c>
      <c r="C284" s="239">
        <f t="shared" si="32"/>
        <v>531.9627738888048</v>
      </c>
      <c r="D284" s="37">
        <v>0.69435746790091901</v>
      </c>
      <c r="E284" s="37">
        <f t="shared" ref="E284:E295" si="37">100*(C284/C$283-1)</f>
        <v>0.69435746790091901</v>
      </c>
      <c r="F284" s="240">
        <f t="shared" si="36"/>
        <v>5.0439282419596276</v>
      </c>
      <c r="G284" s="241">
        <f t="shared" si="34"/>
        <v>1.534743253659393</v>
      </c>
    </row>
    <row r="285" spans="1:7" ht="18" customHeight="1">
      <c r="A285" s="237">
        <f>2017</f>
        <v>2017</v>
      </c>
      <c r="B285" s="238" t="s">
        <v>57</v>
      </c>
      <c r="C285" s="239">
        <f t="shared" si="32"/>
        <v>533.60692093382875</v>
      </c>
      <c r="D285" s="37">
        <v>0.3090718233918377</v>
      </c>
      <c r="E285" s="37">
        <f t="shared" si="37"/>
        <v>1.0055753545796575</v>
      </c>
      <c r="F285" s="240">
        <f t="shared" si="36"/>
        <v>4.5703519463730302</v>
      </c>
      <c r="G285" s="241">
        <f t="shared" si="34"/>
        <v>1.5300144102235573</v>
      </c>
    </row>
    <row r="286" spans="1:7" ht="18" customHeight="1">
      <c r="A286" s="237">
        <f>2017</f>
        <v>2017</v>
      </c>
      <c r="B286" s="238" t="s">
        <v>58</v>
      </c>
      <c r="C286" s="239">
        <f t="shared" si="32"/>
        <v>536.13730333726801</v>
      </c>
      <c r="D286" s="37">
        <v>0.47420344530220149</v>
      </c>
      <c r="E286" s="37">
        <f t="shared" si="37"/>
        <v>1.4845472728583831</v>
      </c>
      <c r="F286" s="240">
        <f t="shared" si="36"/>
        <v>4.5467785669182303</v>
      </c>
      <c r="G286" s="241">
        <f t="shared" si="34"/>
        <v>1.5227932720626061</v>
      </c>
    </row>
    <row r="287" spans="1:7" ht="18" customHeight="1">
      <c r="A287" s="237">
        <f>2017</f>
        <v>2017</v>
      </c>
      <c r="B287" s="238" t="s">
        <v>59</v>
      </c>
      <c r="C287" s="239">
        <f t="shared" si="32"/>
        <v>536.80598997082348</v>
      </c>
      <c r="D287" s="37">
        <v>0.12472301953121434</v>
      </c>
      <c r="E287" s="37">
        <f t="shared" si="37"/>
        <v>1.6111218645746828</v>
      </c>
      <c r="F287" s="240">
        <f t="shared" si="36"/>
        <v>4.1700955415870933</v>
      </c>
      <c r="G287" s="241">
        <f t="shared" si="34"/>
        <v>1.5208963641932438</v>
      </c>
    </row>
    <row r="288" spans="1:7" ht="18" customHeight="1">
      <c r="A288" s="237">
        <f>2017</f>
        <v>2017</v>
      </c>
      <c r="B288" s="238" t="s">
        <v>60</v>
      </c>
      <c r="C288" s="239">
        <f t="shared" si="32"/>
        <v>539.58600201707429</v>
      </c>
      <c r="D288" s="37">
        <v>0.51788022082277507</v>
      </c>
      <c r="E288" s="37">
        <f t="shared" si="37"/>
        <v>2.1373457668674378</v>
      </c>
      <c r="F288" s="240">
        <f t="shared" si="36"/>
        <v>4.0482597567293332</v>
      </c>
      <c r="G288" s="241">
        <f t="shared" si="34"/>
        <v>1.513060523015469</v>
      </c>
    </row>
    <row r="289" spans="1:7" ht="18" customHeight="1">
      <c r="A289" s="237">
        <f>2017</f>
        <v>2017</v>
      </c>
      <c r="B289" s="238" t="s">
        <v>61</v>
      </c>
      <c r="C289" s="239">
        <f t="shared" si="32"/>
        <v>537.8466147468813</v>
      </c>
      <c r="D289" s="37">
        <v>-0.32235589205258375</v>
      </c>
      <c r="E289" s="37">
        <f t="shared" si="37"/>
        <v>1.8081000148018278</v>
      </c>
      <c r="F289" s="240">
        <f t="shared" si="36"/>
        <v>3.4420925578148465</v>
      </c>
      <c r="G289" s="241">
        <f t="shared" si="34"/>
        <v>1.517953736323139</v>
      </c>
    </row>
    <row r="290" spans="1:7" ht="18" customHeight="1">
      <c r="A290" s="237">
        <f>2017</f>
        <v>2017</v>
      </c>
      <c r="B290" s="238" t="s">
        <v>62</v>
      </c>
      <c r="C290" s="239">
        <f t="shared" si="32"/>
        <v>539.87874039338351</v>
      </c>
      <c r="D290" s="37">
        <v>0.3778262409364741</v>
      </c>
      <c r="E290" s="37">
        <f t="shared" si="37"/>
        <v>2.192757732056605</v>
      </c>
      <c r="F290" s="240">
        <f t="shared" si="36"/>
        <v>3.4509454368719217</v>
      </c>
      <c r="G290" s="241">
        <f t="shared" si="34"/>
        <v>1.5122400964129279</v>
      </c>
    </row>
    <row r="291" spans="1:7" ht="18" customHeight="1">
      <c r="A291" s="237">
        <f>2017</f>
        <v>2017</v>
      </c>
      <c r="B291" s="238" t="s">
        <v>63</v>
      </c>
      <c r="C291" s="239">
        <f t="shared" si="32"/>
        <v>540.60457116204032</v>
      </c>
      <c r="D291" s="37">
        <v>0.13444329519771703</v>
      </c>
      <c r="E291" s="37">
        <f t="shared" si="37"/>
        <v>2.330149043004992</v>
      </c>
      <c r="F291" s="240">
        <f t="shared" si="36"/>
        <v>3.2609361715165264</v>
      </c>
      <c r="G291" s="241">
        <f t="shared" si="34"/>
        <v>1.5102097207000225</v>
      </c>
    </row>
    <row r="292" spans="1:7" ht="18" customHeight="1">
      <c r="A292" s="237">
        <f>2017</f>
        <v>2017</v>
      </c>
      <c r="B292" s="238" t="s">
        <v>64</v>
      </c>
      <c r="C292" s="239">
        <f t="shared" si="32"/>
        <v>540.48727530577958</v>
      </c>
      <c r="D292" s="37">
        <v>-2.1697163234979389E-2</v>
      </c>
      <c r="E292" s="37">
        <f t="shared" si="37"/>
        <v>2.3079463035285519</v>
      </c>
      <c r="F292" s="240">
        <f t="shared" si="36"/>
        <v>3.1687923990316946</v>
      </c>
      <c r="G292" s="241">
        <f t="shared" si="34"/>
        <v>1.5105374644794161</v>
      </c>
    </row>
    <row r="293" spans="1:7" ht="18" customHeight="1">
      <c r="A293" s="237">
        <f>2017</f>
        <v>2017</v>
      </c>
      <c r="B293" s="238" t="s">
        <v>65</v>
      </c>
      <c r="C293" s="239">
        <f t="shared" si="32"/>
        <v>542.25172579312232</v>
      </c>
      <c r="D293" s="37">
        <v>0.32645550930769929</v>
      </c>
      <c r="E293" s="37">
        <f t="shared" si="37"/>
        <v>2.6419362306959737</v>
      </c>
      <c r="F293" s="240">
        <f t="shared" si="36"/>
        <v>3.155007905160967</v>
      </c>
      <c r="G293" s="241">
        <f t="shared" si="34"/>
        <v>1.5056222776048112</v>
      </c>
    </row>
    <row r="294" spans="1:7" ht="18" customHeight="1">
      <c r="A294" s="237">
        <f>2017</f>
        <v>2017</v>
      </c>
      <c r="B294" s="238" t="s">
        <v>66</v>
      </c>
      <c r="C294" s="239">
        <f t="shared" si="32"/>
        <v>544.19663144394326</v>
      </c>
      <c r="D294" s="37">
        <v>0.35867209974780323</v>
      </c>
      <c r="E294" s="37">
        <f t="shared" si="37"/>
        <v>3.0100842185964316</v>
      </c>
      <c r="F294" s="240">
        <f t="shared" si="36"/>
        <v>3.3513447646899897</v>
      </c>
      <c r="G294" s="241">
        <f t="shared" si="34"/>
        <v>1.5002413305233386</v>
      </c>
    </row>
    <row r="295" spans="1:7" ht="18" customHeight="1">
      <c r="A295" s="237">
        <f>2017</f>
        <v>2017</v>
      </c>
      <c r="B295" s="238" t="s">
        <v>55</v>
      </c>
      <c r="C295" s="239">
        <f t="shared" si="32"/>
        <v>545.35054196151805</v>
      </c>
      <c r="D295" s="37">
        <v>0.21203926134438777</v>
      </c>
      <c r="E295" s="37">
        <f t="shared" si="37"/>
        <v>3.228506040283774</v>
      </c>
      <c r="F295" s="240">
        <f t="shared" si="36"/>
        <v>3.228506040283774</v>
      </c>
      <c r="G295" s="241">
        <f t="shared" si="34"/>
        <v>1.497066960797832</v>
      </c>
    </row>
    <row r="296" spans="1:7" ht="18" customHeight="1">
      <c r="A296" s="237">
        <f>2018</f>
        <v>2018</v>
      </c>
      <c r="B296" s="238" t="s">
        <v>56</v>
      </c>
      <c r="C296" s="239">
        <f t="shared" si="32"/>
        <v>549.09197901763355</v>
      </c>
      <c r="D296" s="37">
        <v>0.68606094030057019</v>
      </c>
      <c r="E296" s="37">
        <f t="shared" ref="E296:E307" si="38">100*(C296/C$295-1)</f>
        <v>0.68606094030057019</v>
      </c>
      <c r="F296" s="240">
        <f t="shared" si="36"/>
        <v>3.2200007161420796</v>
      </c>
      <c r="G296" s="241">
        <f t="shared" si="34"/>
        <v>1.4868661528883154</v>
      </c>
    </row>
    <row r="297" spans="1:7" ht="18" customHeight="1">
      <c r="A297" s="237">
        <f>2018</f>
        <v>2018</v>
      </c>
      <c r="B297" s="238" t="s">
        <v>57</v>
      </c>
      <c r="C297" s="239">
        <f t="shared" si="32"/>
        <v>550.01029529400068</v>
      </c>
      <c r="D297" s="37">
        <v>0.16724270458476909</v>
      </c>
      <c r="E297" s="37">
        <f t="shared" si="38"/>
        <v>0.85445103175700865</v>
      </c>
      <c r="F297" s="240">
        <f t="shared" si="36"/>
        <v>3.0740557733894391</v>
      </c>
      <c r="G297" s="241">
        <f t="shared" si="34"/>
        <v>1.4843836295598258</v>
      </c>
    </row>
    <row r="298" spans="1:7" ht="18" customHeight="1">
      <c r="A298" s="237">
        <f>2018</f>
        <v>2018</v>
      </c>
      <c r="B298" s="238" t="s">
        <v>58</v>
      </c>
      <c r="C298" s="239">
        <f t="shared" si="32"/>
        <v>550.95567984488935</v>
      </c>
      <c r="D298" s="37">
        <v>0.17188488269721525</v>
      </c>
      <c r="E298" s="37">
        <f t="shared" si="38"/>
        <v>1.02780458660785</v>
      </c>
      <c r="F298" s="240">
        <f t="shared" si="36"/>
        <v>2.7639144703011986</v>
      </c>
      <c r="G298" s="241">
        <f t="shared" si="34"/>
        <v>1.4818365764985471</v>
      </c>
    </row>
    <row r="299" spans="1:7" ht="18" customHeight="1">
      <c r="A299" s="237">
        <f>2018</f>
        <v>2018</v>
      </c>
      <c r="B299" s="238" t="s">
        <v>59</v>
      </c>
      <c r="C299" s="239">
        <f t="shared" si="32"/>
        <v>552.80835285659919</v>
      </c>
      <c r="D299" s="37">
        <v>0.33626534392592333</v>
      </c>
      <c r="E299" s="37">
        <f t="shared" si="38"/>
        <v>1.3675260811618184</v>
      </c>
      <c r="F299" s="240">
        <f t="shared" si="36"/>
        <v>2.9810328470152747</v>
      </c>
      <c r="G299" s="241">
        <f t="shared" si="34"/>
        <v>1.4768703732585688</v>
      </c>
    </row>
    <row r="300" spans="1:7" ht="18" customHeight="1">
      <c r="A300" s="237">
        <f>2018</f>
        <v>2018</v>
      </c>
      <c r="B300" s="238" t="s">
        <v>60</v>
      </c>
      <c r="C300" s="239">
        <f t="shared" si="32"/>
        <v>555.09211320328484</v>
      </c>
      <c r="D300" s="37">
        <v>0.41311972492537041</v>
      </c>
      <c r="E300" s="37">
        <f t="shared" si="38"/>
        <v>1.7862953260719738</v>
      </c>
      <c r="F300" s="240">
        <f t="shared" si="36"/>
        <v>2.8737052347995951</v>
      </c>
      <c r="G300" s="241">
        <f t="shared" si="34"/>
        <v>1.4707942321724001</v>
      </c>
    </row>
    <row r="301" spans="1:7" ht="18" customHeight="1">
      <c r="A301" s="237">
        <f>2018</f>
        <v>2018</v>
      </c>
      <c r="B301" s="238" t="s">
        <v>61</v>
      </c>
      <c r="C301" s="239">
        <f t="shared" si="32"/>
        <v>561.68875195710041</v>
      </c>
      <c r="D301" s="37">
        <v>1.1883863230821579</v>
      </c>
      <c r="E301" s="37">
        <f t="shared" si="38"/>
        <v>2.9959097384990363</v>
      </c>
      <c r="F301" s="240">
        <f t="shared" si="36"/>
        <v>4.4328878450670572</v>
      </c>
      <c r="G301" s="241">
        <f t="shared" si="34"/>
        <v>1.4535207899020484</v>
      </c>
    </row>
    <row r="302" spans="1:7" ht="18" customHeight="1">
      <c r="A302" s="237">
        <f>2018</f>
        <v>2018</v>
      </c>
      <c r="B302" s="238" t="s">
        <v>62</v>
      </c>
      <c r="C302" s="239">
        <f t="shared" si="32"/>
        <v>562.63714409404702</v>
      </c>
      <c r="D302" s="37">
        <v>0.16884656024214184</v>
      </c>
      <c r="E302" s="37">
        <f t="shared" si="38"/>
        <v>3.169814789282599</v>
      </c>
      <c r="F302" s="240">
        <f t="shared" si="36"/>
        <v>4.2154658070218787</v>
      </c>
      <c r="G302" s="241">
        <f t="shared" si="34"/>
        <v>1.4510707069267212</v>
      </c>
    </row>
    <row r="303" spans="1:7" ht="18" customHeight="1">
      <c r="A303" s="237">
        <f>2018</f>
        <v>2018</v>
      </c>
      <c r="B303" s="238" t="s">
        <v>63</v>
      </c>
      <c r="C303" s="239">
        <f t="shared" si="32"/>
        <v>563.05519855610498</v>
      </c>
      <c r="D303" s="37">
        <v>7.4302677390969407E-2</v>
      </c>
      <c r="E303" s="37">
        <f t="shared" si="38"/>
        <v>3.246472723930327</v>
      </c>
      <c r="F303" s="240">
        <f t="shared" si="36"/>
        <v>4.1528741323453078</v>
      </c>
      <c r="G303" s="241">
        <f t="shared" si="34"/>
        <v>1.4499933230656932</v>
      </c>
    </row>
    <row r="304" spans="1:7" ht="18" customHeight="1">
      <c r="A304" s="237">
        <f>2018</f>
        <v>2018</v>
      </c>
      <c r="B304" s="238" t="s">
        <v>64</v>
      </c>
      <c r="C304" s="239">
        <f t="shared" si="32"/>
        <v>565.5645278571385</v>
      </c>
      <c r="D304" s="37">
        <v>0.44566310860256753</v>
      </c>
      <c r="E304" s="37">
        <f t="shared" si="38"/>
        <v>3.7066041637943137</v>
      </c>
      <c r="F304" s="240">
        <f t="shared" si="36"/>
        <v>4.6397489260355806</v>
      </c>
      <c r="G304" s="241">
        <f t="shared" si="34"/>
        <v>1.4435599091002564</v>
      </c>
    </row>
    <row r="305" spans="1:7" ht="18" customHeight="1">
      <c r="A305" s="237">
        <f>2018</f>
        <v>2018</v>
      </c>
      <c r="B305" s="238" t="s">
        <v>65</v>
      </c>
      <c r="C305" s="239">
        <f t="shared" si="32"/>
        <v>568.25731990770817</v>
      </c>
      <c r="D305" s="37">
        <v>0.47612463617057177</v>
      </c>
      <c r="E305" s="37">
        <f t="shared" si="38"/>
        <v>4.2003768555540333</v>
      </c>
      <c r="F305" s="240">
        <f t="shared" si="36"/>
        <v>4.7958527151847896</v>
      </c>
      <c r="G305" s="241">
        <f t="shared" si="34"/>
        <v>1.4367193343965685</v>
      </c>
    </row>
    <row r="306" spans="1:7" ht="18" customHeight="1">
      <c r="A306" s="237">
        <f>2018</f>
        <v>2018</v>
      </c>
      <c r="B306" s="238" t="s">
        <v>66</v>
      </c>
      <c r="C306" s="239">
        <f t="shared" si="32"/>
        <v>567.28185949623969</v>
      </c>
      <c r="D306" s="37">
        <v>-0.17165822195248648</v>
      </c>
      <c r="E306" s="37">
        <f t="shared" si="38"/>
        <v>4.0215083413760011</v>
      </c>
      <c r="F306" s="240">
        <f t="shared" si="36"/>
        <v>4.2420747793023406</v>
      </c>
      <c r="G306" s="241">
        <f t="shared" si="34"/>
        <v>1.4391898220556305</v>
      </c>
    </row>
    <row r="307" spans="1:7" ht="18" customHeight="1">
      <c r="A307" s="237">
        <f>2018</f>
        <v>2018</v>
      </c>
      <c r="B307" s="238" t="s">
        <v>55</v>
      </c>
      <c r="C307" s="239">
        <f t="shared" si="32"/>
        <v>568.90294838148588</v>
      </c>
      <c r="D307" s="37">
        <v>0.28576427363387058</v>
      </c>
      <c r="E307" s="37">
        <f t="shared" si="38"/>
        <v>4.3187646491107401</v>
      </c>
      <c r="F307" s="240">
        <f t="shared" si="36"/>
        <v>4.3187646491107401</v>
      </c>
      <c r="G307" s="241">
        <f t="shared" si="34"/>
        <v>1.4350888508250694</v>
      </c>
    </row>
    <row r="308" spans="1:7" ht="18" customHeight="1">
      <c r="A308" s="237">
        <f>2019</f>
        <v>2019</v>
      </c>
      <c r="B308" s="238" t="s">
        <v>56</v>
      </c>
      <c r="C308" s="239">
        <f t="shared" si="32"/>
        <v>572.12307052088636</v>
      </c>
      <c r="D308" s="37">
        <v>0.56602310614870532</v>
      </c>
      <c r="E308" s="37">
        <f t="shared" ref="E308:E319" si="39">100*(C308/C$307-1)</f>
        <v>0.56602310614870532</v>
      </c>
      <c r="F308" s="240">
        <f t="shared" si="36"/>
        <v>4.194395908761428</v>
      </c>
      <c r="G308" s="241">
        <f t="shared" si="34"/>
        <v>1.4270116352421682</v>
      </c>
    </row>
    <row r="309" spans="1:7" ht="18" customHeight="1">
      <c r="A309" s="242">
        <f>2019</f>
        <v>2019</v>
      </c>
      <c r="B309" s="243" t="s">
        <v>57</v>
      </c>
      <c r="C309" s="244">
        <f t="shared" si="32"/>
        <v>574.1181026060068</v>
      </c>
      <c r="D309" s="245">
        <v>0.34870680591574388</v>
      </c>
      <c r="E309" s="245">
        <f t="shared" si="39"/>
        <v>0.91670367315863643</v>
      </c>
      <c r="F309" s="246">
        <f t="shared" si="36"/>
        <v>4.3831556460447008</v>
      </c>
      <c r="G309" s="241">
        <f t="shared" si="34"/>
        <v>1.4220528402046564</v>
      </c>
    </row>
    <row r="310" spans="1:7" ht="18" customHeight="1">
      <c r="A310" s="242">
        <f>2019</f>
        <v>2019</v>
      </c>
      <c r="B310" s="243" t="s">
        <v>58</v>
      </c>
      <c r="C310" s="244">
        <f t="shared" si="32"/>
        <v>577.85853713343624</v>
      </c>
      <c r="D310" s="245">
        <v>0.65150959540398734</v>
      </c>
      <c r="E310" s="245">
        <f t="shared" si="39"/>
        <v>1.5741856809546872</v>
      </c>
      <c r="F310" s="246">
        <f t="shared" si="36"/>
        <v>4.8829439958075982</v>
      </c>
      <c r="G310" s="241">
        <f t="shared" si="34"/>
        <v>1.4128479999167256</v>
      </c>
    </row>
    <row r="311" spans="1:7" ht="18" customHeight="1">
      <c r="A311" s="242">
        <f>2019</f>
        <v>2019</v>
      </c>
      <c r="B311" s="243" t="s">
        <v>59</v>
      </c>
      <c r="C311" s="244">
        <f t="shared" si="32"/>
        <v>581.49170109146473</v>
      </c>
      <c r="D311" s="245">
        <v>0.62872895779153559</v>
      </c>
      <c r="E311" s="245">
        <f t="shared" si="39"/>
        <v>2.2128119999717866</v>
      </c>
      <c r="F311" s="246">
        <f t="shared" si="36"/>
        <v>5.1886604257418201</v>
      </c>
      <c r="G311" s="241">
        <f t="shared" si="34"/>
        <v>1.4040205163570545</v>
      </c>
    </row>
    <row r="312" spans="1:7" ht="18" customHeight="1">
      <c r="A312" s="242">
        <f>2019</f>
        <v>2019</v>
      </c>
      <c r="B312" s="243" t="s">
        <v>60</v>
      </c>
      <c r="C312" s="244">
        <f t="shared" si="32"/>
        <v>582.77493780953216</v>
      </c>
      <c r="D312" s="245">
        <v>0.2206801430972849</v>
      </c>
      <c r="E312" s="245">
        <f t="shared" si="39"/>
        <v>2.4383753797570851</v>
      </c>
      <c r="F312" s="246">
        <f t="shared" si="36"/>
        <v>4.9870686229889438</v>
      </c>
      <c r="G312" s="241">
        <f t="shared" si="34"/>
        <v>1.4009289443579542</v>
      </c>
    </row>
    <row r="313" spans="1:7" ht="18" customHeight="1">
      <c r="A313" s="242">
        <f>2019</f>
        <v>2019</v>
      </c>
      <c r="B313" s="243" t="s">
        <v>61</v>
      </c>
      <c r="C313" s="244">
        <f t="shared" si="32"/>
        <v>582.63257873612167</v>
      </c>
      <c r="D313" s="245">
        <v>-2.4427796079495856E-2</v>
      </c>
      <c r="E313" s="245">
        <f t="shared" si="39"/>
        <v>2.4133519423121585</v>
      </c>
      <c r="F313" s="246">
        <f t="shared" si="36"/>
        <v>3.7287246194705581</v>
      </c>
      <c r="G313" s="241">
        <f t="shared" si="34"/>
        <v>1.4012712440399688</v>
      </c>
    </row>
    <row r="314" spans="1:7" ht="18" customHeight="1">
      <c r="A314" s="242">
        <f>2019</f>
        <v>2019</v>
      </c>
      <c r="B314" s="243" t="s">
        <v>62</v>
      </c>
      <c r="C314" s="244">
        <f t="shared" si="32"/>
        <v>584.42610255535817</v>
      </c>
      <c r="D314" s="245">
        <v>0.3078310215894664</v>
      </c>
      <c r="E314" s="245">
        <f t="shared" si="39"/>
        <v>2.7286120098402034</v>
      </c>
      <c r="F314" s="246">
        <f t="shared" si="36"/>
        <v>3.8726484182617371</v>
      </c>
      <c r="G314" s="241">
        <f t="shared" si="34"/>
        <v>1.3969709341420913</v>
      </c>
    </row>
    <row r="315" spans="1:7" ht="18" customHeight="1">
      <c r="A315" s="242">
        <f>2019</f>
        <v>2019</v>
      </c>
      <c r="B315" s="243" t="s">
        <v>63</v>
      </c>
      <c r="C315" s="244">
        <f t="shared" si="32"/>
        <v>585.40156296682653</v>
      </c>
      <c r="D315" s="245">
        <v>0.16690911087018367</v>
      </c>
      <c r="E315" s="245">
        <f t="shared" si="39"/>
        <v>2.9000754227550996</v>
      </c>
      <c r="F315" s="246">
        <f t="shared" si="36"/>
        <v>3.9687697525973231</v>
      </c>
      <c r="G315" s="241">
        <f t="shared" si="34"/>
        <v>1.3946431476645127</v>
      </c>
    </row>
    <row r="316" spans="1:7" ht="18" customHeight="1">
      <c r="A316" s="242">
        <f>2019</f>
        <v>2019</v>
      </c>
      <c r="B316" s="243" t="s">
        <v>64</v>
      </c>
      <c r="C316" s="244">
        <f t="shared" si="32"/>
        <v>585.42061101186039</v>
      </c>
      <c r="D316" s="245">
        <v>3.2538425311479102E-3</v>
      </c>
      <c r="E316" s="245">
        <f t="shared" si="39"/>
        <v>2.9034236291737958</v>
      </c>
      <c r="F316" s="246">
        <f t="shared" si="36"/>
        <v>3.5108430915839817</v>
      </c>
      <c r="G316" s="241">
        <f t="shared" si="34"/>
        <v>1.3945977696491452</v>
      </c>
    </row>
    <row r="317" spans="1:7" ht="18" customHeight="1">
      <c r="A317" s="242">
        <f>2019</f>
        <v>2019</v>
      </c>
      <c r="B317" s="243" t="s">
        <v>65</v>
      </c>
      <c r="C317" s="244">
        <f t="shared" si="32"/>
        <v>584.91834414017933</v>
      </c>
      <c r="D317" s="245">
        <v>-8.579589823681788E-2</v>
      </c>
      <c r="E317" s="245">
        <f t="shared" si="39"/>
        <v>2.8151367125547111</v>
      </c>
      <c r="F317" s="246">
        <f t="shared" si="36"/>
        <v>2.9319506584054356</v>
      </c>
      <c r="G317" s="241">
        <f t="shared" si="34"/>
        <v>1.3957953047684186</v>
      </c>
    </row>
    <row r="318" spans="1:7" ht="18" customHeight="1">
      <c r="A318" s="242">
        <f>2019</f>
        <v>2019</v>
      </c>
      <c r="B318" s="243" t="s">
        <v>66</v>
      </c>
      <c r="C318" s="244">
        <f t="shared" si="32"/>
        <v>587.75850790758955</v>
      </c>
      <c r="D318" s="245">
        <v>0.48556585647612227</v>
      </c>
      <c r="E318" s="245">
        <f t="shared" si="39"/>
        <v>3.3143719117201265</v>
      </c>
      <c r="F318" s="246">
        <f t="shared" si="36"/>
        <v>3.6096074761730712</v>
      </c>
      <c r="G318" s="241">
        <f t="shared" si="34"/>
        <v>1.3890505495705101</v>
      </c>
    </row>
    <row r="319" spans="1:7" ht="18" customHeight="1">
      <c r="A319" s="242">
        <f>2019</f>
        <v>2019</v>
      </c>
      <c r="B319" s="243" t="s">
        <v>55</v>
      </c>
      <c r="C319" s="244">
        <f t="shared" si="32"/>
        <v>592.27489963797541</v>
      </c>
      <c r="D319" s="245">
        <v>0.76840941808977714</v>
      </c>
      <c r="E319" s="245">
        <f t="shared" si="39"/>
        <v>4.1082492757300804</v>
      </c>
      <c r="F319" s="246">
        <f t="shared" si="36"/>
        <v>4.1082492757300804</v>
      </c>
      <c r="G319" s="241">
        <f t="shared" si="34"/>
        <v>1.3784583458168094</v>
      </c>
    </row>
    <row r="320" spans="1:7" ht="18" customHeight="1">
      <c r="A320" s="242">
        <f>2020</f>
        <v>2020</v>
      </c>
      <c r="B320" s="243" t="s">
        <v>56</v>
      </c>
      <c r="C320" s="244">
        <f t="shared" si="32"/>
        <v>595.74264636281555</v>
      </c>
      <c r="D320" s="245">
        <v>0.58549614831893138</v>
      </c>
      <c r="E320" s="245">
        <f t="shared" ref="E320:E331" si="40">100*(C320/C$319-1)</f>
        <v>0.58549614831893138</v>
      </c>
      <c r="F320" s="246">
        <f t="shared" si="36"/>
        <v>4.1284082147613477</v>
      </c>
      <c r="G320" s="241">
        <f t="shared" si="34"/>
        <v>1.3704345045772757</v>
      </c>
    </row>
    <row r="321" spans="1:7" ht="18" customHeight="1">
      <c r="A321" s="242">
        <f>2020</f>
        <v>2020</v>
      </c>
      <c r="B321" s="243" t="s">
        <v>57</v>
      </c>
      <c r="C321" s="244">
        <f t="shared" ref="C321:C380" si="41">+C320*(1+D321/100)</f>
        <v>595.70254521537595</v>
      </c>
      <c r="D321" s="245">
        <v>-6.7312870220770371E-3</v>
      </c>
      <c r="E321" s="245">
        <f t="shared" si="40"/>
        <v>0.57872544987060959</v>
      </c>
      <c r="F321" s="246">
        <f t="shared" si="36"/>
        <v>3.7595823074371149</v>
      </c>
      <c r="G321" s="241">
        <f t="shared" si="34"/>
        <v>1.3705267586671159</v>
      </c>
    </row>
    <row r="322" spans="1:7" ht="18" customHeight="1">
      <c r="A322" s="242">
        <f>2020</f>
        <v>2020</v>
      </c>
      <c r="B322" s="243" t="s">
        <v>58</v>
      </c>
      <c r="C322" s="244">
        <f t="shared" si="41"/>
        <v>597.72965821844809</v>
      </c>
      <c r="D322" s="245">
        <v>0.34028946482664857</v>
      </c>
      <c r="E322" s="245">
        <f t="shared" si="40"/>
        <v>0.92098425643343251</v>
      </c>
      <c r="F322" s="246">
        <f t="shared" si="36"/>
        <v>3.4387518411661544</v>
      </c>
      <c r="G322" s="241">
        <f t="shared" si="34"/>
        <v>1.3658788169507339</v>
      </c>
    </row>
    <row r="323" spans="1:7" ht="18" customHeight="1">
      <c r="A323" s="242">
        <f>2020</f>
        <v>2020</v>
      </c>
      <c r="B323" s="243" t="s">
        <v>59</v>
      </c>
      <c r="C323" s="244">
        <f t="shared" si="41"/>
        <v>596.63389436466093</v>
      </c>
      <c r="D323" s="245">
        <v>-0.18332097775659584</v>
      </c>
      <c r="E323" s="245">
        <f t="shared" si="40"/>
        <v>0.73597492133297138</v>
      </c>
      <c r="F323" s="246">
        <f t="shared" si="36"/>
        <v>2.6040256885479396</v>
      </c>
      <c r="G323" s="241">
        <f t="shared" si="34"/>
        <v>1.368387358034981</v>
      </c>
    </row>
    <row r="324" spans="1:7" ht="18" customHeight="1">
      <c r="A324" s="242">
        <f>2020</f>
        <v>2020</v>
      </c>
      <c r="B324" s="243" t="s">
        <v>60</v>
      </c>
      <c r="C324" s="244">
        <f t="shared" si="41"/>
        <v>593.4308152129222</v>
      </c>
      <c r="D324" s="245">
        <v>-0.5368583954067141</v>
      </c>
      <c r="E324" s="245">
        <f t="shared" si="40"/>
        <v>0.19516538277299933</v>
      </c>
      <c r="F324" s="246">
        <f t="shared" si="36"/>
        <v>1.8284721445713137</v>
      </c>
      <c r="G324" s="241">
        <f t="shared" si="34"/>
        <v>1.3757733125652527</v>
      </c>
    </row>
    <row r="325" spans="1:7" ht="18" customHeight="1">
      <c r="A325" s="242">
        <f>2020</f>
        <v>2020</v>
      </c>
      <c r="B325" s="243" t="s">
        <v>61</v>
      </c>
      <c r="C325" s="244">
        <f t="shared" si="41"/>
        <v>595.54815579773367</v>
      </c>
      <c r="D325" s="245">
        <v>0.35679653474882667</v>
      </c>
      <c r="E325" s="245">
        <f t="shared" si="40"/>
        <v>0.55265826084458514</v>
      </c>
      <c r="F325" s="246">
        <f t="shared" si="36"/>
        <v>2.2167619067284594</v>
      </c>
      <c r="G325" s="241">
        <f t="shared" si="34"/>
        <v>1.3708820529049941</v>
      </c>
    </row>
    <row r="326" spans="1:7" ht="18" customHeight="1">
      <c r="A326" s="242">
        <f>2020</f>
        <v>2020</v>
      </c>
      <c r="B326" s="243" t="s">
        <v>62</v>
      </c>
      <c r="C326" s="244">
        <f t="shared" si="41"/>
        <v>598.43944852812933</v>
      </c>
      <c r="D326" s="245">
        <v>0.48548428909545027</v>
      </c>
      <c r="E326" s="245">
        <f t="shared" si="40"/>
        <v>1.0408256189688325</v>
      </c>
      <c r="F326" s="246">
        <f t="shared" si="36"/>
        <v>2.3977960449574232</v>
      </c>
      <c r="G326" s="241">
        <f t="shared" si="34"/>
        <v>1.3642587908129935</v>
      </c>
    </row>
    <row r="327" spans="1:7" ht="18" customHeight="1">
      <c r="A327" s="242">
        <f>2020</f>
        <v>2020</v>
      </c>
      <c r="B327" s="243" t="s">
        <v>63</v>
      </c>
      <c r="C327" s="244">
        <f t="shared" si="41"/>
        <v>601.63149986432222</v>
      </c>
      <c r="D327" s="245">
        <v>0.53339587556331391</v>
      </c>
      <c r="E327" s="245">
        <f t="shared" si="40"/>
        <v>1.5797732154555266</v>
      </c>
      <c r="F327" s="246">
        <f t="shared" si="36"/>
        <v>2.7724450914073495</v>
      </c>
      <c r="G327" s="241">
        <f t="shared" ref="G327:G394" si="42">+$C$396/C327</f>
        <v>1.3570204994384401</v>
      </c>
    </row>
    <row r="328" spans="1:7" ht="18" customHeight="1">
      <c r="A328" s="242">
        <f>2020</f>
        <v>2020</v>
      </c>
      <c r="B328" s="243" t="s">
        <v>64</v>
      </c>
      <c r="C328" s="244">
        <f t="shared" si="41"/>
        <v>606.58800168785774</v>
      </c>
      <c r="D328" s="245">
        <v>0.82384346974073708</v>
      </c>
      <c r="E328" s="245">
        <f t="shared" si="40"/>
        <v>2.4166315436685126</v>
      </c>
      <c r="F328" s="246">
        <f t="shared" si="36"/>
        <v>3.6157576753935938</v>
      </c>
      <c r="G328" s="241">
        <f t="shared" si="42"/>
        <v>1.3459321255152399</v>
      </c>
    </row>
    <row r="329" spans="1:7" ht="18" customHeight="1">
      <c r="A329" s="242">
        <f>2020</f>
        <v>2020</v>
      </c>
      <c r="B329" s="243" t="s">
        <v>65</v>
      </c>
      <c r="C329" s="244">
        <f t="shared" si="41"/>
        <v>610.54999505489093</v>
      </c>
      <c r="D329" s="245">
        <v>0.65316052345394393</v>
      </c>
      <c r="E329" s="245">
        <f t="shared" si="40"/>
        <v>3.0855765503630339</v>
      </c>
      <c r="F329" s="246">
        <f t="shared" si="36"/>
        <v>4.3820904527092086</v>
      </c>
      <c r="G329" s="241">
        <f t="shared" si="42"/>
        <v>1.3371980755652619</v>
      </c>
    </row>
    <row r="330" spans="1:7" ht="18" customHeight="1">
      <c r="A330" s="242">
        <f>2020</f>
        <v>2020</v>
      </c>
      <c r="B330" s="243" t="s">
        <v>66</v>
      </c>
      <c r="C330" s="244">
        <f t="shared" si="41"/>
        <v>616.29448442561477</v>
      </c>
      <c r="D330" s="245">
        <v>0.94087125006157013</v>
      </c>
      <c r="E330" s="245">
        <f t="shared" si="40"/>
        <v>4.055479103085613</v>
      </c>
      <c r="F330" s="246">
        <f t="shared" si="36"/>
        <v>4.8550512045521632</v>
      </c>
      <c r="G330" s="241">
        <f t="shared" si="42"/>
        <v>1.3247340339005111</v>
      </c>
    </row>
    <row r="331" spans="1:7" ht="18" customHeight="1">
      <c r="A331" s="242">
        <f>2020</f>
        <v>2020</v>
      </c>
      <c r="B331" s="243" t="s">
        <v>55</v>
      </c>
      <c r="C331" s="244">
        <f t="shared" si="41"/>
        <v>622.91317881052203</v>
      </c>
      <c r="D331" s="245">
        <v>1.0739499625858073</v>
      </c>
      <c r="E331" s="245">
        <f t="shared" si="40"/>
        <v>5.1729828819816692</v>
      </c>
      <c r="F331" s="246">
        <f t="shared" si="36"/>
        <v>5.1729828819816692</v>
      </c>
      <c r="G331" s="241">
        <f t="shared" si="42"/>
        <v>1.3106582204325479</v>
      </c>
    </row>
    <row r="332" spans="1:7" ht="18" customHeight="1">
      <c r="A332" s="242">
        <f>2021</f>
        <v>2021</v>
      </c>
      <c r="B332" s="243" t="s">
        <v>56</v>
      </c>
      <c r="C332" s="244">
        <f t="shared" si="41"/>
        <v>624.59141183086967</v>
      </c>
      <c r="D332" s="245">
        <v>0.26941684289811807</v>
      </c>
      <c r="E332" s="245">
        <f t="shared" ref="E332:E343" si="43">100*(C332/C$331-1)</f>
        <v>0.26941684289811807</v>
      </c>
      <c r="F332" s="246">
        <f t="shared" si="36"/>
        <v>4.8424878836833996</v>
      </c>
      <c r="G332" s="241">
        <f t="shared" si="42"/>
        <v>1.3071365743415901</v>
      </c>
    </row>
    <row r="333" spans="1:7" ht="18" customHeight="1">
      <c r="A333" s="242">
        <f>2021</f>
        <v>2021</v>
      </c>
      <c r="B333" s="243" t="s">
        <v>57</v>
      </c>
      <c r="C333" s="244">
        <f t="shared" si="41"/>
        <v>627.95489557236692</v>
      </c>
      <c r="D333" s="245">
        <v>0.53850944438025294</v>
      </c>
      <c r="E333" s="245">
        <f t="shared" si="43"/>
        <v>0.80937712242215021</v>
      </c>
      <c r="F333" s="246">
        <f t="shared" si="36"/>
        <v>5.4141703130259566</v>
      </c>
      <c r="G333" s="241">
        <f t="shared" si="42"/>
        <v>1.3001352233740067</v>
      </c>
    </row>
    <row r="334" spans="1:7" ht="18" customHeight="1">
      <c r="A334" s="242">
        <f>2021</f>
        <v>2021</v>
      </c>
      <c r="B334" s="243" t="s">
        <v>58</v>
      </c>
      <c r="C334" s="244">
        <f t="shared" si="41"/>
        <v>634.21568721637561</v>
      </c>
      <c r="D334" s="245">
        <v>0.99701295238763255</v>
      </c>
      <c r="E334" s="245">
        <f t="shared" si="43"/>
        <v>1.8144596695539805</v>
      </c>
      <c r="F334" s="246">
        <f t="shared" si="36"/>
        <v>6.1041021632882053</v>
      </c>
      <c r="G334" s="241">
        <f t="shared" si="42"/>
        <v>1.2873006689682209</v>
      </c>
    </row>
    <row r="335" spans="1:7" ht="18" customHeight="1">
      <c r="A335" s="242">
        <f>2021</f>
        <v>2021</v>
      </c>
      <c r="B335" s="243" t="s">
        <v>59</v>
      </c>
      <c r="C335" s="244">
        <f t="shared" si="41"/>
        <v>635.6603310528875</v>
      </c>
      <c r="D335" s="245">
        <v>0.22778431149386158</v>
      </c>
      <c r="E335" s="245">
        <f t="shared" si="43"/>
        <v>2.0463770355134692</v>
      </c>
      <c r="F335" s="246">
        <f t="shared" si="36"/>
        <v>6.5411028533309823</v>
      </c>
      <c r="G335" s="241">
        <f t="shared" si="42"/>
        <v>1.2843750640715268</v>
      </c>
    </row>
    <row r="336" spans="1:7" ht="18" customHeight="1">
      <c r="A336" s="242">
        <f>2021</f>
        <v>2021</v>
      </c>
      <c r="B336" s="243" t="s">
        <v>60</v>
      </c>
      <c r="C336" s="244">
        <f t="shared" si="41"/>
        <v>640.80330321201723</v>
      </c>
      <c r="D336" s="245">
        <v>0.80907552475566469</v>
      </c>
      <c r="E336" s="245">
        <f t="shared" si="43"/>
        <v>2.8720092960076826</v>
      </c>
      <c r="F336" s="246">
        <f t="shared" si="36"/>
        <v>7.98281565174499</v>
      </c>
      <c r="G336" s="241">
        <f t="shared" si="42"/>
        <v>1.2740669006096808</v>
      </c>
    </row>
    <row r="337" spans="1:7" ht="18" customHeight="1">
      <c r="A337" s="242">
        <f>2021</f>
        <v>2021</v>
      </c>
      <c r="B337" s="243" t="s">
        <v>61</v>
      </c>
      <c r="C337" s="244">
        <f t="shared" si="41"/>
        <v>644.90164048034501</v>
      </c>
      <c r="D337" s="245">
        <v>0.63956244416734087</v>
      </c>
      <c r="E337" s="245">
        <f t="shared" si="43"/>
        <v>3.5299400330252917</v>
      </c>
      <c r="F337" s="246">
        <f t="shared" si="36"/>
        <v>8.2870686781831395</v>
      </c>
      <c r="G337" s="241">
        <f t="shared" si="42"/>
        <v>1.2659702304613116</v>
      </c>
    </row>
    <row r="338" spans="1:7" ht="18" customHeight="1">
      <c r="A338" s="242">
        <f>2021</f>
        <v>2021</v>
      </c>
      <c r="B338" s="243" t="s">
        <v>62</v>
      </c>
      <c r="C338" s="244">
        <f t="shared" si="41"/>
        <v>650.835607772721</v>
      </c>
      <c r="D338" s="245">
        <v>0.92013524542380321</v>
      </c>
      <c r="E338" s="245">
        <f t="shared" si="43"/>
        <v>4.4825555008352724</v>
      </c>
      <c r="F338" s="246">
        <f t="shared" si="36"/>
        <v>8.7554654649623753</v>
      </c>
      <c r="G338" s="241">
        <f t="shared" si="42"/>
        <v>1.2544277981620291</v>
      </c>
    </row>
    <row r="339" spans="1:7" ht="18" customHeight="1">
      <c r="A339" s="242">
        <f>2021</f>
        <v>2021</v>
      </c>
      <c r="B339" s="243" t="s">
        <v>63</v>
      </c>
      <c r="C339" s="244">
        <f t="shared" si="41"/>
        <v>655.45124984301992</v>
      </c>
      <c r="D339" s="245">
        <v>0.70918708429221766</v>
      </c>
      <c r="E339" s="245">
        <f t="shared" si="43"/>
        <v>5.2235322897856484</v>
      </c>
      <c r="F339" s="246">
        <f t="shared" si="36"/>
        <v>8.9456336629373467</v>
      </c>
      <c r="G339" s="241">
        <f t="shared" si="42"/>
        <v>1.2455942049379169</v>
      </c>
    </row>
    <row r="340" spans="1:7" ht="18" customHeight="1">
      <c r="A340" s="242">
        <f>2021</f>
        <v>2021</v>
      </c>
      <c r="B340" s="243" t="s">
        <v>64</v>
      </c>
      <c r="C340" s="244">
        <f t="shared" si="41"/>
        <v>664.84494363074816</v>
      </c>
      <c r="D340" s="245">
        <v>1.4331643718702214</v>
      </c>
      <c r="E340" s="245">
        <f t="shared" si="43"/>
        <v>6.7315584653862226</v>
      </c>
      <c r="F340" s="246">
        <f t="shared" si="36"/>
        <v>9.6040379599972248</v>
      </c>
      <c r="G340" s="241">
        <f t="shared" si="42"/>
        <v>1.2279950178536962</v>
      </c>
    </row>
    <row r="341" spans="1:7" ht="18" customHeight="1">
      <c r="A341" s="242">
        <f>2021</f>
        <v>2021</v>
      </c>
      <c r="B341" s="243" t="s">
        <v>65</v>
      </c>
      <c r="C341" s="244">
        <f t="shared" si="41"/>
        <v>669.97889303170393</v>
      </c>
      <c r="D341" s="245">
        <v>0.77220251881875424</v>
      </c>
      <c r="E341" s="245">
        <f t="shared" si="43"/>
        <v>7.555742248230457</v>
      </c>
      <c r="F341" s="246">
        <f t="shared" si="36"/>
        <v>9.7336661138569092</v>
      </c>
      <c r="G341" s="241">
        <f t="shared" si="42"/>
        <v>1.2185850732243089</v>
      </c>
    </row>
    <row r="342" spans="1:7" ht="18" customHeight="1">
      <c r="A342" s="242">
        <f>2021</f>
        <v>2021</v>
      </c>
      <c r="B342" s="243" t="s">
        <v>66</v>
      </c>
      <c r="C342" s="244">
        <f t="shared" si="41"/>
        <v>677.22717543141312</v>
      </c>
      <c r="D342" s="245">
        <v>1.0818672759838943</v>
      </c>
      <c r="E342" s="245">
        <f t="shared" si="43"/>
        <v>8.7193526270556543</v>
      </c>
      <c r="F342" s="246">
        <f t="shared" si="36"/>
        <v>9.8869440739174372</v>
      </c>
      <c r="G342" s="241">
        <f t="shared" si="42"/>
        <v>1.205542701241564</v>
      </c>
    </row>
    <row r="343" spans="1:7" ht="18" customHeight="1">
      <c r="A343" s="242">
        <f>2021</f>
        <v>2021</v>
      </c>
      <c r="B343" s="243" t="s">
        <v>55</v>
      </c>
      <c r="C343" s="244">
        <f t="shared" si="41"/>
        <v>681.10395386013715</v>
      </c>
      <c r="D343" s="245">
        <v>0.57244873941368901</v>
      </c>
      <c r="E343" s="245">
        <f t="shared" si="43"/>
        <v>9.341715190667955</v>
      </c>
      <c r="F343" s="246">
        <f t="shared" ref="F343:F380" si="44">+((C343/C331)-1)*100</f>
        <v>9.341715190667955</v>
      </c>
      <c r="G343" s="241">
        <f t="shared" si="42"/>
        <v>1.198680867724681</v>
      </c>
    </row>
    <row r="344" spans="1:7" ht="18" customHeight="1">
      <c r="A344" s="242">
        <f>2022</f>
        <v>2022</v>
      </c>
      <c r="B344" s="243" t="s">
        <v>56</v>
      </c>
      <c r="C344" s="244">
        <f t="shared" si="41"/>
        <v>684.41630863864884</v>
      </c>
      <c r="D344" s="245">
        <v>0.48632147262381853</v>
      </c>
      <c r="E344" s="245">
        <f t="shared" ref="E344:E355" si="45">100*(C344/C$343-1)</f>
        <v>0.48632147262381853</v>
      </c>
      <c r="F344" s="246">
        <f t="shared" si="44"/>
        <v>9.5782451815041636</v>
      </c>
      <c r="G344" s="241">
        <f t="shared" si="42"/>
        <v>1.1928796379030016</v>
      </c>
    </row>
    <row r="345" spans="1:7" ht="18" customHeight="1">
      <c r="A345" s="242">
        <f>2022</f>
        <v>2022</v>
      </c>
      <c r="B345" s="243" t="s">
        <v>57</v>
      </c>
      <c r="C345" s="244">
        <f t="shared" si="41"/>
        <v>686.35018647392394</v>
      </c>
      <c r="D345" s="245">
        <v>0.28255870160687202</v>
      </c>
      <c r="E345" s="245">
        <f t="shared" si="45"/>
        <v>0.77025431786938992</v>
      </c>
      <c r="F345" s="246">
        <f t="shared" si="44"/>
        <v>9.2992810969856343</v>
      </c>
      <c r="G345" s="241">
        <f t="shared" si="42"/>
        <v>1.1895185497335015</v>
      </c>
    </row>
    <row r="346" spans="1:7" ht="18" customHeight="1">
      <c r="A346" s="242">
        <f>2022</f>
        <v>2022</v>
      </c>
      <c r="B346" s="243" t="s">
        <v>58</v>
      </c>
      <c r="C346" s="244">
        <f t="shared" si="41"/>
        <v>695.61154647510136</v>
      </c>
      <c r="D346" s="245">
        <v>1.3493636606638049</v>
      </c>
      <c r="E346" s="245">
        <f t="shared" si="45"/>
        <v>2.1300115103932038</v>
      </c>
      <c r="F346" s="246">
        <f t="shared" si="44"/>
        <v>9.6805961278247707</v>
      </c>
      <c r="G346" s="241">
        <f t="shared" si="42"/>
        <v>1.1736813205026397</v>
      </c>
    </row>
    <row r="347" spans="1:7" ht="18" customHeight="1">
      <c r="A347" s="242">
        <f>2022</f>
        <v>2022</v>
      </c>
      <c r="B347" s="243" t="s">
        <v>59</v>
      </c>
      <c r="C347" s="244">
        <f t="shared" si="41"/>
        <v>703.12650150528384</v>
      </c>
      <c r="D347" s="245">
        <v>1.0803378794189467</v>
      </c>
      <c r="E347" s="245">
        <f t="shared" si="45"/>
        <v>3.2333607109949369</v>
      </c>
      <c r="F347" s="246">
        <f t="shared" si="44"/>
        <v>10.613556825332715</v>
      </c>
      <c r="G347" s="241">
        <f t="shared" si="42"/>
        <v>1.1611371164021544</v>
      </c>
    </row>
    <row r="348" spans="1:7" ht="18" customHeight="1">
      <c r="A348" s="242">
        <f>2022</f>
        <v>2022</v>
      </c>
      <c r="B348" s="243" t="s">
        <v>60</v>
      </c>
      <c r="C348" s="244">
        <f t="shared" si="41"/>
        <v>706.66041512339939</v>
      </c>
      <c r="D348" s="245">
        <v>0.50259997462049899</v>
      </c>
      <c r="E348" s="245">
        <f t="shared" si="45"/>
        <v>3.7522115557282687</v>
      </c>
      <c r="F348" s="246">
        <f t="shared" si="44"/>
        <v>10.277274099754852</v>
      </c>
      <c r="G348" s="241">
        <f t="shared" si="42"/>
        <v>1.1553304259744239</v>
      </c>
    </row>
    <row r="349" spans="1:7" ht="18" customHeight="1">
      <c r="A349" s="242">
        <f>2022</f>
        <v>2022</v>
      </c>
      <c r="B349" s="243" t="s">
        <v>61</v>
      </c>
      <c r="C349" s="244">
        <f t="shared" si="41"/>
        <v>711.36327718937923</v>
      </c>
      <c r="D349" s="245">
        <v>0.66550523636712544</v>
      </c>
      <c r="E349" s="245">
        <f t="shared" si="45"/>
        <v>4.4426879564783306</v>
      </c>
      <c r="F349" s="246">
        <f t="shared" si="44"/>
        <v>10.305701294158798</v>
      </c>
      <c r="G349" s="241">
        <f t="shared" si="42"/>
        <v>1.1476924724727269</v>
      </c>
    </row>
    <row r="350" spans="1:7" ht="18" customHeight="1">
      <c r="A350" s="242">
        <f>2022</f>
        <v>2022</v>
      </c>
      <c r="B350" s="243" t="s">
        <v>62</v>
      </c>
      <c r="C350" s="244">
        <f t="shared" si="41"/>
        <v>702.87085669035628</v>
      </c>
      <c r="D350" s="245">
        <v>-1.193823292731222</v>
      </c>
      <c r="E350" s="245">
        <f t="shared" si="45"/>
        <v>3.1958268200993123</v>
      </c>
      <c r="F350" s="246">
        <f t="shared" si="44"/>
        <v>7.9951447487191851</v>
      </c>
      <c r="G350" s="241">
        <f t="shared" si="42"/>
        <v>1.1615594396218507</v>
      </c>
    </row>
    <row r="351" spans="1:7" ht="18" customHeight="1">
      <c r="A351" s="242">
        <f>2022</f>
        <v>2022</v>
      </c>
      <c r="B351" s="243" t="s">
        <v>63</v>
      </c>
      <c r="C351" s="244">
        <f t="shared" si="41"/>
        <v>698.84770907347774</v>
      </c>
      <c r="D351" s="245">
        <v>-0.57238788300635335</v>
      </c>
      <c r="E351" s="245">
        <f t="shared" si="45"/>
        <v>2.6051464116128464</v>
      </c>
      <c r="F351" s="246">
        <f t="shared" si="44"/>
        <v>6.6208523121820573</v>
      </c>
      <c r="G351" s="241">
        <f t="shared" si="42"/>
        <v>1.1682463401163417</v>
      </c>
    </row>
    <row r="352" spans="1:7" ht="18" customHeight="1">
      <c r="A352" s="242">
        <f>2022</f>
        <v>2022</v>
      </c>
      <c r="B352" s="243" t="s">
        <v>64</v>
      </c>
      <c r="C352" s="244">
        <f t="shared" si="41"/>
        <v>698.95798722893664</v>
      </c>
      <c r="D352" s="245">
        <v>1.5779998135090345E-2</v>
      </c>
      <c r="E352" s="245">
        <f t="shared" si="45"/>
        <v>2.6213375018031115</v>
      </c>
      <c r="F352" s="246">
        <f t="shared" si="44"/>
        <v>5.1309773692337357</v>
      </c>
      <c r="G352" s="241">
        <f t="shared" si="42"/>
        <v>1.1680620199513767</v>
      </c>
    </row>
    <row r="353" spans="1:7" ht="18" customHeight="1">
      <c r="A353" s="242">
        <f>2022</f>
        <v>2022</v>
      </c>
      <c r="B353" s="243" t="s">
        <v>65</v>
      </c>
      <c r="C353" s="244">
        <f t="shared" si="41"/>
        <v>703.78917296672341</v>
      </c>
      <c r="D353" s="245">
        <v>0.69119830176636032</v>
      </c>
      <c r="E353" s="245">
        <f t="shared" si="45"/>
        <v>3.3306544438654884</v>
      </c>
      <c r="F353" s="246">
        <f t="shared" si="44"/>
        <v>5.0464694166745261</v>
      </c>
      <c r="G353" s="241">
        <f t="shared" si="42"/>
        <v>1.1600438167899787</v>
      </c>
    </row>
    <row r="354" spans="1:7" ht="18" customHeight="1">
      <c r="A354" s="242">
        <f>2022</f>
        <v>2022</v>
      </c>
      <c r="B354" s="243" t="s">
        <v>66</v>
      </c>
      <c r="C354" s="244">
        <f t="shared" si="41"/>
        <v>707.80530288280011</v>
      </c>
      <c r="D354" s="245">
        <v>0.57064389029277685</v>
      </c>
      <c r="E354" s="245">
        <f t="shared" si="45"/>
        <v>3.920304510248962</v>
      </c>
      <c r="F354" s="246">
        <f t="shared" si="44"/>
        <v>4.5151949834127514</v>
      </c>
      <c r="G354" s="241">
        <f t="shared" si="42"/>
        <v>1.1534616583099631</v>
      </c>
    </row>
    <row r="355" spans="1:7" ht="18" customHeight="1">
      <c r="A355" s="242">
        <f>2022</f>
        <v>2022</v>
      </c>
      <c r="B355" s="243" t="s">
        <v>55</v>
      </c>
      <c r="C355" s="244">
        <f t="shared" si="41"/>
        <v>710.28355379456787</v>
      </c>
      <c r="D355" s="245">
        <v>0.35013172431375139</v>
      </c>
      <c r="E355" s="245">
        <f t="shared" si="45"/>
        <v>4.2841624643428</v>
      </c>
      <c r="F355" s="246">
        <f t="shared" si="44"/>
        <v>4.2841624643428</v>
      </c>
      <c r="G355" s="241">
        <f t="shared" si="42"/>
        <v>1.1494371143216864</v>
      </c>
    </row>
    <row r="356" spans="1:7" ht="18" customHeight="1">
      <c r="A356" s="242">
        <f>2023</f>
        <v>2023</v>
      </c>
      <c r="B356" s="243" t="s">
        <v>56</v>
      </c>
      <c r="C356" s="244">
        <f t="shared" si="41"/>
        <v>715.95686362858646</v>
      </c>
      <c r="D356" s="245">
        <v>0.79873872958340364</v>
      </c>
      <c r="E356" s="245">
        <f t="shared" ref="E356:E367" si="46">100*(C356/C$355-1)</f>
        <v>0.79873872958340364</v>
      </c>
      <c r="F356" s="246">
        <f t="shared" si="44"/>
        <v>4.6083874086334964</v>
      </c>
      <c r="G356" s="241">
        <f t="shared" si="42"/>
        <v>1.1403288660241322</v>
      </c>
    </row>
    <row r="357" spans="1:7" ht="18" customHeight="1">
      <c r="A357" s="242">
        <f>2023</f>
        <v>2023</v>
      </c>
      <c r="B357" s="243" t="s">
        <v>57</v>
      </c>
      <c r="C357" s="244">
        <f t="shared" si="41"/>
        <v>718.36894764707904</v>
      </c>
      <c r="D357" s="245">
        <v>0.33690354000766032</v>
      </c>
      <c r="E357" s="245">
        <f t="shared" si="46"/>
        <v>1.1383332486464504</v>
      </c>
      <c r="F357" s="246">
        <f t="shared" si="44"/>
        <v>4.6650764877983475</v>
      </c>
      <c r="G357" s="241">
        <f t="shared" si="42"/>
        <v>1.1364999574353469</v>
      </c>
    </row>
    <row r="358" spans="1:7" ht="18" customHeight="1">
      <c r="A358" s="242">
        <f>2023</f>
        <v>2023</v>
      </c>
      <c r="B358" s="243" t="s">
        <v>58</v>
      </c>
      <c r="C358" s="244">
        <f t="shared" si="41"/>
        <v>723.71443060077888</v>
      </c>
      <c r="D358" s="245">
        <v>0.7441138667265923</v>
      </c>
      <c r="E358" s="245">
        <f t="shared" si="46"/>
        <v>1.8909176109257908</v>
      </c>
      <c r="F358" s="246">
        <f t="shared" si="44"/>
        <v>4.04002553840348</v>
      </c>
      <c r="G358" s="241">
        <f t="shared" si="42"/>
        <v>1.12810556747644</v>
      </c>
    </row>
    <row r="359" spans="1:7" ht="18" customHeight="1">
      <c r="A359" s="242">
        <f>2023</f>
        <v>2023</v>
      </c>
      <c r="B359" s="243" t="s">
        <v>59</v>
      </c>
      <c r="C359" s="244">
        <f t="shared" si="41"/>
        <v>727.31551364085567</v>
      </c>
      <c r="D359" s="245">
        <v>0.49758342349031093</v>
      </c>
      <c r="E359" s="245">
        <f t="shared" si="46"/>
        <v>2.3979099269999304</v>
      </c>
      <c r="F359" s="246">
        <f t="shared" si="44"/>
        <v>3.4402077128065756</v>
      </c>
      <c r="G359" s="241">
        <f t="shared" si="42"/>
        <v>1.1225200935655102</v>
      </c>
    </row>
    <row r="360" spans="1:7" ht="18" customHeight="1">
      <c r="A360" s="242">
        <f>2023</f>
        <v>2023</v>
      </c>
      <c r="B360" s="243" t="s">
        <v>60</v>
      </c>
      <c r="C360" s="244">
        <f t="shared" si="41"/>
        <v>727.90399797953194</v>
      </c>
      <c r="D360" s="245">
        <v>8.0911836423003258E-2</v>
      </c>
      <c r="E360" s="245">
        <f t="shared" si="46"/>
        <v>2.4807619563806504</v>
      </c>
      <c r="F360" s="246">
        <f t="shared" si="44"/>
        <v>3.0061939796674375</v>
      </c>
      <c r="G360" s="241">
        <f t="shared" si="42"/>
        <v>1.1216125762325289</v>
      </c>
    </row>
    <row r="361" spans="1:7" ht="18" customHeight="1">
      <c r="A361" s="242">
        <f>2023</f>
        <v>2023</v>
      </c>
      <c r="B361" s="243" t="s">
        <v>61</v>
      </c>
      <c r="C361" s="244">
        <f t="shared" si="41"/>
        <v>727.17515962481707</v>
      </c>
      <c r="D361" s="245">
        <v>-0.10012836263270097</v>
      </c>
      <c r="E361" s="245">
        <f t="shared" si="46"/>
        <v>2.3781496474202024</v>
      </c>
      <c r="F361" s="246">
        <f t="shared" si="44"/>
        <v>2.2227577585830938</v>
      </c>
      <c r="G361" s="241">
        <f t="shared" si="42"/>
        <v>1.1227367541611459</v>
      </c>
    </row>
    <row r="362" spans="1:7" ht="18" customHeight="1">
      <c r="A362" s="242">
        <f>2023</f>
        <v>2023</v>
      </c>
      <c r="B362" s="243" t="s">
        <v>62</v>
      </c>
      <c r="C362" s="244">
        <f t="shared" si="41"/>
        <v>727.68043408255619</v>
      </c>
      <c r="D362" s="245">
        <v>6.9484559676080693E-2</v>
      </c>
      <c r="E362" s="245">
        <f t="shared" si="46"/>
        <v>2.4492866539072233</v>
      </c>
      <c r="F362" s="246">
        <f t="shared" si="44"/>
        <v>3.5297490507746998</v>
      </c>
      <c r="G362" s="241">
        <f t="shared" si="42"/>
        <v>1.121957167163788</v>
      </c>
    </row>
    <row r="363" spans="1:7" ht="18" customHeight="1">
      <c r="A363" s="242">
        <f>2023</f>
        <v>2023</v>
      </c>
      <c r="B363" s="243" t="s">
        <v>63</v>
      </c>
      <c r="C363" s="244">
        <f t="shared" si="41"/>
        <v>726.11448427503944</v>
      </c>
      <c r="D363" s="245">
        <v>-0.21519745951270597</v>
      </c>
      <c r="E363" s="245">
        <f t="shared" si="46"/>
        <v>2.228818391739118</v>
      </c>
      <c r="F363" s="246">
        <f t="shared" si="44"/>
        <v>3.9016762661655768</v>
      </c>
      <c r="G363" s="241">
        <f t="shared" si="42"/>
        <v>1.124376797467288</v>
      </c>
    </row>
    <row r="364" spans="1:7" ht="18" customHeight="1">
      <c r="A364" s="242">
        <f>2023</f>
        <v>2023</v>
      </c>
      <c r="B364" s="243" t="s">
        <v>64</v>
      </c>
      <c r="C364" s="244">
        <f t="shared" si="41"/>
        <v>728.0974860159281</v>
      </c>
      <c r="D364" s="245">
        <v>0.27309767038574684</v>
      </c>
      <c r="E364" s="245">
        <f t="shared" si="46"/>
        <v>2.5080029132298343</v>
      </c>
      <c r="F364" s="246">
        <f t="shared" si="44"/>
        <v>4.1689914586306998</v>
      </c>
      <c r="G364" s="241">
        <f t="shared" si="42"/>
        <v>1.1213145136528049</v>
      </c>
    </row>
    <row r="365" spans="1:7" ht="18" customHeight="1">
      <c r="A365" s="242">
        <f>2023</f>
        <v>2023</v>
      </c>
      <c r="B365" s="243" t="s">
        <v>65</v>
      </c>
      <c r="C365" s="244">
        <f t="shared" si="41"/>
        <v>731.40783573706778</v>
      </c>
      <c r="D365" s="245">
        <v>0.4546574853943719</v>
      </c>
      <c r="E365" s="245">
        <f t="shared" si="46"/>
        <v>2.9740632216031182</v>
      </c>
      <c r="F365" s="246">
        <f t="shared" si="44"/>
        <v>3.9242807123505141</v>
      </c>
      <c r="G365" s="241">
        <f t="shared" si="42"/>
        <v>1.1162394474500483</v>
      </c>
    </row>
    <row r="366" spans="1:7" ht="18" customHeight="1">
      <c r="A366" s="242">
        <f>2023</f>
        <v>2023</v>
      </c>
      <c r="B366" s="243" t="s">
        <v>66</v>
      </c>
      <c r="C366" s="244">
        <f t="shared" si="41"/>
        <v>733.39284253532844</v>
      </c>
      <c r="D366" s="245">
        <v>0.27139534214317695</v>
      </c>
      <c r="E366" s="245">
        <f t="shared" si="46"/>
        <v>3.2535300328021322</v>
      </c>
      <c r="F366" s="246">
        <f t="shared" si="44"/>
        <v>3.6150533979208088</v>
      </c>
      <c r="G366" s="241">
        <f t="shared" si="42"/>
        <v>1.1132182250394025</v>
      </c>
    </row>
    <row r="367" spans="1:7" ht="18" customHeight="1">
      <c r="A367" s="242">
        <f>2023</f>
        <v>2023</v>
      </c>
      <c r="B367" s="243" t="s">
        <v>55</v>
      </c>
      <c r="C367" s="244">
        <f t="shared" si="41"/>
        <v>735.52421852174359</v>
      </c>
      <c r="D367" s="245">
        <v>0.29061859658283673</v>
      </c>
      <c r="E367" s="245">
        <f t="shared" si="46"/>
        <v>3.5536039927057006</v>
      </c>
      <c r="F367" s="246">
        <f t="shared" si="44"/>
        <v>3.5536039927057006</v>
      </c>
      <c r="G367" s="241">
        <f t="shared" si="42"/>
        <v>1.1099923807602605</v>
      </c>
    </row>
    <row r="368" spans="1:7" ht="18" customHeight="1">
      <c r="A368" s="242">
        <f>2024</f>
        <v>2024</v>
      </c>
      <c r="B368" s="243" t="s">
        <v>56</v>
      </c>
      <c r="C368" s="244">
        <f t="shared" si="41"/>
        <v>740.04662542424524</v>
      </c>
      <c r="D368" s="245">
        <v>0.6148549277671389</v>
      </c>
      <c r="E368" s="245">
        <f t="shared" ref="E368:E379" si="47">100*(C368/C$367-1)</f>
        <v>0.6148549277671389</v>
      </c>
      <c r="F368" s="246">
        <f t="shared" si="44"/>
        <v>3.3646945813980977</v>
      </c>
      <c r="G368" s="241">
        <f t="shared" si="42"/>
        <v>1.1032092443577444</v>
      </c>
    </row>
    <row r="369" spans="1:7" ht="18" customHeight="1">
      <c r="A369" s="242">
        <f>2024</f>
        <v>2024</v>
      </c>
      <c r="B369" s="243" t="s">
        <v>57</v>
      </c>
      <c r="C369" s="244">
        <f t="shared" si="41"/>
        <v>744.12992476228339</v>
      </c>
      <c r="D369" s="245">
        <v>0.55176244276464725</v>
      </c>
      <c r="E369" s="245">
        <f t="shared" si="47"/>
        <v>1.1700099091006777</v>
      </c>
      <c r="F369" s="246">
        <f t="shared" si="44"/>
        <v>3.5860371191684948</v>
      </c>
      <c r="G369" s="241">
        <f t="shared" si="42"/>
        <v>1.0971555520826453</v>
      </c>
    </row>
    <row r="370" spans="1:7" ht="18" customHeight="1">
      <c r="A370" s="242">
        <f>2024</f>
        <v>2024</v>
      </c>
      <c r="B370" s="243" t="s">
        <v>58</v>
      </c>
      <c r="C370" s="244">
        <f t="shared" si="41"/>
        <v>744.8938516210078</v>
      </c>
      <c r="D370" s="245">
        <v>0.10266041363253819</v>
      </c>
      <c r="E370" s="245">
        <f t="shared" si="47"/>
        <v>1.2738714597454459</v>
      </c>
      <c r="F370" s="246">
        <f t="shared" si="44"/>
        <v>2.9264886984009975</v>
      </c>
      <c r="G370" s="241">
        <f t="shared" si="42"/>
        <v>1.0960303627786785</v>
      </c>
    </row>
    <row r="371" spans="1:7" ht="18" customHeight="1">
      <c r="A371" s="242">
        <f>2024</f>
        <v>2024</v>
      </c>
      <c r="B371" s="243" t="s">
        <v>59</v>
      </c>
      <c r="C371" s="244">
        <f t="shared" si="41"/>
        <v>747.99968549020559</v>
      </c>
      <c r="D371" s="245">
        <v>0.41694985969329412</v>
      </c>
      <c r="E371" s="245">
        <f t="shared" si="47"/>
        <v>1.6961327247028146</v>
      </c>
      <c r="F371" s="246">
        <f t="shared" si="44"/>
        <v>2.8439063187044367</v>
      </c>
      <c r="G371" s="241">
        <f t="shared" si="42"/>
        <v>1.0914794407817578</v>
      </c>
    </row>
    <row r="372" spans="1:7" ht="18" customHeight="1">
      <c r="A372" s="242">
        <f>2024</f>
        <v>2024</v>
      </c>
      <c r="B372" s="243" t="s">
        <v>60</v>
      </c>
      <c r="C372" s="244">
        <f t="shared" si="41"/>
        <v>751.94764345563487</v>
      </c>
      <c r="D372" s="245">
        <v>0.52780208895970571</v>
      </c>
      <c r="E372" s="245">
        <f t="shared" si="47"/>
        <v>2.2328870376150389</v>
      </c>
      <c r="F372" s="246">
        <f t="shared" si="44"/>
        <v>3.3031341417057325</v>
      </c>
      <c r="G372" s="241">
        <f t="shared" si="42"/>
        <v>1.0857488357458356</v>
      </c>
    </row>
    <row r="373" spans="1:7" ht="18" customHeight="1">
      <c r="A373" s="242">
        <f>2024</f>
        <v>2024</v>
      </c>
      <c r="B373" s="243" t="s">
        <v>61</v>
      </c>
      <c r="C373" s="244">
        <f t="shared" si="41"/>
        <v>753.59078797197287</v>
      </c>
      <c r="D373" s="245">
        <v>0.21851847407710068</v>
      </c>
      <c r="E373" s="245">
        <f t="shared" si="47"/>
        <v>2.456284782374607</v>
      </c>
      <c r="F373" s="246">
        <f t="shared" si="44"/>
        <v>3.6326362359221376</v>
      </c>
      <c r="G373" s="241">
        <f t="shared" si="42"/>
        <v>1.0833814471391128</v>
      </c>
    </row>
    <row r="374" spans="1:7" ht="18" customHeight="1">
      <c r="A374" s="242">
        <f>2024</f>
        <v>2024</v>
      </c>
      <c r="B374" s="243" t="s">
        <v>62</v>
      </c>
      <c r="C374" s="244">
        <f t="shared" si="41"/>
        <v>757.64100386337327</v>
      </c>
      <c r="D374" s="245">
        <v>0.53745560004789805</v>
      </c>
      <c r="E374" s="245">
        <f t="shared" si="47"/>
        <v>3.0069418225384892</v>
      </c>
      <c r="F374" s="246">
        <f t="shared" si="44"/>
        <v>4.1172702160929608</v>
      </c>
      <c r="G374" s="241">
        <f t="shared" si="42"/>
        <v>1.0775898799835917</v>
      </c>
    </row>
    <row r="375" spans="1:7" ht="18" customHeight="1">
      <c r="A375" s="242">
        <f>2024</f>
        <v>2024</v>
      </c>
      <c r="B375" s="243" t="s">
        <v>63</v>
      </c>
      <c r="C375" s="244">
        <f t="shared" si="41"/>
        <v>756.4590225425909</v>
      </c>
      <c r="D375" s="245">
        <v>-0.15600809813027805</v>
      </c>
      <c r="E375" s="245">
        <f t="shared" si="47"/>
        <v>2.8462426516589812</v>
      </c>
      <c r="F375" s="246">
        <f t="shared" si="44"/>
        <v>4.1790294677632955</v>
      </c>
      <c r="G375" s="241">
        <f t="shared" si="42"/>
        <v>1.0792736342540128</v>
      </c>
    </row>
    <row r="376" spans="1:7" ht="18" customHeight="1">
      <c r="A376" s="242">
        <f>2024</f>
        <v>2024</v>
      </c>
      <c r="B376" s="243" t="s">
        <v>64</v>
      </c>
      <c r="C376" s="244">
        <f t="shared" si="41"/>
        <v>761.25411724768185</v>
      </c>
      <c r="D376" s="245">
        <v>0.63388690757812949</v>
      </c>
      <c r="E376" s="245">
        <f t="shared" si="47"/>
        <v>3.4981715187638818</v>
      </c>
      <c r="F376" s="246">
        <f t="shared" si="44"/>
        <v>4.5538725058897445</v>
      </c>
      <c r="G376" s="241">
        <f t="shared" si="42"/>
        <v>1.0724753534017966</v>
      </c>
    </row>
    <row r="377" spans="1:7" ht="18" customHeight="1">
      <c r="A377" s="242">
        <f>2024</f>
        <v>2024</v>
      </c>
      <c r="B377" s="243" t="s">
        <v>65</v>
      </c>
      <c r="C377" s="244">
        <f t="shared" si="41"/>
        <v>763.56895598363326</v>
      </c>
      <c r="D377" s="245">
        <v>0.30408226156080076</v>
      </c>
      <c r="E377" s="245">
        <f t="shared" si="47"/>
        <v>3.8128910993922016</v>
      </c>
      <c r="F377" s="246">
        <f t="shared" si="44"/>
        <v>4.3971528161378615</v>
      </c>
      <c r="G377" s="241">
        <f t="shared" si="42"/>
        <v>1.0692240327817624</v>
      </c>
    </row>
    <row r="378" spans="1:7" ht="18" customHeight="1">
      <c r="A378" s="242">
        <f>2024</f>
        <v>2024</v>
      </c>
      <c r="B378" s="243" t="s">
        <v>66</v>
      </c>
      <c r="C378" s="244">
        <f t="shared" si="41"/>
        <v>762.56742982632909</v>
      </c>
      <c r="D378" s="245">
        <v>-0.13116381296749413</v>
      </c>
      <c r="E378" s="245">
        <f t="shared" si="47"/>
        <v>3.676726153074461</v>
      </c>
      <c r="F378" s="246">
        <f t="shared" si="44"/>
        <v>3.9780299996035495</v>
      </c>
      <c r="G378" s="241">
        <f t="shared" si="42"/>
        <v>1.0706283096954683</v>
      </c>
    </row>
    <row r="379" spans="1:7" ht="18" customHeight="1">
      <c r="A379" s="242">
        <f>2024</f>
        <v>2024</v>
      </c>
      <c r="B379" s="243" t="s">
        <v>55</v>
      </c>
      <c r="C379" s="244">
        <f t="shared" si="41"/>
        <v>764.9083343081162</v>
      </c>
      <c r="D379" s="245">
        <v>0.30697671972697016</v>
      </c>
      <c r="E379" s="245">
        <f t="shared" si="47"/>
        <v>3.9949895661394841</v>
      </c>
      <c r="F379" s="246">
        <f t="shared" si="44"/>
        <v>3.9949895661394841</v>
      </c>
      <c r="G379" s="241">
        <f t="shared" si="42"/>
        <v>1.0673517881881411</v>
      </c>
    </row>
    <row r="380" spans="1:7" ht="18" customHeight="1">
      <c r="A380" s="242">
        <f>2025</f>
        <v>2025</v>
      </c>
      <c r="B380" s="243" t="s">
        <v>56</v>
      </c>
      <c r="C380" s="244">
        <f t="shared" si="41"/>
        <v>765.08678441422239</v>
      </c>
      <c r="D380" s="245">
        <v>2.3329606712629847E-2</v>
      </c>
      <c r="E380" s="245">
        <f t="shared" ref="E380:E385" si="48">100*(C380/C$379-1)</f>
        <v>2.3329606712629847E-2</v>
      </c>
      <c r="F380" s="246">
        <f t="shared" si="44"/>
        <v>3.3835920778130024</v>
      </c>
      <c r="G380" s="241">
        <f t="shared" si="42"/>
        <v>1.0671028372929814</v>
      </c>
    </row>
    <row r="381" spans="1:7" ht="18" customHeight="1">
      <c r="A381" s="242">
        <f>2025</f>
        <v>2025</v>
      </c>
      <c r="B381" s="243" t="s">
        <v>57</v>
      </c>
      <c r="C381" s="244">
        <f t="shared" ref="C381:C385" si="49">+C380*(1+D381/100)</f>
        <v>774.10954258813422</v>
      </c>
      <c r="D381" s="245">
        <v>1.1793117274689235</v>
      </c>
      <c r="E381" s="245">
        <f t="shared" si="48"/>
        <v>1.2029164629694833</v>
      </c>
      <c r="F381" s="246">
        <f t="shared" ref="F381:F385" si="50">+((C381/C369)-1)*100</f>
        <v>4.0288149727922828</v>
      </c>
      <c r="G381" s="241">
        <f t="shared" si="42"/>
        <v>1.0546650486882847</v>
      </c>
    </row>
    <row r="382" spans="1:7" ht="18" customHeight="1">
      <c r="A382" s="242">
        <f>2025</f>
        <v>2025</v>
      </c>
      <c r="B382" s="243" t="s">
        <v>58</v>
      </c>
      <c r="C382" s="244">
        <f t="shared" si="49"/>
        <v>777.54220080896471</v>
      </c>
      <c r="D382" s="245">
        <v>0.44343313600732071</v>
      </c>
      <c r="E382" s="245">
        <f t="shared" si="48"/>
        <v>1.6516837291721043</v>
      </c>
      <c r="F382" s="246">
        <f t="shared" si="50"/>
        <v>4.3829532378215852</v>
      </c>
      <c r="G382" s="241">
        <f t="shared" si="42"/>
        <v>1.0500089610240577</v>
      </c>
    </row>
    <row r="383" spans="1:7" ht="18" customHeight="1">
      <c r="A383" s="242">
        <f>2025</f>
        <v>2025</v>
      </c>
      <c r="B383" s="243" t="s">
        <v>59</v>
      </c>
      <c r="C383" s="244">
        <f t="shared" si="49"/>
        <v>781.58138888481926</v>
      </c>
      <c r="D383" s="245">
        <v>0.51948152417349291</v>
      </c>
      <c r="E383" s="245">
        <f t="shared" si="48"/>
        <v>2.1797454451564224</v>
      </c>
      <c r="F383" s="246">
        <f t="shared" si="50"/>
        <v>4.4895344270907911</v>
      </c>
      <c r="G383" s="241">
        <f t="shared" si="42"/>
        <v>1.0445825476840982</v>
      </c>
    </row>
    <row r="384" spans="1:7" ht="18" customHeight="1">
      <c r="A384" s="242">
        <f>2025</f>
        <v>2025</v>
      </c>
      <c r="B384" s="243" t="s">
        <v>60</v>
      </c>
      <c r="C384" s="244">
        <f t="shared" si="49"/>
        <v>784.20400392736963</v>
      </c>
      <c r="D384" s="245">
        <v>0.33555239158040706</v>
      </c>
      <c r="E384" s="245">
        <f t="shared" si="48"/>
        <v>2.522612024708426</v>
      </c>
      <c r="F384" s="246">
        <f t="shared" si="50"/>
        <v>4.2897082998356151</v>
      </c>
      <c r="G384" s="241">
        <f t="shared" si="42"/>
        <v>1.0410891481490001</v>
      </c>
    </row>
    <row r="385" spans="1:9" ht="18" customHeight="1">
      <c r="A385" s="242">
        <f>2025</f>
        <v>2025</v>
      </c>
      <c r="B385" s="243" t="s">
        <v>61</v>
      </c>
      <c r="C385" s="244">
        <f t="shared" si="49"/>
        <v>785.45215214142752</v>
      </c>
      <c r="D385" s="245">
        <v>0.15916116314211859</v>
      </c>
      <c r="E385" s="245">
        <f t="shared" si="48"/>
        <v>2.6857882064906358</v>
      </c>
      <c r="F385" s="246">
        <f t="shared" si="50"/>
        <v>4.2279397091886439</v>
      </c>
      <c r="G385" s="241">
        <f t="shared" si="42"/>
        <v>1.0394347716762964</v>
      </c>
    </row>
    <row r="386" spans="1:9" ht="18" customHeight="1">
      <c r="A386" s="242">
        <f>2025</f>
        <v>2025</v>
      </c>
      <c r="B386" s="243" t="s">
        <v>62</v>
      </c>
      <c r="C386" s="244">
        <f t="shared" ref="C386:C391" si="51">+C385*(1+D386/100)</f>
        <v>788.34444740050924</v>
      </c>
      <c r="D386" s="245">
        <v>0.36823315732170681</v>
      </c>
      <c r="E386" s="245">
        <f t="shared" ref="E386:E391" si="52">100*(C386/C$379-1)</f>
        <v>3.0639113265240825</v>
      </c>
      <c r="F386" s="246">
        <f t="shared" ref="F386:F391" si="53">+((C386/C374)-1)*100</f>
        <v>4.0525055244598152</v>
      </c>
      <c r="G386" s="241">
        <f t="shared" si="42"/>
        <v>1.0356212707730337</v>
      </c>
    </row>
    <row r="387" spans="1:9" ht="18" customHeight="1">
      <c r="A387" s="242">
        <f>2025</f>
        <v>2025</v>
      </c>
      <c r="B387" s="243" t="s">
        <v>63</v>
      </c>
      <c r="C387" s="244">
        <f t="shared" si="51"/>
        <v>784.9087815936208</v>
      </c>
      <c r="D387" s="245">
        <v>-0.43580770032911609</v>
      </c>
      <c r="E387" s="245">
        <f t="shared" si="52"/>
        <v>2.6147508647027085</v>
      </c>
      <c r="F387" s="246">
        <f t="shared" si="53"/>
        <v>3.7609121185976813</v>
      </c>
      <c r="G387" s="241">
        <f t="shared" si="42"/>
        <v>1.0401543434973026</v>
      </c>
    </row>
    <row r="388" spans="1:9" ht="18" customHeight="1">
      <c r="A388" s="237">
        <f>2025</f>
        <v>2025</v>
      </c>
      <c r="B388" s="238" t="s">
        <v>64</v>
      </c>
      <c r="C388" s="239">
        <f t="shared" si="51"/>
        <v>790.01265513399687</v>
      </c>
      <c r="D388" s="37">
        <v>0.65025053357328222</v>
      </c>
      <c r="E388" s="37">
        <f t="shared" si="52"/>
        <v>3.282003829725344</v>
      </c>
      <c r="F388" s="240">
        <f t="shared" si="53"/>
        <v>3.7777842161684116</v>
      </c>
      <c r="G388" s="241">
        <f t="shared" si="42"/>
        <v>1.0334344305982077</v>
      </c>
    </row>
    <row r="389" spans="1:9" ht="18" customHeight="1">
      <c r="A389" s="237">
        <f>2025</f>
        <v>2025</v>
      </c>
      <c r="B389" s="238" t="s">
        <v>65</v>
      </c>
      <c r="C389" s="239">
        <f t="shared" si="51"/>
        <v>791.08736588537829</v>
      </c>
      <c r="D389" s="37">
        <v>0.13603715641734571</v>
      </c>
      <c r="E389" s="37">
        <f t="shared" si="52"/>
        <v>3.422505730826142</v>
      </c>
      <c r="F389" s="240">
        <f t="shared" si="53"/>
        <v>3.6039194215662818</v>
      </c>
      <c r="G389" s="241">
        <f t="shared" si="42"/>
        <v>1.0320304856721394</v>
      </c>
    </row>
    <row r="390" spans="1:9" ht="18" customHeight="1">
      <c r="A390" s="242">
        <f>2025</f>
        <v>2025</v>
      </c>
      <c r="B390" s="243" t="s">
        <v>66</v>
      </c>
      <c r="C390" s="244">
        <f t="shared" si="51"/>
        <v>793.31899474039244</v>
      </c>
      <c r="D390" s="245">
        <v>0.282096384198538</v>
      </c>
      <c r="E390" s="245">
        <f t="shared" si="52"/>
        <v>3.7142568799403364</v>
      </c>
      <c r="F390" s="246">
        <f t="shared" si="53"/>
        <v>4.0326355035995798</v>
      </c>
      <c r="G390" s="241">
        <f t="shared" si="42"/>
        <v>1.0291273546159696</v>
      </c>
    </row>
    <row r="391" spans="1:9" ht="18" customHeight="1">
      <c r="A391" s="242">
        <f>2025</f>
        <v>2025</v>
      </c>
      <c r="B391" s="243" t="s">
        <v>55</v>
      </c>
      <c r="C391" s="244">
        <f t="shared" si="51"/>
        <v>795.53157555037285</v>
      </c>
      <c r="D391" s="245">
        <v>0.27890178158465062</v>
      </c>
      <c r="E391" s="245">
        <f t="shared" si="52"/>
        <v>4.0035177901357688</v>
      </c>
      <c r="F391" s="246">
        <f t="shared" si="53"/>
        <v>4.0035177901357688</v>
      </c>
      <c r="G391" s="241">
        <f t="shared" si="42"/>
        <v>1.0262650830156577</v>
      </c>
    </row>
    <row r="392" spans="1:9" ht="18" customHeight="1">
      <c r="A392" s="242">
        <f>2026</f>
        <v>2026</v>
      </c>
      <c r="B392" s="243" t="s">
        <v>56</v>
      </c>
      <c r="C392" s="244">
        <f t="shared" ref="C392" si="54">+C391*(1+D392/100)</f>
        <v>800.23945025978276</v>
      </c>
      <c r="D392" s="245">
        <v>0.59178979868308446</v>
      </c>
      <c r="E392" s="245">
        <f>100*(C392/C$391-1)</f>
        <v>0.59178979868308446</v>
      </c>
      <c r="F392" s="246">
        <f t="shared" ref="F392" si="55">+((C392/C380)-1)*100</f>
        <v>4.5945984902189263</v>
      </c>
      <c r="G392" s="241">
        <f t="shared" si="42"/>
        <v>1.0202274808605634</v>
      </c>
    </row>
    <row r="393" spans="1:9" ht="18" customHeight="1">
      <c r="A393" s="237">
        <f>2026</f>
        <v>2026</v>
      </c>
      <c r="B393" s="238" t="s">
        <v>57</v>
      </c>
      <c r="C393" s="239">
        <f t="shared" ref="C393" si="56">+C392*(1+D393/100)</f>
        <v>799.12363583227557</v>
      </c>
      <c r="D393" s="37">
        <v>-0.13943506873410616</v>
      </c>
      <c r="E393" s="37">
        <f>100*(C393/C$391-1)</f>
        <v>0.45152956743641504</v>
      </c>
      <c r="F393" s="240">
        <f t="shared" ref="F393" si="57">+((C393/C381)-1)*100</f>
        <v>3.2313376683757111</v>
      </c>
      <c r="G393" s="241">
        <f t="shared" si="42"/>
        <v>1.0216520220597458</v>
      </c>
    </row>
    <row r="394" spans="1:9" ht="18" customHeight="1">
      <c r="A394" s="237">
        <f>2026</f>
        <v>2026</v>
      </c>
      <c r="B394" s="238" t="s">
        <v>58</v>
      </c>
      <c r="C394" s="239">
        <f t="shared" ref="C394:C395" si="58">+C393*(1+D394/100)</f>
        <v>804.49418200312516</v>
      </c>
      <c r="D394" s="37">
        <v>0.67205447693412523</v>
      </c>
      <c r="E394" s="37">
        <f t="shared" ref="E394:E395" si="59">100*(C394/C$391-1)</f>
        <v>1.1266185690431918</v>
      </c>
      <c r="F394" s="240">
        <f t="shared" ref="F394:F395" si="60">+((C394/C382)-1)*100</f>
        <v>3.4663046155075872</v>
      </c>
      <c r="G394" s="241">
        <f t="shared" si="42"/>
        <v>1.0148317995177358</v>
      </c>
    </row>
    <row r="395" spans="1:9" ht="18" customHeight="1">
      <c r="A395" s="237">
        <f>2026</f>
        <v>2026</v>
      </c>
      <c r="B395" s="238" t="s">
        <v>59</v>
      </c>
      <c r="C395" s="239">
        <f t="shared" si="58"/>
        <v>811.54296119432217</v>
      </c>
      <c r="D395" s="37">
        <v>0.87617528490337993</v>
      </c>
      <c r="E395" s="37">
        <f t="shared" si="59"/>
        <v>2.0126650074036467</v>
      </c>
      <c r="F395" s="240">
        <f t="shared" si="60"/>
        <v>3.833455189133006</v>
      </c>
      <c r="G395" s="241">
        <f t="shared" ref="G395:G396" si="61">+$C$396/C395</f>
        <v>1.0060173243598485</v>
      </c>
    </row>
    <row r="396" spans="1:9" ht="18" customHeight="1" thickBot="1">
      <c r="A396" s="247">
        <f>2026</f>
        <v>2026</v>
      </c>
      <c r="B396" s="248" t="s">
        <v>60</v>
      </c>
      <c r="C396" s="249">
        <f t="shared" ref="C396" si="62">+C395*(1+D396/100)</f>
        <v>816.42627842378033</v>
      </c>
      <c r="D396" s="42">
        <v>0.60173243598484749</v>
      </c>
      <c r="E396" s="42">
        <f t="shared" ref="E396" si="63">100*(C396/C$391-1)</f>
        <v>2.6265083015657664</v>
      </c>
      <c r="F396" s="250">
        <f t="shared" ref="F396" si="64">+((C396/C384)-1)*100</f>
        <v>4.108914814900011</v>
      </c>
      <c r="G396" s="251">
        <f t="shared" si="61"/>
        <v>1</v>
      </c>
      <c r="I396" s="688"/>
    </row>
    <row r="397" spans="1:9" ht="18" customHeight="1">
      <c r="A397" s="175" t="s">
        <v>134</v>
      </c>
      <c r="B397" s="252"/>
      <c r="C397" s="253"/>
      <c r="D397" s="254"/>
      <c r="E397" s="254"/>
      <c r="F397" s="254"/>
      <c r="G397" s="255"/>
    </row>
    <row r="399" spans="1:9" ht="18" customHeight="1">
      <c r="A399" s="256" t="s">
        <v>88</v>
      </c>
    </row>
    <row r="400" spans="1:9" ht="18" customHeight="1">
      <c r="A400" s="256" t="s">
        <v>89</v>
      </c>
    </row>
    <row r="401" spans="1:1" ht="18" customHeight="1">
      <c r="A401" s="196" t="s">
        <v>90</v>
      </c>
    </row>
    <row r="402" spans="1:1" ht="18" customHeight="1">
      <c r="A402" s="257"/>
    </row>
    <row r="403" spans="1:1" ht="18" customHeight="1">
      <c r="A403" s="257" t="s">
        <v>138</v>
      </c>
    </row>
  </sheetData>
  <mergeCells count="6"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8396-0AEE-497D-9B37-B70E534ABFDF}">
  <sheetPr>
    <tabColor theme="9" tint="-0.249977111117893"/>
  </sheetPr>
  <dimension ref="A1:G397"/>
  <sheetViews>
    <sheetView showGridLines="0" workbookViewId="0">
      <pane ySplit="2655" topLeftCell="A301" activePane="bottomLeft"/>
      <selection pane="bottomLeft" activeCell="D314" sqref="D314"/>
      <selection activeCell="H1" sqref="H1:J1048576"/>
    </sheetView>
  </sheetViews>
  <sheetFormatPr defaultColWidth="12.42578125" defaultRowHeight="12.75"/>
  <cols>
    <col min="1" max="1" width="10.28515625" style="219" customWidth="1"/>
    <col min="2" max="2" width="11.28515625" style="219" customWidth="1"/>
    <col min="3" max="6" width="13.85546875" style="219" customWidth="1"/>
    <col min="7" max="7" width="16.42578125" style="219" customWidth="1"/>
    <col min="8" max="16384" width="12.42578125" style="219"/>
  </cols>
  <sheetData>
    <row r="1" spans="1:7" s="55" customFormat="1" ht="21" customHeight="1">
      <c r="A1" s="706" t="s">
        <v>139</v>
      </c>
      <c r="B1" s="706"/>
      <c r="C1" s="706"/>
      <c r="D1" s="706"/>
      <c r="E1" s="706"/>
      <c r="F1" s="706"/>
      <c r="G1" s="706"/>
    </row>
    <row r="2" spans="1:7" s="55" customFormat="1" ht="15.75" customHeight="1">
      <c r="A2" s="706"/>
      <c r="B2" s="706"/>
      <c r="C2" s="706"/>
      <c r="D2" s="706"/>
      <c r="E2" s="706"/>
      <c r="F2" s="706"/>
      <c r="G2" s="706"/>
    </row>
    <row r="3" spans="1:7" s="55" customFormat="1" ht="15" customHeight="1" thickBot="1">
      <c r="A3" s="707"/>
      <c r="B3" s="707"/>
      <c r="C3" s="707"/>
      <c r="D3" s="707"/>
      <c r="E3" s="707"/>
      <c r="F3" s="707"/>
      <c r="G3" s="707"/>
    </row>
    <row r="4" spans="1:7" s="55" customFormat="1" ht="17.25" customHeight="1" thickBot="1">
      <c r="A4" s="258" t="s">
        <v>140</v>
      </c>
      <c r="B4" s="56"/>
      <c r="C4" s="57"/>
      <c r="D4" s="58" t="s">
        <v>103</v>
      </c>
      <c r="E4" s="59"/>
      <c r="F4" s="59"/>
      <c r="G4" s="59"/>
    </row>
    <row r="5" spans="1:7" s="55" customFormat="1" ht="15" customHeight="1" thickBot="1">
      <c r="A5" s="259" t="s">
        <v>46</v>
      </c>
      <c r="B5" s="60"/>
      <c r="C5" s="61"/>
      <c r="D5" s="62" t="s">
        <v>47</v>
      </c>
      <c r="E5" s="63"/>
      <c r="F5" s="64"/>
      <c r="G5" s="719" t="s">
        <v>96</v>
      </c>
    </row>
    <row r="6" spans="1:7" s="55" customFormat="1" ht="15.75" customHeight="1" thickBot="1">
      <c r="A6" s="65" t="s">
        <v>49</v>
      </c>
      <c r="B6" s="66" t="s">
        <v>50</v>
      </c>
      <c r="C6" s="66" t="s">
        <v>51</v>
      </c>
      <c r="D6" s="66" t="s">
        <v>52</v>
      </c>
      <c r="E6" s="66" t="s">
        <v>53</v>
      </c>
      <c r="F6" s="66" t="s">
        <v>54</v>
      </c>
      <c r="G6" s="749"/>
    </row>
    <row r="7" spans="1:7" ht="18" hidden="1" customHeight="1">
      <c r="A7" s="213">
        <v>2000</v>
      </c>
      <c r="B7" s="260" t="s">
        <v>65</v>
      </c>
      <c r="C7" s="215">
        <v>100</v>
      </c>
      <c r="D7" s="216">
        <v>0.59012048935318528</v>
      </c>
      <c r="E7" s="216"/>
      <c r="F7" s="217"/>
      <c r="G7" s="218">
        <f t="shared" ref="G7:G70" si="0">+$C$314/C7</f>
        <v>7.3566793759980476</v>
      </c>
    </row>
    <row r="8" spans="1:7" ht="18" hidden="1" customHeight="1">
      <c r="A8" s="220">
        <v>2000</v>
      </c>
      <c r="B8" s="261" t="s">
        <v>66</v>
      </c>
      <c r="C8" s="222">
        <f>+C7*(1+D8/100)</f>
        <v>100.3579178473871</v>
      </c>
      <c r="D8" s="223">
        <v>0.35791784738710142</v>
      </c>
      <c r="E8" s="223"/>
      <c r="F8" s="224"/>
      <c r="G8" s="225">
        <f t="shared" si="0"/>
        <v>7.3304424143048168</v>
      </c>
    </row>
    <row r="9" spans="1:7" ht="18" hidden="1" customHeight="1">
      <c r="A9" s="220">
        <v>2000</v>
      </c>
      <c r="B9" s="261" t="s">
        <v>55</v>
      </c>
      <c r="C9" s="222">
        <f t="shared" ref="C9:C45" si="1">+C8*(1+D9/100)</f>
        <v>101.02320594317224</v>
      </c>
      <c r="D9" s="223">
        <v>0.66291540324385778</v>
      </c>
      <c r="E9" s="223"/>
      <c r="F9" s="224"/>
      <c r="G9" s="225">
        <f t="shared" si="0"/>
        <v>7.2821678022536132</v>
      </c>
    </row>
    <row r="10" spans="1:7" ht="18" hidden="1" customHeight="1">
      <c r="A10" s="220">
        <v>2001</v>
      </c>
      <c r="B10" s="261" t="s">
        <v>56</v>
      </c>
      <c r="C10" s="222">
        <f>+C9*(1+D10/100)</f>
        <v>101.69104694799725</v>
      </c>
      <c r="D10" s="223">
        <v>0.66107682743772322</v>
      </c>
      <c r="E10" s="223">
        <f t="shared" ref="E10:E21" si="2">100*((C10/$C$9)-1)</f>
        <v>0.66107682743772322</v>
      </c>
      <c r="F10" s="224"/>
      <c r="G10" s="225">
        <f t="shared" si="0"/>
        <v>7.2343432355063717</v>
      </c>
    </row>
    <row r="11" spans="1:7" ht="18" hidden="1" customHeight="1">
      <c r="A11" s="220">
        <v>2001</v>
      </c>
      <c r="B11" s="261" t="s">
        <v>57</v>
      </c>
      <c r="C11" s="222">
        <f t="shared" si="1"/>
        <v>101.76967654642466</v>
      </c>
      <c r="D11" s="223">
        <v>7.7322046322936266E-2</v>
      </c>
      <c r="E11" s="223">
        <f t="shared" si="2"/>
        <v>0.73891003189141546</v>
      </c>
      <c r="F11" s="224"/>
      <c r="G11" s="225">
        <f t="shared" si="0"/>
        <v>7.2287538151328636</v>
      </c>
    </row>
    <row r="12" spans="1:7" ht="18" hidden="1" customHeight="1">
      <c r="A12" s="220">
        <v>2001</v>
      </c>
      <c r="B12" s="261" t="s">
        <v>58</v>
      </c>
      <c r="C12" s="222">
        <f t="shared" si="1"/>
        <v>102.42730591509027</v>
      </c>
      <c r="D12" s="223">
        <v>0.64619382804622649</v>
      </c>
      <c r="E12" s="223">
        <f t="shared" si="2"/>
        <v>1.3898786509585426</v>
      </c>
      <c r="F12" s="224"/>
      <c r="G12" s="225">
        <f t="shared" si="0"/>
        <v>7.182341964648133</v>
      </c>
    </row>
    <row r="13" spans="1:7" ht="18" hidden="1" customHeight="1">
      <c r="A13" s="220">
        <v>2001</v>
      </c>
      <c r="B13" s="261" t="s">
        <v>59</v>
      </c>
      <c r="C13" s="222">
        <f t="shared" si="1"/>
        <v>103.70018636235993</v>
      </c>
      <c r="D13" s="223">
        <v>1.2427159299931656</v>
      </c>
      <c r="E13" s="223">
        <f t="shared" si="2"/>
        <v>2.6498668243547296</v>
      </c>
      <c r="F13" s="224"/>
      <c r="G13" s="225">
        <f t="shared" si="0"/>
        <v>7.0941814417686544</v>
      </c>
    </row>
    <row r="14" spans="1:7" ht="18" hidden="1" customHeight="1">
      <c r="A14" s="220">
        <v>2001</v>
      </c>
      <c r="B14" s="261" t="s">
        <v>60</v>
      </c>
      <c r="C14" s="222">
        <f t="shared" si="1"/>
        <v>104.51915958234409</v>
      </c>
      <c r="D14" s="223">
        <v>0.78975096257052346</v>
      </c>
      <c r="E14" s="223">
        <f t="shared" si="2"/>
        <v>3.4605451356774397</v>
      </c>
      <c r="F14" s="224"/>
      <c r="G14" s="225">
        <f t="shared" si="0"/>
        <v>7.038594077291811</v>
      </c>
    </row>
    <row r="15" spans="1:7" ht="18" hidden="1" customHeight="1">
      <c r="A15" s="220">
        <v>2001</v>
      </c>
      <c r="B15" s="261" t="s">
        <v>61</v>
      </c>
      <c r="C15" s="222">
        <f t="shared" si="1"/>
        <v>105.88751882770418</v>
      </c>
      <c r="D15" s="223">
        <v>1.3091946498881457</v>
      </c>
      <c r="E15" s="223">
        <f t="shared" si="2"/>
        <v>4.8150450573388293</v>
      </c>
      <c r="F15" s="224"/>
      <c r="G15" s="225">
        <f t="shared" si="0"/>
        <v>6.9476359985056728</v>
      </c>
    </row>
    <row r="16" spans="1:7" ht="18" hidden="1" customHeight="1">
      <c r="A16" s="220">
        <v>2001</v>
      </c>
      <c r="B16" s="261" t="s">
        <v>62</v>
      </c>
      <c r="C16" s="222">
        <f t="shared" si="1"/>
        <v>107.72306042735698</v>
      </c>
      <c r="D16" s="223">
        <v>1.7334824915857361</v>
      </c>
      <c r="E16" s="223">
        <f t="shared" si="2"/>
        <v>6.6319955119555019</v>
      </c>
      <c r="F16" s="224"/>
      <c r="G16" s="225">
        <f t="shared" si="0"/>
        <v>6.8292521088917839</v>
      </c>
    </row>
    <row r="17" spans="1:7" ht="18" hidden="1" customHeight="1">
      <c r="A17" s="220">
        <v>2001</v>
      </c>
      <c r="B17" s="261" t="s">
        <v>63</v>
      </c>
      <c r="C17" s="222">
        <f t="shared" si="1"/>
        <v>109.60812846238291</v>
      </c>
      <c r="D17" s="223">
        <v>1.7499206089647945</v>
      </c>
      <c r="E17" s="223">
        <f t="shared" si="2"/>
        <v>8.4979707771696269</v>
      </c>
      <c r="F17" s="224"/>
      <c r="G17" s="225">
        <f t="shared" si="0"/>
        <v>6.711800921336625</v>
      </c>
    </row>
    <row r="18" spans="1:7" ht="18" hidden="1" customHeight="1">
      <c r="A18" s="220">
        <v>2001</v>
      </c>
      <c r="B18" s="261" t="s">
        <v>64</v>
      </c>
      <c r="C18" s="222">
        <f t="shared" si="1"/>
        <v>109.98238492762506</v>
      </c>
      <c r="D18" s="223">
        <v>0.34144955350696726</v>
      </c>
      <c r="E18" s="223">
        <f t="shared" si="2"/>
        <v>8.8684366139524009</v>
      </c>
      <c r="F18" s="224"/>
      <c r="G18" s="225">
        <f t="shared" si="0"/>
        <v>6.688961492187298</v>
      </c>
    </row>
    <row r="19" spans="1:7" ht="18" hidden="1" customHeight="1">
      <c r="A19" s="220">
        <v>2001</v>
      </c>
      <c r="B19" s="261" t="s">
        <v>65</v>
      </c>
      <c r="C19" s="222">
        <f t="shared" si="1"/>
        <v>111.6667943121187</v>
      </c>
      <c r="D19" s="223">
        <v>1.5315265127248123</v>
      </c>
      <c r="E19" s="223">
        <f t="shared" si="2"/>
        <v>10.535785584684088</v>
      </c>
      <c r="F19" s="224">
        <f t="shared" ref="F19:F82" si="3">100*((C19/C7)-1)</f>
        <v>11.6667943121187</v>
      </c>
      <c r="G19" s="225">
        <f t="shared" si="0"/>
        <v>6.5880635522100413</v>
      </c>
    </row>
    <row r="20" spans="1:7" ht="18" hidden="1" customHeight="1">
      <c r="A20" s="220">
        <v>2001</v>
      </c>
      <c r="B20" s="261" t="s">
        <v>66</v>
      </c>
      <c r="C20" s="222">
        <f t="shared" si="1"/>
        <v>113.11633606494605</v>
      </c>
      <c r="D20" s="223">
        <v>1.2980956082394135</v>
      </c>
      <c r="E20" s="223">
        <f t="shared" si="2"/>
        <v>11.970645762891795</v>
      </c>
      <c r="F20" s="224">
        <f t="shared" si="3"/>
        <v>12.71291642076562</v>
      </c>
      <c r="G20" s="225">
        <f t="shared" si="0"/>
        <v>6.5036400858795407</v>
      </c>
    </row>
    <row r="21" spans="1:7" ht="18" hidden="1" customHeight="1">
      <c r="A21" s="220">
        <v>2001</v>
      </c>
      <c r="B21" s="261" t="s">
        <v>55</v>
      </c>
      <c r="C21" s="222">
        <f t="shared" si="1"/>
        <v>113.02800541216722</v>
      </c>
      <c r="D21" s="223">
        <v>-7.8088325569636297E-2</v>
      </c>
      <c r="E21" s="223">
        <f t="shared" si="2"/>
        <v>11.883209760486046</v>
      </c>
      <c r="F21" s="224">
        <f t="shared" si="3"/>
        <v>11.883209760486046</v>
      </c>
      <c r="G21" s="225">
        <f t="shared" si="0"/>
        <v>6.5087226384038424</v>
      </c>
    </row>
    <row r="22" spans="1:7" ht="18" hidden="1" customHeight="1">
      <c r="A22" s="220">
        <v>2002</v>
      </c>
      <c r="B22" s="261" t="s">
        <v>56</v>
      </c>
      <c r="C22" s="222">
        <f>+C21*(1+D22/100)</f>
        <v>113.18934926348579</v>
      </c>
      <c r="D22" s="223">
        <v>0.14274679158516879</v>
      </c>
      <c r="E22" s="223">
        <f t="shared" ref="E22:E28" si="4">100*((C22/$C$21)-1)</f>
        <v>0.14274679158516879</v>
      </c>
      <c r="F22" s="224">
        <f t="shared" si="3"/>
        <v>11.307094046704558</v>
      </c>
      <c r="G22" s="225">
        <f t="shared" si="0"/>
        <v>6.4994448893534438</v>
      </c>
    </row>
    <row r="23" spans="1:7" ht="18" hidden="1" customHeight="1">
      <c r="A23" s="220">
        <v>2002</v>
      </c>
      <c r="B23" s="261" t="s">
        <v>57</v>
      </c>
      <c r="C23" s="222">
        <f t="shared" si="1"/>
        <v>113.08621173827582</v>
      </c>
      <c r="D23" s="223">
        <v>-9.1119461222355369E-2</v>
      </c>
      <c r="E23" s="223">
        <f t="shared" si="4"/>
        <v>5.1497260255417565E-2</v>
      </c>
      <c r="F23" s="224">
        <f t="shared" si="3"/>
        <v>11.119751556534485</v>
      </c>
      <c r="G23" s="225">
        <f t="shared" si="0"/>
        <v>6.5053725497713026</v>
      </c>
    </row>
    <row r="24" spans="1:7" ht="18" hidden="1" customHeight="1">
      <c r="A24" s="220">
        <v>2002</v>
      </c>
      <c r="B24" s="261" t="s">
        <v>58</v>
      </c>
      <c r="C24" s="222">
        <f t="shared" si="1"/>
        <v>112.928952541421</v>
      </c>
      <c r="D24" s="223">
        <v>-0.13906133598212689</v>
      </c>
      <c r="E24" s="223">
        <f t="shared" si="4"/>
        <v>-8.7635688504816844E-2</v>
      </c>
      <c r="F24" s="224">
        <f t="shared" si="3"/>
        <v>10.252780284035135</v>
      </c>
      <c r="G24" s="225">
        <f t="shared" si="0"/>
        <v>6.5144316053934039</v>
      </c>
    </row>
    <row r="25" spans="1:7" ht="18" hidden="1" customHeight="1">
      <c r="A25" s="220">
        <v>2002</v>
      </c>
      <c r="B25" s="261" t="s">
        <v>59</v>
      </c>
      <c r="C25" s="222">
        <f t="shared" si="1"/>
        <v>113.51203696612293</v>
      </c>
      <c r="D25" s="223">
        <v>0.51632855134122746</v>
      </c>
      <c r="E25" s="223">
        <f t="shared" si="4"/>
        <v>0.42824037475548415</v>
      </c>
      <c r="F25" s="224">
        <f t="shared" si="3"/>
        <v>9.4617482841134137</v>
      </c>
      <c r="G25" s="225">
        <f t="shared" si="0"/>
        <v>6.4809685145493505</v>
      </c>
    </row>
    <row r="26" spans="1:7" ht="18" hidden="1" customHeight="1">
      <c r="A26" s="220">
        <v>2002</v>
      </c>
      <c r="B26" s="261" t="s">
        <v>60</v>
      </c>
      <c r="C26" s="222">
        <f t="shared" si="1"/>
        <v>114.43159480227725</v>
      </c>
      <c r="D26" s="223">
        <v>0.81009720266824736</v>
      </c>
      <c r="E26" s="223">
        <f t="shared" si="4"/>
        <v>1.2418067407203193</v>
      </c>
      <c r="F26" s="224">
        <f t="shared" si="3"/>
        <v>9.4838451242269741</v>
      </c>
      <c r="G26" s="225">
        <f t="shared" si="0"/>
        <v>6.4288882705073043</v>
      </c>
    </row>
    <row r="27" spans="1:7" ht="18" hidden="1" customHeight="1">
      <c r="A27" s="220">
        <v>2002</v>
      </c>
      <c r="B27" s="261" t="s">
        <v>61</v>
      </c>
      <c r="C27" s="222">
        <f t="shared" si="1"/>
        <v>117.07232391309901</v>
      </c>
      <c r="D27" s="223">
        <v>2.3076923076922995</v>
      </c>
      <c r="E27" s="223">
        <f t="shared" si="4"/>
        <v>3.5781561270446183</v>
      </c>
      <c r="F27" s="224">
        <f t="shared" si="3"/>
        <v>10.562911671954733</v>
      </c>
      <c r="G27" s="225">
        <f t="shared" si="0"/>
        <v>6.2838757531274405</v>
      </c>
    </row>
    <row r="28" spans="1:7" ht="18" hidden="1" customHeight="1">
      <c r="A28" s="220">
        <v>2002</v>
      </c>
      <c r="B28" s="261" t="s">
        <v>62</v>
      </c>
      <c r="C28" s="222">
        <f t="shared" si="1"/>
        <v>120.18074596002148</v>
      </c>
      <c r="D28" s="223">
        <v>2.6551297036093713</v>
      </c>
      <c r="E28" s="223">
        <f t="shared" si="4"/>
        <v>6.3282905168246861</v>
      </c>
      <c r="F28" s="224">
        <f t="shared" si="3"/>
        <v>11.564548466449608</v>
      </c>
      <c r="G28" s="225">
        <f t="shared" si="0"/>
        <v>6.1213460752234568</v>
      </c>
    </row>
    <row r="29" spans="1:7" ht="18" hidden="1" customHeight="1">
      <c r="A29" s="220">
        <v>2002</v>
      </c>
      <c r="B29" s="261" t="s">
        <v>63</v>
      </c>
      <c r="C29" s="222">
        <f t="shared" si="1"/>
        <v>124.0279798830768</v>
      </c>
      <c r="D29" s="223">
        <v>3.2012065596057404</v>
      </c>
      <c r="E29" s="223">
        <f>100*((C29/$C$21)-1)</f>
        <v>9.7320787275659182</v>
      </c>
      <c r="F29" s="224">
        <f t="shared" si="3"/>
        <v>13.15582304248788</v>
      </c>
      <c r="G29" s="225">
        <f t="shared" si="0"/>
        <v>5.9314675470271379</v>
      </c>
    </row>
    <row r="30" spans="1:7" ht="18" hidden="1" customHeight="1">
      <c r="A30" s="220">
        <v>2002</v>
      </c>
      <c r="B30" s="261" t="s">
        <v>64</v>
      </c>
      <c r="C30" s="222">
        <f t="shared" si="1"/>
        <v>128.28623216154813</v>
      </c>
      <c r="D30" s="223">
        <v>3.4332997138917021</v>
      </c>
      <c r="E30" s="223">
        <f>100*((C30/$C$21)-1)</f>
        <v>13.499509872566851</v>
      </c>
      <c r="F30" s="224">
        <f t="shared" si="3"/>
        <v>16.642526206326668</v>
      </c>
      <c r="G30" s="225">
        <f t="shared" si="0"/>
        <v>5.7345821543296536</v>
      </c>
    </row>
    <row r="31" spans="1:7" ht="18" hidden="1" customHeight="1">
      <c r="A31" s="220">
        <v>2002</v>
      </c>
      <c r="B31" s="261" t="s">
        <v>65</v>
      </c>
      <c r="C31" s="222">
        <f t="shared" si="1"/>
        <v>135.49973194455086</v>
      </c>
      <c r="D31" s="223">
        <v>5.6229726771606536</v>
      </c>
      <c r="E31" s="223">
        <f>100*((C31/$C$21)-1)</f>
        <v>19.881556301412552</v>
      </c>
      <c r="F31" s="224">
        <f t="shared" si="3"/>
        <v>21.342904826135655</v>
      </c>
      <c r="G31" s="225">
        <f t="shared" si="0"/>
        <v>5.4292944129280967</v>
      </c>
    </row>
    <row r="32" spans="1:7" ht="18" hidden="1" customHeight="1">
      <c r="A32" s="220">
        <v>2002</v>
      </c>
      <c r="B32" s="261" t="s">
        <v>66</v>
      </c>
      <c r="C32" s="222">
        <f t="shared" si="1"/>
        <v>144.62127594393817</v>
      </c>
      <c r="D32" s="223">
        <v>6.7317801064876059</v>
      </c>
      <c r="E32" s="223">
        <f>100*((C32/$C$21)-1)</f>
        <v>27.951719059858782</v>
      </c>
      <c r="F32" s="224">
        <f t="shared" si="3"/>
        <v>27.851803704907361</v>
      </c>
      <c r="G32" s="225">
        <f t="shared" si="0"/>
        <v>5.0868582979794992</v>
      </c>
    </row>
    <row r="33" spans="1:7" ht="18" hidden="1" customHeight="1">
      <c r="A33" s="220">
        <v>2002</v>
      </c>
      <c r="B33" s="261" t="s">
        <v>55</v>
      </c>
      <c r="C33" s="222">
        <f t="shared" si="1"/>
        <v>151.05511730617042</v>
      </c>
      <c r="D33" s="223">
        <v>4.448751624018521</v>
      </c>
      <c r="E33" s="223">
        <f>100*((C33/$C$21)-1)</f>
        <v>33.643973239493839</v>
      </c>
      <c r="F33" s="224">
        <f t="shared" si="3"/>
        <v>33.643973239493839</v>
      </c>
      <c r="G33" s="225">
        <f t="shared" si="0"/>
        <v>4.870195400985291</v>
      </c>
    </row>
    <row r="34" spans="1:7" ht="18" hidden="1" customHeight="1">
      <c r="A34" s="220">
        <v>2003</v>
      </c>
      <c r="B34" s="261" t="s">
        <v>56</v>
      </c>
      <c r="C34" s="222">
        <f t="shared" si="1"/>
        <v>154.91154170176921</v>
      </c>
      <c r="D34" s="223">
        <v>2.5529915598835995</v>
      </c>
      <c r="E34" s="223">
        <f t="shared" ref="E34:E45" si="5">100*((C34/$C$33)-1)</f>
        <v>2.5529915598835995</v>
      </c>
      <c r="F34" s="224">
        <f t="shared" si="3"/>
        <v>36.860528583092346</v>
      </c>
      <c r="G34" s="225">
        <f t="shared" si="0"/>
        <v>4.7489549811342613</v>
      </c>
    </row>
    <row r="35" spans="1:7" ht="18" hidden="1" customHeight="1">
      <c r="A35" s="220">
        <v>2003</v>
      </c>
      <c r="B35" s="261" t="s">
        <v>57</v>
      </c>
      <c r="C35" s="222">
        <f t="shared" si="1"/>
        <v>158.99568558372269</v>
      </c>
      <c r="D35" s="223">
        <v>2.6364361474215725</v>
      </c>
      <c r="E35" s="223">
        <f t="shared" si="5"/>
        <v>5.2567356996305659</v>
      </c>
      <c r="F35" s="224">
        <f t="shared" si="3"/>
        <v>40.596880149897238</v>
      </c>
      <c r="G35" s="225">
        <f t="shared" si="0"/>
        <v>4.6269679261983656</v>
      </c>
    </row>
    <row r="36" spans="1:7" ht="18" hidden="1" customHeight="1">
      <c r="A36" s="220">
        <v>2003</v>
      </c>
      <c r="B36" s="261" t="s">
        <v>58</v>
      </c>
      <c r="C36" s="222">
        <f t="shared" si="1"/>
        <v>161.73342523805877</v>
      </c>
      <c r="D36" s="223">
        <v>1.7218955623135246</v>
      </c>
      <c r="E36" s="223">
        <f t="shared" si="5"/>
        <v>7.0691467606785574</v>
      </c>
      <c r="F36" s="224">
        <f t="shared" si="3"/>
        <v>43.216971023207606</v>
      </c>
      <c r="G36" s="225">
        <f t="shared" si="0"/>
        <v>4.5486450096321152</v>
      </c>
    </row>
    <row r="37" spans="1:7" ht="18" hidden="1" customHeight="1">
      <c r="A37" s="220">
        <v>2003</v>
      </c>
      <c r="B37" s="261" t="s">
        <v>59</v>
      </c>
      <c r="C37" s="222">
        <f t="shared" si="1"/>
        <v>163.03132419391898</v>
      </c>
      <c r="D37" s="223">
        <v>0.80249271537395916</v>
      </c>
      <c r="E37" s="223">
        <f t="shared" si="5"/>
        <v>7.9283688638460692</v>
      </c>
      <c r="F37" s="224">
        <f t="shared" si="3"/>
        <v>43.624701442521726</v>
      </c>
      <c r="G37" s="225">
        <f t="shared" si="0"/>
        <v>4.5124330630152913</v>
      </c>
    </row>
    <row r="38" spans="1:7" ht="18" hidden="1" customHeight="1">
      <c r="A38" s="220">
        <v>2003</v>
      </c>
      <c r="B38" s="261" t="s">
        <v>60</v>
      </c>
      <c r="C38" s="222">
        <f t="shared" si="1"/>
        <v>161.21569528477701</v>
      </c>
      <c r="D38" s="223">
        <v>-1.1136687493149111</v>
      </c>
      <c r="E38" s="223">
        <f t="shared" si="5"/>
        <v>6.7264043481640723</v>
      </c>
      <c r="F38" s="224">
        <f t="shared" si="3"/>
        <v>40.883901481349213</v>
      </c>
      <c r="G38" s="225">
        <f t="shared" si="0"/>
        <v>4.5632525809617688</v>
      </c>
    </row>
    <row r="39" spans="1:7" ht="18" hidden="1" customHeight="1">
      <c r="A39" s="220">
        <v>2003</v>
      </c>
      <c r="B39" s="261" t="s">
        <v>61</v>
      </c>
      <c r="C39" s="222">
        <f t="shared" si="1"/>
        <v>158.52033392050242</v>
      </c>
      <c r="D39" s="223">
        <v>-1.6718976148776377</v>
      </c>
      <c r="E39" s="223">
        <f t="shared" si="5"/>
        <v>4.9420481394224502</v>
      </c>
      <c r="F39" s="224">
        <f t="shared" si="3"/>
        <v>35.403764631997589</v>
      </c>
      <c r="G39" s="225">
        <f t="shared" si="0"/>
        <v>4.6408427197027011</v>
      </c>
    </row>
    <row r="40" spans="1:7" ht="18" hidden="1" customHeight="1">
      <c r="A40" s="220">
        <v>2003</v>
      </c>
      <c r="B40" s="261" t="s">
        <v>62</v>
      </c>
      <c r="C40" s="222">
        <f t="shared" si="1"/>
        <v>157.33118888973985</v>
      </c>
      <c r="D40" s="223">
        <v>-0.75015299384804113</v>
      </c>
      <c r="E40" s="223">
        <f t="shared" si="5"/>
        <v>4.1548222234991217</v>
      </c>
      <c r="F40" s="224">
        <f t="shared" si="3"/>
        <v>30.912142068145076</v>
      </c>
      <c r="G40" s="225">
        <f t="shared" si="0"/>
        <v>4.6759192680821364</v>
      </c>
    </row>
    <row r="41" spans="1:7" ht="18" hidden="1" customHeight="1">
      <c r="A41" s="220">
        <v>2003</v>
      </c>
      <c r="B41" s="261" t="s">
        <v>63</v>
      </c>
      <c r="C41" s="222">
        <f t="shared" si="1"/>
        <v>157.64315437440962</v>
      </c>
      <c r="D41" s="223">
        <v>0.19828584965972951</v>
      </c>
      <c r="E41" s="223">
        <f t="shared" si="5"/>
        <v>4.3613464977065641</v>
      </c>
      <c r="F41" s="224">
        <f t="shared" si="3"/>
        <v>27.102896074758618</v>
      </c>
      <c r="G41" s="225">
        <f t="shared" si="0"/>
        <v>4.666665929892269</v>
      </c>
    </row>
    <row r="42" spans="1:7" ht="18" hidden="1" customHeight="1">
      <c r="A42" s="220">
        <v>2003</v>
      </c>
      <c r="B42" s="261" t="s">
        <v>64</v>
      </c>
      <c r="C42" s="222">
        <f t="shared" si="1"/>
        <v>160.07301319853971</v>
      </c>
      <c r="D42" s="223">
        <v>1.541366533658084</v>
      </c>
      <c r="E42" s="223">
        <f t="shared" si="5"/>
        <v>5.9699373666971534</v>
      </c>
      <c r="F42" s="224">
        <f t="shared" si="3"/>
        <v>24.778014367873212</v>
      </c>
      <c r="G42" s="225">
        <f t="shared" si="0"/>
        <v>4.5958273846407236</v>
      </c>
    </row>
    <row r="43" spans="1:7" ht="18" hidden="1" customHeight="1">
      <c r="A43" s="220">
        <v>2003</v>
      </c>
      <c r="B43" s="261" t="s">
        <v>65</v>
      </c>
      <c r="C43" s="222">
        <f t="shared" si="1"/>
        <v>160.65252355058584</v>
      </c>
      <c r="D43" s="223">
        <v>0.36202876454094479</v>
      </c>
      <c r="E43" s="223">
        <f t="shared" si="5"/>
        <v>6.3535790217306154</v>
      </c>
      <c r="F43" s="224">
        <f t="shared" si="3"/>
        <v>18.562982557285057</v>
      </c>
      <c r="G43" s="225">
        <f t="shared" si="0"/>
        <v>4.5792491853896067</v>
      </c>
    </row>
    <row r="44" spans="1:7" ht="18" hidden="1" customHeight="1">
      <c r="A44" s="220">
        <v>2003</v>
      </c>
      <c r="B44" s="261" t="s">
        <v>66</v>
      </c>
      <c r="C44" s="222">
        <f t="shared" si="1"/>
        <v>161.57361313216404</v>
      </c>
      <c r="D44" s="223">
        <v>0.57334274073084224</v>
      </c>
      <c r="E44" s="223">
        <f t="shared" si="5"/>
        <v>6.9633495465591499</v>
      </c>
      <c r="F44" s="224">
        <f t="shared" si="3"/>
        <v>11.721883296616298</v>
      </c>
      <c r="G44" s="225">
        <f t="shared" si="0"/>
        <v>4.5531440644212298</v>
      </c>
    </row>
    <row r="45" spans="1:7" ht="18" hidden="1" customHeight="1">
      <c r="A45" s="220">
        <v>2003</v>
      </c>
      <c r="B45" s="261" t="s">
        <v>55</v>
      </c>
      <c r="C45" s="222">
        <f t="shared" si="1"/>
        <v>162.60754129330368</v>
      </c>
      <c r="D45" s="223">
        <v>0.63991151840734339</v>
      </c>
      <c r="E45" s="223">
        <f t="shared" si="5"/>
        <v>7.6478203407819079</v>
      </c>
      <c r="F45" s="224">
        <f t="shared" si="3"/>
        <v>7.6478203407819079</v>
      </c>
      <c r="G45" s="225">
        <f t="shared" si="0"/>
        <v>4.5241932308221928</v>
      </c>
    </row>
    <row r="46" spans="1:7" ht="18" hidden="1" customHeight="1">
      <c r="A46" s="220">
        <v>2004</v>
      </c>
      <c r="B46" s="261" t="s">
        <v>56</v>
      </c>
      <c r="C46" s="222">
        <f>+C45*(1+D46/100)</f>
        <v>164.19800362513078</v>
      </c>
      <c r="D46" s="223">
        <v>0.97809875186434247</v>
      </c>
      <c r="E46" s="223">
        <f t="shared" ref="E46:E57" si="6">100*((C46/$C$45)-1)</f>
        <v>0.97809875186434247</v>
      </c>
      <c r="F46" s="224">
        <f t="shared" si="3"/>
        <v>5.9946869170275141</v>
      </c>
      <c r="G46" s="225">
        <f t="shared" si="0"/>
        <v>4.4803707801427226</v>
      </c>
    </row>
    <row r="47" spans="1:7" ht="18" hidden="1" customHeight="1">
      <c r="A47" s="220">
        <v>2004</v>
      </c>
      <c r="B47" s="261" t="s">
        <v>57</v>
      </c>
      <c r="C47" s="222">
        <f t="shared" ref="C47:C110" si="7">+C46*(1+D47/100)</f>
        <v>165.4938602537591</v>
      </c>
      <c r="D47" s="223">
        <v>0.78920364439192259</v>
      </c>
      <c r="E47" s="223">
        <f t="shared" si="6"/>
        <v>1.775021587251735</v>
      </c>
      <c r="F47" s="224">
        <f t="shared" si="3"/>
        <v>4.0870132080500055</v>
      </c>
      <c r="G47" s="225">
        <f t="shared" si="0"/>
        <v>4.4452884020698553</v>
      </c>
    </row>
    <row r="48" spans="1:7" ht="18" hidden="1" customHeight="1">
      <c r="A48" s="220">
        <v>2004</v>
      </c>
      <c r="B48" s="261" t="s">
        <v>58</v>
      </c>
      <c r="C48" s="222">
        <f t="shared" si="7"/>
        <v>167.69599959153447</v>
      </c>
      <c r="D48" s="223">
        <v>1.3306471517425145</v>
      </c>
      <c r="E48" s="223">
        <f t="shared" si="6"/>
        <v>3.1292880131878142</v>
      </c>
      <c r="F48" s="224">
        <f t="shared" si="3"/>
        <v>3.6866679504865996</v>
      </c>
      <c r="G48" s="225">
        <f t="shared" si="0"/>
        <v>4.3869140551456676</v>
      </c>
    </row>
    <row r="49" spans="1:7" ht="18" hidden="1" customHeight="1">
      <c r="A49" s="220">
        <v>2004</v>
      </c>
      <c r="B49" s="261" t="s">
        <v>59</v>
      </c>
      <c r="C49" s="222">
        <f t="shared" si="7"/>
        <v>170.46845880881256</v>
      </c>
      <c r="D49" s="223">
        <v>1.6532649699641633</v>
      </c>
      <c r="E49" s="223">
        <f t="shared" si="6"/>
        <v>4.8342884056832958</v>
      </c>
      <c r="F49" s="224">
        <f t="shared" si="3"/>
        <v>4.561782621631294</v>
      </c>
      <c r="G49" s="225">
        <f t="shared" si="0"/>
        <v>4.3155663091017136</v>
      </c>
    </row>
    <row r="50" spans="1:7" ht="18" hidden="1" customHeight="1">
      <c r="A50" s="220">
        <v>2004</v>
      </c>
      <c r="B50" s="261" t="s">
        <v>60</v>
      </c>
      <c r="C50" s="222">
        <f t="shared" si="7"/>
        <v>173.06425672053297</v>
      </c>
      <c r="D50" s="223">
        <v>1.5227438142276561</v>
      </c>
      <c r="E50" s="223">
        <f t="shared" si="6"/>
        <v>6.4306460475704208</v>
      </c>
      <c r="F50" s="224">
        <f t="shared" si="3"/>
        <v>7.3495086286891942</v>
      </c>
      <c r="G50" s="225">
        <f t="shared" si="0"/>
        <v>4.2508369523567975</v>
      </c>
    </row>
    <row r="51" spans="1:7" ht="18" hidden="1" customHeight="1">
      <c r="A51" s="220">
        <v>2004</v>
      </c>
      <c r="B51" s="261" t="s">
        <v>61</v>
      </c>
      <c r="C51" s="222">
        <f t="shared" si="7"/>
        <v>176.05677669704619</v>
      </c>
      <c r="D51" s="223">
        <v>1.7291380861766292</v>
      </c>
      <c r="E51" s="223">
        <f t="shared" si="6"/>
        <v>8.2709788837427958</v>
      </c>
      <c r="F51" s="224">
        <f t="shared" si="3"/>
        <v>11.062582536154796</v>
      </c>
      <c r="G51" s="225">
        <f t="shared" si="0"/>
        <v>4.1785834740444132</v>
      </c>
    </row>
    <row r="52" spans="1:7" ht="18" hidden="1" customHeight="1">
      <c r="A52" s="220">
        <v>2004</v>
      </c>
      <c r="B52" s="261" t="s">
        <v>62</v>
      </c>
      <c r="C52" s="222">
        <f t="shared" si="7"/>
        <v>178.83434173240397</v>
      </c>
      <c r="D52" s="223">
        <v>1.5776530091411001</v>
      </c>
      <c r="E52" s="223">
        <f t="shared" si="6"/>
        <v>9.9791192401287088</v>
      </c>
      <c r="F52" s="224">
        <f t="shared" si="3"/>
        <v>13.667444449131994</v>
      </c>
      <c r="G52" s="225">
        <f t="shared" si="0"/>
        <v>4.1136838175109016</v>
      </c>
    </row>
    <row r="53" spans="1:7" ht="18" hidden="1" customHeight="1">
      <c r="A53" s="220">
        <v>2004</v>
      </c>
      <c r="B53" s="261" t="s">
        <v>63</v>
      </c>
      <c r="C53" s="222">
        <f t="shared" si="7"/>
        <v>181.37244389982374</v>
      </c>
      <c r="D53" s="223">
        <v>1.4192476360147976</v>
      </c>
      <c r="E53" s="223">
        <f t="shared" si="6"/>
        <v>11.539995290054117</v>
      </c>
      <c r="F53" s="224">
        <f t="shared" si="3"/>
        <v>15.052534072653723</v>
      </c>
      <c r="G53" s="225">
        <f t="shared" si="0"/>
        <v>4.0561174662570654</v>
      </c>
    </row>
    <row r="54" spans="1:7" ht="18" hidden="1" customHeight="1">
      <c r="A54" s="220">
        <v>2004</v>
      </c>
      <c r="B54" s="261" t="s">
        <v>64</v>
      </c>
      <c r="C54" s="222">
        <f t="shared" si="7"/>
        <v>183.00630568532836</v>
      </c>
      <c r="D54" s="223">
        <v>0.90083242546317166</v>
      </c>
      <c r="E54" s="223">
        <f t="shared" si="6"/>
        <v>12.544783734987019</v>
      </c>
      <c r="F54" s="224">
        <f t="shared" si="3"/>
        <v>14.32677003358731</v>
      </c>
      <c r="G54" s="225">
        <f t="shared" si="0"/>
        <v>4.0199048598071521</v>
      </c>
    </row>
    <row r="55" spans="1:7" ht="18" hidden="1" customHeight="1">
      <c r="A55" s="220">
        <v>2004</v>
      </c>
      <c r="B55" s="261" t="s">
        <v>65</v>
      </c>
      <c r="C55" s="222">
        <f t="shared" si="7"/>
        <v>183.8150672691531</v>
      </c>
      <c r="D55" s="223">
        <v>0.44193099292184623</v>
      </c>
      <c r="E55" s="223">
        <f t="shared" si="6"/>
        <v>13.042154015228791</v>
      </c>
      <c r="F55" s="224">
        <f t="shared" si="3"/>
        <v>14.417790151471799</v>
      </c>
      <c r="G55" s="225">
        <f t="shared" si="0"/>
        <v>4.0022178188613635</v>
      </c>
    </row>
    <row r="56" spans="1:7" ht="18" hidden="1" customHeight="1">
      <c r="A56" s="220">
        <v>2004</v>
      </c>
      <c r="B56" s="261" t="s">
        <v>66</v>
      </c>
      <c r="C56" s="222">
        <f t="shared" si="7"/>
        <v>185.63937606903056</v>
      </c>
      <c r="D56" s="223">
        <v>0.9924696745377215</v>
      </c>
      <c r="E56" s="223">
        <f t="shared" si="6"/>
        <v>14.16406311327416</v>
      </c>
      <c r="F56" s="224">
        <f t="shared" si="3"/>
        <v>14.894612103017835</v>
      </c>
      <c r="G56" s="225">
        <f t="shared" si="0"/>
        <v>3.9628873635421207</v>
      </c>
    </row>
    <row r="57" spans="1:7" ht="18" hidden="1" customHeight="1">
      <c r="A57" s="220">
        <v>2004</v>
      </c>
      <c r="B57" s="261" t="s">
        <v>55</v>
      </c>
      <c r="C57" s="222">
        <f t="shared" si="7"/>
        <v>187.14508182073465</v>
      </c>
      <c r="D57" s="223">
        <v>0.81109179721881031</v>
      </c>
      <c r="E57" s="223">
        <f t="shared" si="6"/>
        <v>15.090038464557631</v>
      </c>
      <c r="F57" s="224">
        <f t="shared" si="3"/>
        <v>15.090038464557631</v>
      </c>
      <c r="G57" s="225">
        <f t="shared" si="0"/>
        <v>3.9310033180807684</v>
      </c>
    </row>
    <row r="58" spans="1:7" ht="18" hidden="1" customHeight="1">
      <c r="A58" s="220">
        <v>2005</v>
      </c>
      <c r="B58" s="261" t="s">
        <v>56</v>
      </c>
      <c r="C58" s="222">
        <f t="shared" si="7"/>
        <v>187.51474304970506</v>
      </c>
      <c r="D58" s="223">
        <v>0.19752655286153775</v>
      </c>
      <c r="E58" s="223">
        <f t="shared" ref="E58:E69" si="8">100*((C58/$C$57)-1)</f>
        <v>0.19752655286153775</v>
      </c>
      <c r="F58" s="224">
        <f t="shared" si="3"/>
        <v>14.200379365030003</v>
      </c>
      <c r="G58" s="225">
        <f t="shared" si="0"/>
        <v>3.9232538499908736</v>
      </c>
    </row>
    <row r="59" spans="1:7" ht="18" hidden="1" customHeight="1">
      <c r="A59" s="220">
        <v>2005</v>
      </c>
      <c r="B59" s="261" t="s">
        <v>57</v>
      </c>
      <c r="C59" s="222">
        <f t="shared" si="7"/>
        <v>187.89461591483484</v>
      </c>
      <c r="D59" s="223">
        <v>0.20258293238792913</v>
      </c>
      <c r="E59" s="223">
        <f t="shared" si="8"/>
        <v>0.40050964033251368</v>
      </c>
      <c r="F59" s="224">
        <f t="shared" si="3"/>
        <v>13.535701944910628</v>
      </c>
      <c r="G59" s="225">
        <f t="shared" si="0"/>
        <v>3.9153220757174529</v>
      </c>
    </row>
    <row r="60" spans="1:7" ht="18" hidden="1" customHeight="1">
      <c r="A60" s="220">
        <v>2005</v>
      </c>
      <c r="B60" s="261" t="s">
        <v>58</v>
      </c>
      <c r="C60" s="222">
        <f t="shared" si="7"/>
        <v>189.6607183886037</v>
      </c>
      <c r="D60" s="223">
        <v>0.93994309798071107</v>
      </c>
      <c r="E60" s="223">
        <f t="shared" si="8"/>
        <v>1.3442173010342673</v>
      </c>
      <c r="F60" s="224">
        <f t="shared" si="3"/>
        <v>13.097938442520874</v>
      </c>
      <c r="G60" s="225">
        <f t="shared" si="0"/>
        <v>3.8788629709419546</v>
      </c>
    </row>
    <row r="61" spans="1:7" ht="18" hidden="1" customHeight="1">
      <c r="A61" s="220">
        <v>2005</v>
      </c>
      <c r="B61" s="261" t="s">
        <v>59</v>
      </c>
      <c r="C61" s="222">
        <f t="shared" si="7"/>
        <v>191.4727732250899</v>
      </c>
      <c r="D61" s="223">
        <v>0.95541915684058676</v>
      </c>
      <c r="E61" s="223">
        <f t="shared" si="8"/>
        <v>2.3124793674784927</v>
      </c>
      <c r="F61" s="224">
        <f t="shared" si="3"/>
        <v>12.32152537956277</v>
      </c>
      <c r="G61" s="225">
        <f t="shared" si="0"/>
        <v>3.8421542927932353</v>
      </c>
    </row>
    <row r="62" spans="1:7" ht="18" hidden="1" customHeight="1">
      <c r="A62" s="220">
        <v>2005</v>
      </c>
      <c r="B62" s="261" t="s">
        <v>60</v>
      </c>
      <c r="C62" s="222">
        <f t="shared" si="7"/>
        <v>189.99055423655244</v>
      </c>
      <c r="D62" s="223">
        <v>-0.77411475457922485</v>
      </c>
      <c r="E62" s="223">
        <f t="shared" si="8"/>
        <v>1.5204633689190228</v>
      </c>
      <c r="F62" s="224">
        <f t="shared" si="3"/>
        <v>9.7803543243203173</v>
      </c>
      <c r="G62" s="225">
        <f t="shared" si="0"/>
        <v>3.8721290148132481</v>
      </c>
    </row>
    <row r="63" spans="1:7" ht="18" hidden="1" customHeight="1">
      <c r="A63" s="220">
        <v>2005</v>
      </c>
      <c r="B63" s="261" t="s">
        <v>61</v>
      </c>
      <c r="C63" s="222">
        <f t="shared" si="7"/>
        <v>188.08608409282365</v>
      </c>
      <c r="D63" s="223">
        <v>-1.002402541211378</v>
      </c>
      <c r="E63" s="223">
        <f t="shared" si="8"/>
        <v>0.50281966425940183</v>
      </c>
      <c r="F63" s="224">
        <f t="shared" si="3"/>
        <v>6.8326295763537548</v>
      </c>
      <c r="G63" s="225">
        <f t="shared" si="0"/>
        <v>3.9113363497787548</v>
      </c>
    </row>
    <row r="64" spans="1:7" ht="18" hidden="1" customHeight="1">
      <c r="A64" s="220">
        <v>2005</v>
      </c>
      <c r="B64" s="261" t="s">
        <v>62</v>
      </c>
      <c r="C64" s="222">
        <f t="shared" si="7"/>
        <v>186.85660309923148</v>
      </c>
      <c r="D64" s="223">
        <v>-0.65367993571784355</v>
      </c>
      <c r="E64" s="223">
        <f t="shared" si="8"/>
        <v>-0.15414710271653975</v>
      </c>
      <c r="F64" s="224">
        <f t="shared" si="3"/>
        <v>4.4858617696770464</v>
      </c>
      <c r="G64" s="225">
        <f t="shared" si="0"/>
        <v>3.9370722008101757</v>
      </c>
    </row>
    <row r="65" spans="1:7" ht="18" hidden="1" customHeight="1">
      <c r="A65" s="220">
        <v>2005</v>
      </c>
      <c r="B65" s="261" t="s">
        <v>63</v>
      </c>
      <c r="C65" s="222">
        <f t="shared" si="7"/>
        <v>185.20793444129575</v>
      </c>
      <c r="D65" s="223">
        <v>-0.88231757967910385</v>
      </c>
      <c r="E65" s="223">
        <f t="shared" si="8"/>
        <v>-1.0351046154098098</v>
      </c>
      <c r="F65" s="224">
        <f t="shared" si="3"/>
        <v>2.1147041187747684</v>
      </c>
      <c r="G65" s="225">
        <f t="shared" si="0"/>
        <v>3.9721189041875795</v>
      </c>
    </row>
    <row r="66" spans="1:7" ht="18" hidden="1" customHeight="1">
      <c r="A66" s="220">
        <v>2005</v>
      </c>
      <c r="B66" s="261" t="s">
        <v>64</v>
      </c>
      <c r="C66" s="222">
        <f t="shared" si="7"/>
        <v>183.79260166960242</v>
      </c>
      <c r="D66" s="223">
        <v>-0.76418581955620679</v>
      </c>
      <c r="E66" s="223">
        <f t="shared" si="8"/>
        <v>-1.7913803122774796</v>
      </c>
      <c r="F66" s="224">
        <f t="shared" si="3"/>
        <v>0.42965513200734495</v>
      </c>
      <c r="G66" s="225">
        <f t="shared" si="0"/>
        <v>4.0027070236607756</v>
      </c>
    </row>
    <row r="67" spans="1:7" ht="18" hidden="1" customHeight="1">
      <c r="A67" s="220">
        <v>2005</v>
      </c>
      <c r="B67" s="261" t="s">
        <v>65</v>
      </c>
      <c r="C67" s="222">
        <f t="shared" si="7"/>
        <v>185.11960378851691</v>
      </c>
      <c r="D67" s="223">
        <v>0.72201062875207889</v>
      </c>
      <c r="E67" s="223">
        <f t="shared" si="8"/>
        <v>-1.0823036397814234</v>
      </c>
      <c r="F67" s="224">
        <f t="shared" si="3"/>
        <v>0.70970053692802626</v>
      </c>
      <c r="G67" s="225">
        <f t="shared" si="0"/>
        <v>3.9740142186142617</v>
      </c>
    </row>
    <row r="68" spans="1:7" ht="18" hidden="1" customHeight="1">
      <c r="A68" s="220">
        <v>2005</v>
      </c>
      <c r="B68" s="261" t="s">
        <v>66</v>
      </c>
      <c r="C68" s="222">
        <f t="shared" si="7"/>
        <v>185.8527992647621</v>
      </c>
      <c r="D68" s="223">
        <v>0.39606581974040989</v>
      </c>
      <c r="E68" s="223">
        <f t="shared" si="8"/>
        <v>-0.69052445482399305</v>
      </c>
      <c r="F68" s="224">
        <f t="shared" si="3"/>
        <v>0.11496655518394849</v>
      </c>
      <c r="G68" s="225">
        <f t="shared" si="0"/>
        <v>3.9583366003101585</v>
      </c>
    </row>
    <row r="69" spans="1:7" ht="18" hidden="1" customHeight="1">
      <c r="A69" s="220">
        <v>2005</v>
      </c>
      <c r="B69" s="261" t="s">
        <v>55</v>
      </c>
      <c r="C69" s="222">
        <f t="shared" si="7"/>
        <v>185.35549258379916</v>
      </c>
      <c r="D69" s="223">
        <v>-0.26758094735742644</v>
      </c>
      <c r="E69" s="223">
        <f t="shared" si="8"/>
        <v>-0.95625769030346364</v>
      </c>
      <c r="F69" s="224">
        <f t="shared" si="3"/>
        <v>-0.95625769030346364</v>
      </c>
      <c r="G69" s="225">
        <f t="shared" si="0"/>
        <v>3.9689567724420658</v>
      </c>
    </row>
    <row r="70" spans="1:7" ht="18" hidden="1" customHeight="1">
      <c r="A70" s="220">
        <v>2006</v>
      </c>
      <c r="B70" s="261" t="s">
        <v>70</v>
      </c>
      <c r="C70" s="222">
        <f t="shared" si="7"/>
        <v>187.40343621556752</v>
      </c>
      <c r="D70" s="223">
        <v>1.1048734532873361</v>
      </c>
      <c r="E70" s="223">
        <f t="shared" ref="E70:E81" si="9">100*((C70/$C$69)-1)</f>
        <v>1.1048734532873361</v>
      </c>
      <c r="F70" s="224">
        <f t="shared" si="3"/>
        <v>-5.9358977500789667E-2</v>
      </c>
      <c r="G70" s="225">
        <f t="shared" si="0"/>
        <v>3.9255840365358954</v>
      </c>
    </row>
    <row r="71" spans="1:7" ht="18" hidden="1" customHeight="1">
      <c r="A71" s="220">
        <v>2006</v>
      </c>
      <c r="B71" s="261" t="s">
        <v>71</v>
      </c>
      <c r="C71" s="222">
        <f t="shared" si="7"/>
        <v>187.28344949069452</v>
      </c>
      <c r="D71" s="223">
        <v>-6.4025893706121106E-2</v>
      </c>
      <c r="E71" s="223">
        <f t="shared" si="9"/>
        <v>1.0401401544784195</v>
      </c>
      <c r="F71" s="224">
        <f t="shared" si="3"/>
        <v>-0.32527085524224342</v>
      </c>
      <c r="G71" s="225">
        <f t="shared" ref="G71:G134" si="10">+$C$314/C71</f>
        <v>3.9280990370500284</v>
      </c>
    </row>
    <row r="72" spans="1:7" ht="18" hidden="1" customHeight="1">
      <c r="A72" s="220">
        <v>2006</v>
      </c>
      <c r="B72" s="261" t="s">
        <v>72</v>
      </c>
      <c r="C72" s="222">
        <f t="shared" si="7"/>
        <v>186.3919736539786</v>
      </c>
      <c r="D72" s="223">
        <v>-0.47600353322210243</v>
      </c>
      <c r="E72" s="223">
        <f t="shared" si="9"/>
        <v>0.55918551737055289</v>
      </c>
      <c r="F72" s="224">
        <f t="shared" si="3"/>
        <v>-1.7234695525763177</v>
      </c>
      <c r="G72" s="225">
        <f t="shared" si="10"/>
        <v>3.9468863555547298</v>
      </c>
    </row>
    <row r="73" spans="1:7" ht="18" hidden="1" customHeight="1">
      <c r="A73" s="220">
        <v>2006</v>
      </c>
      <c r="B73" s="261" t="s">
        <v>73</v>
      </c>
      <c r="C73" s="222">
        <f t="shared" si="7"/>
        <v>184.96591866431788</v>
      </c>
      <c r="D73" s="223">
        <v>-0.76508390447544983</v>
      </c>
      <c r="E73" s="223">
        <f t="shared" si="9"/>
        <v>-0.21017662549447369</v>
      </c>
      <c r="F73" s="224">
        <f t="shared" si="3"/>
        <v>-3.3983184403574396</v>
      </c>
      <c r="G73" s="225">
        <f t="shared" si="10"/>
        <v>3.9773161613352062</v>
      </c>
    </row>
    <row r="74" spans="1:7" ht="18" hidden="1" customHeight="1">
      <c r="A74" s="220">
        <v>2006</v>
      </c>
      <c r="B74" s="261" t="s">
        <v>74</v>
      </c>
      <c r="C74" s="222">
        <f t="shared" si="7"/>
        <v>185.76344744836732</v>
      </c>
      <c r="D74" s="223">
        <v>0.4311760727644165</v>
      </c>
      <c r="E74" s="223">
        <f t="shared" si="9"/>
        <v>0.22009321595026776</v>
      </c>
      <c r="F74" s="224">
        <f t="shared" si="3"/>
        <v>-2.2249036564849778</v>
      </c>
      <c r="G74" s="225">
        <f t="shared" si="10"/>
        <v>3.9602405516525665</v>
      </c>
    </row>
    <row r="75" spans="1:7" ht="18" hidden="1" customHeight="1">
      <c r="A75" s="220">
        <v>2006</v>
      </c>
      <c r="B75" s="261" t="s">
        <v>75</v>
      </c>
      <c r="C75" s="222">
        <f t="shared" si="7"/>
        <v>187.81853922544727</v>
      </c>
      <c r="D75" s="223">
        <v>1.1062950248332148</v>
      </c>
      <c r="E75" s="223">
        <f t="shared" si="9"/>
        <v>1.3288231210815349</v>
      </c>
      <c r="F75" s="224">
        <f t="shared" si="3"/>
        <v>-0.14224596607814721</v>
      </c>
      <c r="G75" s="225">
        <f t="shared" si="10"/>
        <v>3.9169079933943505</v>
      </c>
    </row>
    <row r="76" spans="1:7" ht="18" hidden="1" customHeight="1">
      <c r="A76" s="220">
        <v>2006</v>
      </c>
      <c r="B76" s="261" t="s">
        <v>76</v>
      </c>
      <c r="C76" s="222">
        <f t="shared" si="7"/>
        <v>188.21985652651185</v>
      </c>
      <c r="D76" s="223">
        <v>0.21367289018410229</v>
      </c>
      <c r="E76" s="223">
        <f t="shared" si="9"/>
        <v>1.5453353460338937</v>
      </c>
      <c r="F76" s="224">
        <f t="shared" si="3"/>
        <v>0.72957198443579507</v>
      </c>
      <c r="G76" s="225">
        <f t="shared" si="10"/>
        <v>3.908556467825071</v>
      </c>
    </row>
    <row r="77" spans="1:7" ht="18" hidden="1" customHeight="1">
      <c r="A77" s="220">
        <v>2006</v>
      </c>
      <c r="B77" s="261" t="s">
        <v>77</v>
      </c>
      <c r="C77" s="222">
        <f t="shared" si="7"/>
        <v>189.0944831635648</v>
      </c>
      <c r="D77" s="223">
        <v>0.46468351065274138</v>
      </c>
      <c r="E77" s="223">
        <f t="shared" si="9"/>
        <v>2.0171997752239434</v>
      </c>
      <c r="F77" s="224">
        <f t="shared" si="3"/>
        <v>2.0984785203686629</v>
      </c>
      <c r="G77" s="225">
        <f t="shared" si="10"/>
        <v>3.8904780578048883</v>
      </c>
    </row>
    <row r="78" spans="1:7" ht="18" hidden="1" customHeight="1">
      <c r="A78" s="220">
        <v>2006</v>
      </c>
      <c r="B78" s="261" t="s">
        <v>79</v>
      </c>
      <c r="C78" s="222">
        <f t="shared" si="7"/>
        <v>189.78223685890063</v>
      </c>
      <c r="D78" s="223">
        <v>0.36370902198183952</v>
      </c>
      <c r="E78" s="223">
        <f t="shared" si="9"/>
        <v>2.388245534779676</v>
      </c>
      <c r="F78" s="224">
        <f t="shared" si="3"/>
        <v>3.2589098445135356</v>
      </c>
      <c r="G78" s="225">
        <f t="shared" si="10"/>
        <v>3.8763793165045231</v>
      </c>
    </row>
    <row r="79" spans="1:7" ht="18" hidden="1" customHeight="1">
      <c r="A79" s="220">
        <v>2006</v>
      </c>
      <c r="B79" s="261" t="s">
        <v>78</v>
      </c>
      <c r="C79" s="222">
        <f t="shared" si="7"/>
        <v>191.01069668887689</v>
      </c>
      <c r="D79" s="223">
        <v>0.64729968953289863</v>
      </c>
      <c r="E79" s="223">
        <f t="shared" si="9"/>
        <v>3.0510043302445</v>
      </c>
      <c r="F79" s="224">
        <f t="shared" si="3"/>
        <v>3.1823171505326098</v>
      </c>
      <c r="G79" s="225">
        <f t="shared" si="10"/>
        <v>3.8514488997340264</v>
      </c>
    </row>
    <row r="80" spans="1:7" ht="18" hidden="1" customHeight="1">
      <c r="A80" s="220">
        <v>2006</v>
      </c>
      <c r="B80" s="261" t="s">
        <v>66</v>
      </c>
      <c r="C80" s="222">
        <f t="shared" si="7"/>
        <v>192.95346046820345</v>
      </c>
      <c r="D80" s="223">
        <v>1.0170968500737843</v>
      </c>
      <c r="E80" s="223">
        <f t="shared" si="9"/>
        <v>4.0991328492568035</v>
      </c>
      <c r="F80" s="224">
        <f t="shared" si="3"/>
        <v>3.8205834033879116</v>
      </c>
      <c r="G80" s="225">
        <f t="shared" si="10"/>
        <v>3.8126703497034953</v>
      </c>
    </row>
    <row r="81" spans="1:7" ht="18" hidden="1" customHeight="1">
      <c r="A81" s="220">
        <v>2006</v>
      </c>
      <c r="B81" s="261" t="s">
        <v>55</v>
      </c>
      <c r="C81" s="222">
        <f t="shared" si="7"/>
        <v>193.51050522069892</v>
      </c>
      <c r="D81" s="223">
        <v>0.28869383899299272</v>
      </c>
      <c r="E81" s="223">
        <f t="shared" si="9"/>
        <v>4.3996606322377341</v>
      </c>
      <c r="F81" s="224">
        <f t="shared" si="3"/>
        <v>4.3996606322377341</v>
      </c>
      <c r="G81" s="225">
        <f t="shared" si="10"/>
        <v>3.8016950902007864</v>
      </c>
    </row>
    <row r="82" spans="1:7" ht="18" hidden="1" customHeight="1">
      <c r="A82" s="220">
        <v>2007</v>
      </c>
      <c r="B82" s="261" t="s">
        <v>70</v>
      </c>
      <c r="C82" s="222">
        <f t="shared" si="7"/>
        <v>194.27535676903824</v>
      </c>
      <c r="D82" s="223">
        <v>0.39525065963059713</v>
      </c>
      <c r="E82" s="223">
        <f t="shared" ref="E82:E90" si="11">100*((C82/$C$81)-1)</f>
        <v>0.39525065963059713</v>
      </c>
      <c r="F82" s="224">
        <f t="shared" si="3"/>
        <v>3.666912780385756</v>
      </c>
      <c r="G82" s="225">
        <f t="shared" si="10"/>
        <v>3.7867280227125981</v>
      </c>
    </row>
    <row r="83" spans="1:7" ht="18" hidden="1" customHeight="1">
      <c r="A83" s="220">
        <v>2007</v>
      </c>
      <c r="B83" s="261" t="s">
        <v>57</v>
      </c>
      <c r="C83" s="222">
        <f t="shared" si="7"/>
        <v>194.67514232467892</v>
      </c>
      <c r="D83" s="223">
        <v>0.20578294761077753</v>
      </c>
      <c r="E83" s="223">
        <f t="shared" si="11"/>
        <v>0.60184696569922647</v>
      </c>
      <c r="F83" s="224">
        <f t="shared" ref="F83:F146" si="12">100*((C83/C71)-1)</f>
        <v>3.9467944733427407</v>
      </c>
      <c r="G83" s="225">
        <f t="shared" si="10"/>
        <v>3.77895158475271</v>
      </c>
    </row>
    <row r="84" spans="1:7" ht="18" hidden="1" customHeight="1">
      <c r="A84" s="220">
        <v>2007</v>
      </c>
      <c r="B84" s="261" t="s">
        <v>72</v>
      </c>
      <c r="C84" s="222">
        <f t="shared" si="7"/>
        <v>195.30775318475398</v>
      </c>
      <c r="D84" s="223">
        <v>0.32495718380931571</v>
      </c>
      <c r="E84" s="223">
        <f t="shared" si="11"/>
        <v>0.928759894459108</v>
      </c>
      <c r="F84" s="224">
        <f t="shared" si="12"/>
        <v>4.7833494951487587</v>
      </c>
      <c r="G84" s="225">
        <f t="shared" si="10"/>
        <v>3.7667113855121248</v>
      </c>
    </row>
    <row r="85" spans="1:7" ht="18" hidden="1" customHeight="1">
      <c r="A85" s="220">
        <v>2007</v>
      </c>
      <c r="B85" s="261" t="s">
        <v>73</v>
      </c>
      <c r="C85" s="222">
        <f t="shared" si="7"/>
        <v>195.03101784483414</v>
      </c>
      <c r="D85" s="223">
        <v>-0.14169193767645805</v>
      </c>
      <c r="E85" s="223">
        <f t="shared" si="11"/>
        <v>0.78575197889183546</v>
      </c>
      <c r="F85" s="224">
        <f t="shared" si="12"/>
        <v>5.4415966212579603</v>
      </c>
      <c r="G85" s="225">
        <f t="shared" si="10"/>
        <v>3.7720560848690186</v>
      </c>
    </row>
    <row r="86" spans="1:7" ht="18" hidden="1" customHeight="1">
      <c r="A86" s="220">
        <v>2007</v>
      </c>
      <c r="B86" s="261" t="s">
        <v>74</v>
      </c>
      <c r="C86" s="222">
        <f t="shared" si="7"/>
        <v>194.8497613030047</v>
      </c>
      <c r="D86" s="223">
        <v>-9.293728958212899E-2</v>
      </c>
      <c r="E86" s="223">
        <f t="shared" si="11"/>
        <v>0.69208443271766562</v>
      </c>
      <c r="F86" s="224">
        <f t="shared" si="12"/>
        <v>4.8913357172502447</v>
      </c>
      <c r="G86" s="225">
        <f t="shared" si="10"/>
        <v>3.7755649926395898</v>
      </c>
    </row>
    <row r="87" spans="1:7" ht="18" hidden="1" customHeight="1">
      <c r="A87" s="220">
        <v>2007</v>
      </c>
      <c r="B87" s="261" t="s">
        <v>75</v>
      </c>
      <c r="C87" s="222">
        <f t="shared" si="7"/>
        <v>194.86456817543583</v>
      </c>
      <c r="D87" s="223">
        <v>7.5991226943905588E-3</v>
      </c>
      <c r="E87" s="223">
        <f t="shared" si="11"/>
        <v>0.69973614775724613</v>
      </c>
      <c r="F87" s="224">
        <f t="shared" si="12"/>
        <v>3.7515087589574447</v>
      </c>
      <c r="G87" s="225">
        <f t="shared" si="10"/>
        <v>3.7752781046243649</v>
      </c>
    </row>
    <row r="88" spans="1:7" ht="18" hidden="1" customHeight="1">
      <c r="A88" s="220">
        <v>2007</v>
      </c>
      <c r="B88" s="261" t="s">
        <v>76</v>
      </c>
      <c r="C88" s="222">
        <f t="shared" si="7"/>
        <v>195.38076638329372</v>
      </c>
      <c r="D88" s="223">
        <v>0.26490100929643656</v>
      </c>
      <c r="E88" s="223">
        <f t="shared" si="11"/>
        <v>0.96649076517152377</v>
      </c>
      <c r="F88" s="224">
        <f t="shared" si="12"/>
        <v>3.8045453805630736</v>
      </c>
      <c r="G88" s="225">
        <f t="shared" si="10"/>
        <v>3.765303776916237</v>
      </c>
    </row>
    <row r="89" spans="1:7" ht="18" hidden="1" customHeight="1">
      <c r="A89" s="220">
        <v>2007</v>
      </c>
      <c r="B89" s="261" t="s">
        <v>77</v>
      </c>
      <c r="C89" s="222">
        <f t="shared" si="7"/>
        <v>197.944397641112</v>
      </c>
      <c r="D89" s="223">
        <v>1.3121205865213037</v>
      </c>
      <c r="E89" s="223">
        <f t="shared" si="11"/>
        <v>2.2912928759894591</v>
      </c>
      <c r="F89" s="224">
        <f t="shared" si="12"/>
        <v>4.6801547720946024</v>
      </c>
      <c r="G89" s="225">
        <f t="shared" si="10"/>
        <v>3.7165383126105227</v>
      </c>
    </row>
    <row r="90" spans="1:7" ht="18" hidden="1" customHeight="1">
      <c r="A90" s="220">
        <v>2007</v>
      </c>
      <c r="B90" s="261" t="s">
        <v>79</v>
      </c>
      <c r="C90" s="222">
        <f t="shared" si="7"/>
        <v>201.57565545939593</v>
      </c>
      <c r="D90" s="223">
        <v>1.8344837548106119</v>
      </c>
      <c r="E90" s="223">
        <f t="shared" si="11"/>
        <v>4.1678100263852436</v>
      </c>
      <c r="F90" s="224">
        <f t="shared" si="12"/>
        <v>6.2141846337618434</v>
      </c>
      <c r="G90" s="225">
        <f t="shared" si="10"/>
        <v>3.6495872277989085</v>
      </c>
    </row>
    <row r="91" spans="1:7" ht="18" hidden="1" customHeight="1">
      <c r="A91" s="220">
        <v>2007</v>
      </c>
      <c r="B91" s="261" t="s">
        <v>78</v>
      </c>
      <c r="C91" s="222">
        <f t="shared" si="7"/>
        <v>204.44359347476447</v>
      </c>
      <c r="D91" s="223">
        <v>1.4227601090183395</v>
      </c>
      <c r="E91" s="223">
        <f>100*((C91/$C$81)-1)</f>
        <v>5.6498680738786611</v>
      </c>
      <c r="F91" s="224">
        <f t="shared" si="12"/>
        <v>7.0325364069884655</v>
      </c>
      <c r="G91" s="225">
        <f t="shared" si="10"/>
        <v>3.5983907595060542</v>
      </c>
    </row>
    <row r="92" spans="1:7" ht="18" hidden="1" customHeight="1">
      <c r="A92" s="220">
        <v>2007</v>
      </c>
      <c r="B92" s="261" t="s">
        <v>68</v>
      </c>
      <c r="C92" s="222">
        <f t="shared" si="7"/>
        <v>206.42465088968876</v>
      </c>
      <c r="D92" s="223">
        <v>0.96899950800797274</v>
      </c>
      <c r="E92" s="223">
        <f>100*((C92/$C$81)-1)</f>
        <v>6.6736147757256115</v>
      </c>
      <c r="F92" s="224">
        <f t="shared" si="12"/>
        <v>6.9815749294142471</v>
      </c>
      <c r="G92" s="225">
        <f t="shared" si="10"/>
        <v>3.5638570026839393</v>
      </c>
    </row>
    <row r="93" spans="1:7" ht="18" hidden="1" customHeight="1">
      <c r="A93" s="220">
        <v>2007</v>
      </c>
      <c r="B93" s="261" t="s">
        <v>69</v>
      </c>
      <c r="C93" s="222">
        <f t="shared" si="7"/>
        <v>211.29815424676417</v>
      </c>
      <c r="D93" s="223">
        <v>2.3609115171422834</v>
      </c>
      <c r="E93" s="223">
        <f>100*((C93/$C$81)-1)</f>
        <v>9.1920844327177065</v>
      </c>
      <c r="F93" s="224">
        <f t="shared" si="12"/>
        <v>9.1920844327177065</v>
      </c>
      <c r="G93" s="225">
        <f t="shared" si="10"/>
        <v>3.4816581347921112</v>
      </c>
    </row>
    <row r="94" spans="1:7" ht="18" hidden="1" customHeight="1">
      <c r="A94" s="220">
        <v>2008</v>
      </c>
      <c r="B94" s="261" t="s">
        <v>70</v>
      </c>
      <c r="C94" s="222">
        <f t="shared" si="7"/>
        <v>213.90875903091572</v>
      </c>
      <c r="D94" s="223">
        <v>1.2355076140905474</v>
      </c>
      <c r="E94" s="223">
        <f t="shared" ref="E94:E105" si="13">100*((C94/$C$93)-1)</f>
        <v>1.2355076140905474</v>
      </c>
      <c r="F94" s="224">
        <f t="shared" si="12"/>
        <v>10.105966391413389</v>
      </c>
      <c r="G94" s="225">
        <f t="shared" si="10"/>
        <v>3.4391669650772947</v>
      </c>
    </row>
    <row r="95" spans="1:7" ht="18" hidden="1" customHeight="1">
      <c r="A95" s="220">
        <v>2008</v>
      </c>
      <c r="B95" s="261" t="s">
        <v>71</v>
      </c>
      <c r="C95" s="222">
        <f t="shared" si="7"/>
        <v>215.28018176712362</v>
      </c>
      <c r="D95" s="223">
        <v>0.64112509577491927</v>
      </c>
      <c r="E95" s="223">
        <f t="shared" si="13"/>
        <v>1.8845538592396016</v>
      </c>
      <c r="F95" s="224">
        <f t="shared" si="12"/>
        <v>10.584319701217758</v>
      </c>
      <c r="G95" s="225">
        <f t="shared" si="10"/>
        <v>3.4172580660285927</v>
      </c>
    </row>
    <row r="96" spans="1:7" ht="18" hidden="1" customHeight="1">
      <c r="A96" s="220">
        <v>2008</v>
      </c>
      <c r="B96" s="261" t="s">
        <v>72</v>
      </c>
      <c r="C96" s="222">
        <f t="shared" si="7"/>
        <v>217.3505909984427</v>
      </c>
      <c r="D96" s="223">
        <v>0.96172774210991907</v>
      </c>
      <c r="E96" s="223">
        <f t="shared" si="13"/>
        <v>2.8644058786288396</v>
      </c>
      <c r="F96" s="224">
        <f t="shared" si="12"/>
        <v>11.286207257136894</v>
      </c>
      <c r="G96" s="225">
        <f t="shared" si="10"/>
        <v>3.3847064055375666</v>
      </c>
    </row>
    <row r="97" spans="1:7" ht="18" hidden="1" customHeight="1">
      <c r="A97" s="220">
        <v>2008</v>
      </c>
      <c r="B97" s="261" t="s">
        <v>73</v>
      </c>
      <c r="C97" s="222">
        <f t="shared" si="7"/>
        <v>218.75673329759258</v>
      </c>
      <c r="D97" s="223">
        <v>0.64694661868205383</v>
      </c>
      <c r="E97" s="223">
        <f t="shared" si="13"/>
        <v>3.5298836742879924</v>
      </c>
      <c r="F97" s="224">
        <f t="shared" si="12"/>
        <v>12.165098513526962</v>
      </c>
      <c r="G97" s="225">
        <f t="shared" si="10"/>
        <v>3.3629499147759527</v>
      </c>
    </row>
    <row r="98" spans="1:7" ht="18" hidden="1" customHeight="1">
      <c r="A98" s="220">
        <v>2008</v>
      </c>
      <c r="B98" s="261" t="s">
        <v>74</v>
      </c>
      <c r="C98" s="222">
        <f t="shared" si="7"/>
        <v>223.16305430037522</v>
      </c>
      <c r="D98" s="223">
        <v>2.0142561723064167</v>
      </c>
      <c r="E98" s="223">
        <f t="shared" si="13"/>
        <v>5.6152407463790022</v>
      </c>
      <c r="F98" s="224">
        <f t="shared" si="12"/>
        <v>14.530832785235702</v>
      </c>
      <c r="G98" s="225">
        <f t="shared" si="10"/>
        <v>3.2965489736020692</v>
      </c>
    </row>
    <row r="99" spans="1:7" ht="18" hidden="1" customHeight="1">
      <c r="A99" s="220">
        <v>2008</v>
      </c>
      <c r="B99" s="261" t="s">
        <v>75</v>
      </c>
      <c r="C99" s="222">
        <f t="shared" si="7"/>
        <v>228.2285364172474</v>
      </c>
      <c r="D99" s="223">
        <v>2.2698569585152262</v>
      </c>
      <c r="E99" s="223">
        <f t="shared" si="13"/>
        <v>8.0125556377132803</v>
      </c>
      <c r="F99" s="224">
        <f t="shared" si="12"/>
        <v>17.121618647354154</v>
      </c>
      <c r="G99" s="225">
        <f t="shared" si="10"/>
        <v>3.2233827949317289</v>
      </c>
    </row>
    <row r="100" spans="1:7" ht="18" hidden="1" customHeight="1">
      <c r="A100" s="220">
        <v>2008</v>
      </c>
      <c r="B100" s="261" t="s">
        <v>76</v>
      </c>
      <c r="C100" s="222">
        <f t="shared" si="7"/>
        <v>233.25572489852181</v>
      </c>
      <c r="D100" s="223">
        <v>2.2026993469754785</v>
      </c>
      <c r="E100" s="223">
        <f t="shared" si="13"/>
        <v>10.39174749539673</v>
      </c>
      <c r="F100" s="224">
        <f t="shared" si="12"/>
        <v>19.385203168323038</v>
      </c>
      <c r="G100" s="225">
        <f t="shared" si="10"/>
        <v>3.1539116046127402</v>
      </c>
    </row>
    <row r="101" spans="1:7" ht="18" hidden="1" customHeight="1">
      <c r="A101" s="220">
        <v>2008</v>
      </c>
      <c r="B101" s="261" t="s">
        <v>77</v>
      </c>
      <c r="C101" s="222">
        <f t="shared" si="7"/>
        <v>231.52689489673477</v>
      </c>
      <c r="D101" s="223">
        <v>-0.74117366359996995</v>
      </c>
      <c r="E101" s="223">
        <f t="shared" si="13"/>
        <v>9.5735529361730798</v>
      </c>
      <c r="F101" s="224">
        <f t="shared" si="12"/>
        <v>16.965621485539771</v>
      </c>
      <c r="G101" s="225">
        <f t="shared" si="10"/>
        <v>3.177462116994771</v>
      </c>
    </row>
    <row r="102" spans="1:7" ht="18" hidden="1" customHeight="1">
      <c r="A102" s="220">
        <v>2008</v>
      </c>
      <c r="B102" s="261" t="s">
        <v>79</v>
      </c>
      <c r="C102" s="222">
        <f t="shared" si="7"/>
        <v>231.62135253120925</v>
      </c>
      <c r="D102" s="223">
        <v>4.0797694158434261E-2</v>
      </c>
      <c r="E102" s="223">
        <f t="shared" si="13"/>
        <v>9.6182564191785058</v>
      </c>
      <c r="F102" s="224">
        <f t="shared" si="12"/>
        <v>14.905419507796424</v>
      </c>
      <c r="G102" s="225">
        <f t="shared" si="10"/>
        <v>3.1761663143758692</v>
      </c>
    </row>
    <row r="103" spans="1:7" ht="18" hidden="1" customHeight="1">
      <c r="A103" s="220">
        <v>2008</v>
      </c>
      <c r="B103" s="261" t="s">
        <v>78</v>
      </c>
      <c r="C103" s="222">
        <f t="shared" si="7"/>
        <v>234.50307625539295</v>
      </c>
      <c r="D103" s="223">
        <v>1.2441528782608291</v>
      </c>
      <c r="E103" s="223">
        <f t="shared" si="13"/>
        <v>10.982075111517053</v>
      </c>
      <c r="F103" s="224">
        <f t="shared" si="12"/>
        <v>14.70306908117367</v>
      </c>
      <c r="G103" s="225">
        <f t="shared" si="10"/>
        <v>3.1371355521093567</v>
      </c>
    </row>
    <row r="104" spans="1:7" ht="18" hidden="1" customHeight="1">
      <c r="A104" s="220">
        <v>2008</v>
      </c>
      <c r="B104" s="261" t="s">
        <v>68</v>
      </c>
      <c r="C104" s="222">
        <f t="shared" si="7"/>
        <v>235.20257333231208</v>
      </c>
      <c r="D104" s="223">
        <v>0.29828908349045502</v>
      </c>
      <c r="E104" s="223">
        <f t="shared" si="13"/>
        <v>11.313122526205866</v>
      </c>
      <c r="F104" s="224">
        <f t="shared" si="12"/>
        <v>13.94112685601776</v>
      </c>
      <c r="G104" s="225">
        <f t="shared" si="10"/>
        <v>3.1278056493046833</v>
      </c>
    </row>
    <row r="105" spans="1:7" ht="18" hidden="1" customHeight="1">
      <c r="A105" s="220">
        <v>2008</v>
      </c>
      <c r="B105" s="261" t="s">
        <v>69</v>
      </c>
      <c r="C105" s="222">
        <f t="shared" si="7"/>
        <v>234.20591764315429</v>
      </c>
      <c r="D105" s="223">
        <v>-0.42374353096453765</v>
      </c>
      <c r="E105" s="223">
        <f t="shared" si="13"/>
        <v>10.841440370386458</v>
      </c>
      <c r="F105" s="224">
        <f t="shared" si="12"/>
        <v>10.841440370386458</v>
      </c>
      <c r="G105" s="225">
        <f t="shared" si="10"/>
        <v>3.1411159248362739</v>
      </c>
    </row>
    <row r="106" spans="1:7" ht="18" hidden="1" customHeight="1">
      <c r="A106" s="220">
        <v>2009</v>
      </c>
      <c r="B106" s="261" t="s">
        <v>70</v>
      </c>
      <c r="C106" s="222">
        <f t="shared" si="7"/>
        <v>231.98182328763619</v>
      </c>
      <c r="D106" s="223">
        <v>-0.94963200669713199</v>
      </c>
      <c r="E106" s="223">
        <f t="shared" ref="E106:E117" si="14">100*((C106/$C$105)-1)</f>
        <v>-0.94963200669712089</v>
      </c>
      <c r="F106" s="224">
        <f t="shared" si="12"/>
        <v>8.4489594248491784</v>
      </c>
      <c r="G106" s="225">
        <f t="shared" si="10"/>
        <v>3.1712309489336326</v>
      </c>
    </row>
    <row r="107" spans="1:7" ht="18" hidden="1" customHeight="1">
      <c r="A107" s="220">
        <v>2009</v>
      </c>
      <c r="B107" s="261" t="s">
        <v>71</v>
      </c>
      <c r="C107" s="222">
        <f t="shared" si="7"/>
        <v>232.44441040565718</v>
      </c>
      <c r="D107" s="223">
        <v>0.19940662223669747</v>
      </c>
      <c r="E107" s="223">
        <f t="shared" si="14"/>
        <v>-0.75211901356865285</v>
      </c>
      <c r="F107" s="224">
        <f t="shared" si="12"/>
        <v>7.972972011469559</v>
      </c>
      <c r="G107" s="225">
        <f t="shared" si="10"/>
        <v>3.1649198890863079</v>
      </c>
    </row>
    <row r="108" spans="1:7" ht="18" hidden="1" customHeight="1">
      <c r="A108" s="220">
        <v>2009</v>
      </c>
      <c r="B108" s="261" t="s">
        <v>72</v>
      </c>
      <c r="C108" s="222">
        <f t="shared" si="7"/>
        <v>229.56370784508943</v>
      </c>
      <c r="D108" s="223">
        <v>-1.2393081664301642</v>
      </c>
      <c r="E108" s="223">
        <f t="shared" si="14"/>
        <v>-1.9821061076423896</v>
      </c>
      <c r="F108" s="224">
        <f t="shared" si="12"/>
        <v>5.619086099809234</v>
      </c>
      <c r="G108" s="225">
        <f t="shared" si="10"/>
        <v>3.2046351947592546</v>
      </c>
    </row>
    <row r="109" spans="1:7" ht="18" hidden="1" customHeight="1">
      <c r="A109" s="220">
        <v>2009</v>
      </c>
      <c r="B109" s="261" t="s">
        <v>73</v>
      </c>
      <c r="C109" s="222">
        <f t="shared" si="7"/>
        <v>228.5588828470041</v>
      </c>
      <c r="D109" s="223">
        <v>-0.43771073725790144</v>
      </c>
      <c r="E109" s="223">
        <f t="shared" si="14"/>
        <v>-2.4111409536432982</v>
      </c>
      <c r="F109" s="224">
        <f t="shared" si="12"/>
        <v>4.4808447272234986</v>
      </c>
      <c r="G109" s="225">
        <f t="shared" si="10"/>
        <v>3.2187238948496977</v>
      </c>
    </row>
    <row r="110" spans="1:7" ht="18" hidden="1" customHeight="1">
      <c r="A110" s="220">
        <v>2009</v>
      </c>
      <c r="B110" s="261" t="s">
        <v>60</v>
      </c>
      <c r="C110" s="222">
        <f t="shared" si="7"/>
        <v>227.87061856986028</v>
      </c>
      <c r="D110" s="223">
        <v>-0.30113214965463708</v>
      </c>
      <c r="E110" s="223">
        <f t="shared" si="14"/>
        <v>-2.7050123827130346</v>
      </c>
      <c r="F110" s="224">
        <f t="shared" si="12"/>
        <v>2.1094729520723998</v>
      </c>
      <c r="G110" s="225">
        <f t="shared" si="10"/>
        <v>3.22844578303659</v>
      </c>
    </row>
    <row r="111" spans="1:7" ht="18" hidden="1" customHeight="1">
      <c r="A111" s="220">
        <v>2009</v>
      </c>
      <c r="B111" s="261" t="s">
        <v>75</v>
      </c>
      <c r="C111" s="222">
        <f t="shared" ref="C111:C174" si="15">+C110*(1+D111/100)</f>
        <v>226.85098669934382</v>
      </c>
      <c r="D111" s="223">
        <v>-0.44746087798233081</v>
      </c>
      <c r="E111" s="223">
        <f t="shared" si="14"/>
        <v>-3.1403693885381445</v>
      </c>
      <c r="F111" s="224">
        <f t="shared" si="12"/>
        <v>-0.6035834692402986</v>
      </c>
      <c r="G111" s="225">
        <f t="shared" si="10"/>
        <v>3.242956745763772</v>
      </c>
    </row>
    <row r="112" spans="1:7" ht="18" hidden="1" customHeight="1">
      <c r="A112" s="220">
        <v>2009</v>
      </c>
      <c r="B112" s="261" t="s">
        <v>76</v>
      </c>
      <c r="C112" s="222">
        <f t="shared" si="15"/>
        <v>224.93068851956798</v>
      </c>
      <c r="D112" s="223">
        <v>-0.84650201778531109</v>
      </c>
      <c r="E112" s="223">
        <f t="shared" si="14"/>
        <v>-3.9602881160835657</v>
      </c>
      <c r="F112" s="224">
        <f t="shared" si="12"/>
        <v>-3.5690598301823639</v>
      </c>
      <c r="G112" s="225">
        <f t="shared" si="10"/>
        <v>3.2706428030864489</v>
      </c>
    </row>
    <row r="113" spans="1:7" ht="18" hidden="1" customHeight="1">
      <c r="A113" s="220">
        <v>2009</v>
      </c>
      <c r="B113" s="261" t="s">
        <v>77</v>
      </c>
      <c r="C113" s="222">
        <f t="shared" si="15"/>
        <v>223.5500753108166</v>
      </c>
      <c r="D113" s="223">
        <v>-0.61379495071934853</v>
      </c>
      <c r="E113" s="223">
        <f t="shared" si="14"/>
        <v>-4.549775018312463</v>
      </c>
      <c r="F113" s="224">
        <f t="shared" si="12"/>
        <v>-3.4453101396604402</v>
      </c>
      <c r="G113" s="225">
        <f t="shared" si="10"/>
        <v>3.2908418240385582</v>
      </c>
    </row>
    <row r="114" spans="1:7" ht="18" hidden="1" customHeight="1">
      <c r="A114" s="220">
        <v>2009</v>
      </c>
      <c r="B114" s="261" t="s">
        <v>79</v>
      </c>
      <c r="C114" s="222">
        <f t="shared" si="15"/>
        <v>224.72594521457194</v>
      </c>
      <c r="D114" s="223">
        <v>0.52599843776408584</v>
      </c>
      <c r="E114" s="223">
        <f t="shared" si="14"/>
        <v>-4.0477083260664788</v>
      </c>
      <c r="F114" s="224">
        <f t="shared" si="12"/>
        <v>-2.9770171192261774</v>
      </c>
      <c r="G114" s="225">
        <f t="shared" si="10"/>
        <v>3.273622620198025</v>
      </c>
    </row>
    <row r="115" spans="1:7" ht="18" hidden="1" customHeight="1">
      <c r="A115" s="220">
        <v>2009</v>
      </c>
      <c r="B115" s="261" t="s">
        <v>78</v>
      </c>
      <c r="C115" s="222">
        <f t="shared" si="15"/>
        <v>224.80968063107903</v>
      </c>
      <c r="D115" s="223">
        <v>3.7261125513188276E-2</v>
      </c>
      <c r="E115" s="223">
        <f t="shared" si="14"/>
        <v>-4.0119554222330711</v>
      </c>
      <c r="F115" s="224">
        <f t="shared" si="12"/>
        <v>-4.1335899635521312</v>
      </c>
      <c r="G115" s="225">
        <f t="shared" si="10"/>
        <v>3.2724032859023673</v>
      </c>
    </row>
    <row r="116" spans="1:7" ht="18" hidden="1" customHeight="1">
      <c r="A116" s="220">
        <v>2009</v>
      </c>
      <c r="B116" s="261" t="s">
        <v>68</v>
      </c>
      <c r="C116" s="222">
        <f t="shared" si="15"/>
        <v>224.97919379132514</v>
      </c>
      <c r="D116" s="223">
        <v>7.540296297305904E-2</v>
      </c>
      <c r="E116" s="223">
        <f t="shared" si="14"/>
        <v>-3.9395775925215371</v>
      </c>
      <c r="F116" s="224">
        <f t="shared" si="12"/>
        <v>-4.3466274182904385</v>
      </c>
      <c r="G116" s="225">
        <f t="shared" si="10"/>
        <v>3.2699376560223543</v>
      </c>
    </row>
    <row r="117" spans="1:7" ht="18" hidden="1" customHeight="1">
      <c r="A117" s="220">
        <v>2009</v>
      </c>
      <c r="B117" s="261" t="s">
        <v>55</v>
      </c>
      <c r="C117" s="222">
        <f t="shared" si="15"/>
        <v>223.84365985039946</v>
      </c>
      <c r="D117" s="223">
        <v>-0.50472842478888058</v>
      </c>
      <c r="E117" s="223">
        <f t="shared" si="14"/>
        <v>-4.4244218493843519</v>
      </c>
      <c r="F117" s="224">
        <f t="shared" si="12"/>
        <v>-4.4244218493843519</v>
      </c>
      <c r="G117" s="225">
        <f t="shared" si="10"/>
        <v>3.2865256853442744</v>
      </c>
    </row>
    <row r="118" spans="1:7" ht="18" hidden="1" customHeight="1">
      <c r="A118" s="220">
        <v>2010</v>
      </c>
      <c r="B118" s="261" t="s">
        <v>56</v>
      </c>
      <c r="C118" s="222">
        <f t="shared" si="15"/>
        <v>224.98481019121286</v>
      </c>
      <c r="D118" s="223">
        <v>0.50979792841845395</v>
      </c>
      <c r="E118" s="223">
        <f t="shared" ref="E118:E129" si="16">100*((C118/$C$117)-1)</f>
        <v>0.50979792841845395</v>
      </c>
      <c r="F118" s="224">
        <f t="shared" si="12"/>
        <v>-3.0161902330372081</v>
      </c>
      <c r="G118" s="225">
        <f t="shared" si="10"/>
        <v>3.2698560270560764</v>
      </c>
    </row>
    <row r="119" spans="1:7" ht="18" hidden="1" customHeight="1">
      <c r="A119" s="220">
        <v>2010</v>
      </c>
      <c r="B119" s="261" t="s">
        <v>57</v>
      </c>
      <c r="C119" s="222">
        <f t="shared" si="15"/>
        <v>228.18207347272212</v>
      </c>
      <c r="D119" s="223">
        <v>1.4211018418496479</v>
      </c>
      <c r="E119" s="223">
        <f t="shared" si="16"/>
        <v>1.9381445180185697</v>
      </c>
      <c r="F119" s="224">
        <f t="shared" si="12"/>
        <v>-1.8337016259055261</v>
      </c>
      <c r="G119" s="225">
        <f t="shared" si="10"/>
        <v>3.2240391473511161</v>
      </c>
    </row>
    <row r="120" spans="1:7" ht="18" hidden="1" customHeight="1">
      <c r="A120" s="220">
        <v>2010</v>
      </c>
      <c r="B120" s="261" t="s">
        <v>58</v>
      </c>
      <c r="C120" s="222">
        <f t="shared" si="15"/>
        <v>230.61601695131597</v>
      </c>
      <c r="D120" s="223">
        <v>1.0666672633618646</v>
      </c>
      <c r="E120" s="223">
        <f t="shared" si="16"/>
        <v>3.0254853344707788</v>
      </c>
      <c r="F120" s="224">
        <f t="shared" si="12"/>
        <v>0.45839523856123776</v>
      </c>
      <c r="G120" s="225">
        <f t="shared" si="10"/>
        <v>3.1900123301284289</v>
      </c>
    </row>
    <row r="121" spans="1:7" ht="18" hidden="1" customHeight="1">
      <c r="A121" s="220">
        <v>2010</v>
      </c>
      <c r="B121" s="261" t="s">
        <v>59</v>
      </c>
      <c r="C121" s="222">
        <f t="shared" si="15"/>
        <v>232.26979142733134</v>
      </c>
      <c r="D121" s="223">
        <v>0.71711171577666377</v>
      </c>
      <c r="E121" s="223">
        <f t="shared" si="16"/>
        <v>3.7642931600400331</v>
      </c>
      <c r="F121" s="224">
        <f t="shared" si="12"/>
        <v>1.6236116199479733</v>
      </c>
      <c r="G121" s="225">
        <f t="shared" si="10"/>
        <v>3.1672992560893056</v>
      </c>
    </row>
    <row r="122" spans="1:7" ht="18" hidden="1" customHeight="1">
      <c r="A122" s="220">
        <v>2010</v>
      </c>
      <c r="B122" s="261" t="s">
        <v>60</v>
      </c>
      <c r="C122" s="222">
        <f t="shared" si="15"/>
        <v>235.72694084909742</v>
      </c>
      <c r="D122" s="223">
        <v>1.4884197383230102</v>
      </c>
      <c r="E122" s="223">
        <f t="shared" si="16"/>
        <v>5.3087413807654249</v>
      </c>
      <c r="F122" s="224">
        <f t="shared" si="12"/>
        <v>3.4477118325057621</v>
      </c>
      <c r="G122" s="225">
        <f t="shared" si="10"/>
        <v>3.1208479393568713</v>
      </c>
    </row>
    <row r="123" spans="1:7" ht="18" hidden="1" customHeight="1">
      <c r="A123" s="220">
        <v>2010</v>
      </c>
      <c r="B123" s="261" t="s">
        <v>61</v>
      </c>
      <c r="C123" s="222">
        <f t="shared" si="15"/>
        <v>238.29261443414757</v>
      </c>
      <c r="D123" s="223">
        <v>1.0884091465356072</v>
      </c>
      <c r="E123" s="223">
        <f t="shared" si="16"/>
        <v>6.4549313540551934</v>
      </c>
      <c r="F123" s="224">
        <f t="shared" si="12"/>
        <v>5.0436755428213687</v>
      </c>
      <c r="G123" s="225">
        <f t="shared" si="10"/>
        <v>3.0872460707468021</v>
      </c>
    </row>
    <row r="124" spans="1:7" ht="18" hidden="1" customHeight="1">
      <c r="A124" s="220">
        <v>2010</v>
      </c>
      <c r="B124" s="261" t="s">
        <v>62</v>
      </c>
      <c r="C124" s="222">
        <f t="shared" si="15"/>
        <v>238.77205075183156</v>
      </c>
      <c r="D124" s="223">
        <v>0.20119646545591063</v>
      </c>
      <c r="E124" s="223">
        <f t="shared" si="16"/>
        <v>6.6691149132430683</v>
      </c>
      <c r="F124" s="224">
        <f t="shared" si="12"/>
        <v>6.1536121742051364</v>
      </c>
      <c r="G124" s="225">
        <f t="shared" si="10"/>
        <v>3.081047112856703</v>
      </c>
    </row>
    <row r="125" spans="1:7" ht="18" hidden="1" customHeight="1">
      <c r="A125" s="220">
        <v>2010</v>
      </c>
      <c r="B125" s="262" t="s">
        <v>63</v>
      </c>
      <c r="C125" s="222">
        <f t="shared" si="15"/>
        <v>241.72372418370716</v>
      </c>
      <c r="D125" s="223">
        <v>1.2361888347407257</v>
      </c>
      <c r="E125" s="223">
        <f t="shared" si="16"/>
        <v>7.9877466019173449</v>
      </c>
      <c r="F125" s="224">
        <f t="shared" si="12"/>
        <v>8.129565086311219</v>
      </c>
      <c r="G125" s="225">
        <f t="shared" si="10"/>
        <v>3.0434246372966927</v>
      </c>
    </row>
    <row r="126" spans="1:7" ht="18" hidden="1" customHeight="1">
      <c r="A126" s="220">
        <v>2010</v>
      </c>
      <c r="B126" s="262" t="s">
        <v>64</v>
      </c>
      <c r="C126" s="222">
        <f t="shared" si="15"/>
        <v>245.58882847004145</v>
      </c>
      <c r="D126" s="223">
        <v>1.5989759794519998</v>
      </c>
      <c r="E126" s="223">
        <f t="shared" si="16"/>
        <v>9.7144447308334936</v>
      </c>
      <c r="F126" s="224">
        <f t="shared" si="12"/>
        <v>9.2837003024057942</v>
      </c>
      <c r="G126" s="225">
        <f t="shared" si="10"/>
        <v>2.9955268819955561</v>
      </c>
    </row>
    <row r="127" spans="1:7" ht="18" hidden="1" customHeight="1">
      <c r="A127" s="220">
        <v>2010</v>
      </c>
      <c r="B127" s="262" t="s">
        <v>65</v>
      </c>
      <c r="C127" s="222">
        <f t="shared" si="15"/>
        <v>248.78660233335873</v>
      </c>
      <c r="D127" s="223">
        <v>1.3020844161514278</v>
      </c>
      <c r="E127" s="223">
        <f t="shared" si="16"/>
        <v>11.143019417940758</v>
      </c>
      <c r="F127" s="224">
        <f t="shared" si="12"/>
        <v>10.665431148237214</v>
      </c>
      <c r="G127" s="225">
        <f t="shared" si="10"/>
        <v>2.9570239341669011</v>
      </c>
    </row>
    <row r="128" spans="1:7" ht="18" hidden="1" customHeight="1">
      <c r="A128" s="220">
        <v>2010</v>
      </c>
      <c r="B128" s="262" t="s">
        <v>66</v>
      </c>
      <c r="C128" s="222">
        <f t="shared" si="15"/>
        <v>253.3603941691556</v>
      </c>
      <c r="D128" s="223">
        <v>1.8384397684197973</v>
      </c>
      <c r="E128" s="223">
        <f t="shared" si="16"/>
        <v>13.186316886742699</v>
      </c>
      <c r="F128" s="224">
        <f t="shared" si="12"/>
        <v>12.615033372443696</v>
      </c>
      <c r="G128" s="225">
        <f t="shared" si="10"/>
        <v>2.903642220846236</v>
      </c>
    </row>
    <row r="129" spans="1:7" ht="18" hidden="1" customHeight="1">
      <c r="A129" s="220">
        <v>2010</v>
      </c>
      <c r="B129" s="262" t="s">
        <v>55</v>
      </c>
      <c r="C129" s="222">
        <f t="shared" si="15"/>
        <v>254.95443057363849</v>
      </c>
      <c r="D129" s="223">
        <v>0.62915769045521763</v>
      </c>
      <c r="E129" s="223">
        <f t="shared" si="16"/>
        <v>13.89843730397866</v>
      </c>
      <c r="F129" s="224">
        <f t="shared" si="12"/>
        <v>13.89843730397866</v>
      </c>
      <c r="G129" s="225">
        <f t="shared" si="10"/>
        <v>2.885487951492264</v>
      </c>
    </row>
    <row r="130" spans="1:7" ht="18" customHeight="1">
      <c r="A130" s="263">
        <v>2011</v>
      </c>
      <c r="B130" s="264" t="s">
        <v>56</v>
      </c>
      <c r="C130" s="265">
        <f t="shared" si="15"/>
        <v>256.88136631691793</v>
      </c>
      <c r="D130" s="33">
        <v>0.75579613931160416</v>
      </c>
      <c r="E130" s="33">
        <f t="shared" ref="E130:E141" si="17">100*((C130/$C$129)-1)</f>
        <v>0.75579613931160416</v>
      </c>
      <c r="F130" s="266">
        <f t="shared" si="12"/>
        <v>14.177204273744714</v>
      </c>
      <c r="G130" s="236">
        <f t="shared" si="10"/>
        <v>2.8638431356371776</v>
      </c>
    </row>
    <row r="131" spans="1:7" ht="18" customHeight="1">
      <c r="A131" s="237">
        <v>2011</v>
      </c>
      <c r="B131" s="267" t="s">
        <v>57</v>
      </c>
      <c r="C131" s="239">
        <f t="shared" si="15"/>
        <v>259.97089683694554</v>
      </c>
      <c r="D131" s="37">
        <v>1.2027071345517504</v>
      </c>
      <c r="E131" s="37">
        <f t="shared" si="17"/>
        <v>1.9675932879535285</v>
      </c>
      <c r="F131" s="240">
        <f t="shared" si="12"/>
        <v>13.931341266396014</v>
      </c>
      <c r="G131" s="241">
        <f t="shared" si="10"/>
        <v>2.8298088230284395</v>
      </c>
    </row>
    <row r="132" spans="1:7" ht="18" customHeight="1">
      <c r="A132" s="237">
        <v>2011</v>
      </c>
      <c r="B132" s="267" t="s">
        <v>58</v>
      </c>
      <c r="C132" s="239">
        <f t="shared" si="15"/>
        <v>261.65683796686307</v>
      </c>
      <c r="D132" s="37">
        <v>0.64851148741273956</v>
      </c>
      <c r="E132" s="37">
        <f t="shared" si="17"/>
        <v>2.6288648438642204</v>
      </c>
      <c r="F132" s="240">
        <f t="shared" si="12"/>
        <v>13.459958864045408</v>
      </c>
      <c r="G132" s="241">
        <f t="shared" si="10"/>
        <v>2.8115754333657881</v>
      </c>
    </row>
    <row r="133" spans="1:7" ht="18" customHeight="1">
      <c r="A133" s="237">
        <v>2011</v>
      </c>
      <c r="B133" s="267" t="s">
        <v>59</v>
      </c>
      <c r="C133" s="239">
        <f t="shared" si="15"/>
        <v>262.40535089734732</v>
      </c>
      <c r="D133" s="37">
        <v>0.2860666422098479</v>
      </c>
      <c r="E133" s="37">
        <f t="shared" si="17"/>
        <v>2.9224517914611337</v>
      </c>
      <c r="F133" s="240">
        <f t="shared" si="12"/>
        <v>12.974377462014598</v>
      </c>
      <c r="G133" s="241">
        <f t="shared" si="10"/>
        <v>2.8035553965802977</v>
      </c>
    </row>
    <row r="134" spans="1:7" ht="18" customHeight="1">
      <c r="A134" s="237">
        <v>2011</v>
      </c>
      <c r="B134" s="267" t="s">
        <v>60</v>
      </c>
      <c r="C134" s="239">
        <f t="shared" si="15"/>
        <v>262.47530060503925</v>
      </c>
      <c r="D134" s="37">
        <v>2.6657119396666928E-2</v>
      </c>
      <c r="E134" s="37">
        <f t="shared" si="17"/>
        <v>2.9498879523211619</v>
      </c>
      <c r="F134" s="240">
        <f t="shared" si="12"/>
        <v>11.347179774867143</v>
      </c>
      <c r="G134" s="241">
        <f t="shared" si="10"/>
        <v>2.8028082486389985</v>
      </c>
    </row>
    <row r="135" spans="1:7" ht="18" customHeight="1">
      <c r="A135" s="237">
        <v>2011</v>
      </c>
      <c r="B135" s="267" t="s">
        <v>61</v>
      </c>
      <c r="C135" s="239">
        <f t="shared" si="15"/>
        <v>261.29483546501217</v>
      </c>
      <c r="D135" s="37">
        <v>-0.44974332339307033</v>
      </c>
      <c r="E135" s="37">
        <f t="shared" si="17"/>
        <v>2.4868777048149271</v>
      </c>
      <c r="F135" s="240">
        <f t="shared" si="12"/>
        <v>9.652930740420107</v>
      </c>
      <c r="G135" s="241">
        <f t="shared" ref="G135:G198" si="18">+$C$314/C135</f>
        <v>2.8154706398638787</v>
      </c>
    </row>
    <row r="136" spans="1:7" ht="18" customHeight="1">
      <c r="A136" s="237">
        <v>2011</v>
      </c>
      <c r="B136" s="267" t="s">
        <v>62</v>
      </c>
      <c r="C136" s="239">
        <f t="shared" si="15"/>
        <v>260.71685685838992</v>
      </c>
      <c r="D136" s="37">
        <v>-0.22119786852795587</v>
      </c>
      <c r="E136" s="37">
        <f t="shared" si="17"/>
        <v>2.2601789158110286</v>
      </c>
      <c r="F136" s="240">
        <f t="shared" si="12"/>
        <v>9.1906929799613568</v>
      </c>
      <c r="G136" s="241">
        <f t="shared" si="18"/>
        <v>2.821712207122026</v>
      </c>
    </row>
    <row r="137" spans="1:7" ht="18" customHeight="1">
      <c r="A137" s="237">
        <v>2011</v>
      </c>
      <c r="B137" s="267" t="s">
        <v>63</v>
      </c>
      <c r="C137" s="239">
        <f t="shared" si="15"/>
        <v>262.19550177427158</v>
      </c>
      <c r="D137" s="37">
        <v>0.56714588143595979</v>
      </c>
      <c r="E137" s="37">
        <f t="shared" si="17"/>
        <v>2.8401433088810935</v>
      </c>
      <c r="F137" s="240">
        <f t="shared" si="12"/>
        <v>8.4690808317209765</v>
      </c>
      <c r="G137" s="241">
        <f t="shared" si="18"/>
        <v>2.8057992323344791</v>
      </c>
    </row>
    <row r="138" spans="1:7" ht="18" customHeight="1">
      <c r="A138" s="237">
        <v>2011</v>
      </c>
      <c r="B138" s="267" t="s">
        <v>64</v>
      </c>
      <c r="C138" s="239">
        <f t="shared" si="15"/>
        <v>264.14643486252567</v>
      </c>
      <c r="D138" s="37">
        <v>0.74407572786419074</v>
      </c>
      <c r="E138" s="37">
        <f t="shared" si="17"/>
        <v>3.6053518537432216</v>
      </c>
      <c r="F138" s="240">
        <f t="shared" si="12"/>
        <v>7.5563723757687162</v>
      </c>
      <c r="G138" s="241">
        <f t="shared" si="18"/>
        <v>2.7850761566503111</v>
      </c>
    </row>
    <row r="139" spans="1:7" ht="18" customHeight="1">
      <c r="A139" s="237">
        <v>2011</v>
      </c>
      <c r="B139" s="267" t="s">
        <v>65</v>
      </c>
      <c r="C139" s="239">
        <f t="shared" si="15"/>
        <v>265.93602409946118</v>
      </c>
      <c r="D139" s="37">
        <v>0.67749891754809166</v>
      </c>
      <c r="E139" s="37">
        <f t="shared" si="17"/>
        <v>4.3072769910742492</v>
      </c>
      <c r="F139" s="240">
        <f t="shared" si="12"/>
        <v>6.8932256018848115</v>
      </c>
      <c r="G139" s="241">
        <f t="shared" si="18"/>
        <v>2.7663342719024104</v>
      </c>
    </row>
    <row r="140" spans="1:7" ht="18" customHeight="1">
      <c r="A140" s="237">
        <v>2011</v>
      </c>
      <c r="B140" s="267" t="s">
        <v>66</v>
      </c>
      <c r="C140" s="239">
        <f t="shared" si="15"/>
        <v>267.32072196267632</v>
      </c>
      <c r="D140" s="37">
        <v>0.52068833769480793</v>
      </c>
      <c r="E140" s="37">
        <f t="shared" si="17"/>
        <v>4.8503928177337841</v>
      </c>
      <c r="F140" s="240">
        <f t="shared" si="12"/>
        <v>5.510067127619056</v>
      </c>
      <c r="G140" s="241">
        <f t="shared" si="18"/>
        <v>2.7520049033180438</v>
      </c>
    </row>
    <row r="141" spans="1:7" ht="18" customHeight="1">
      <c r="A141" s="237">
        <v>2011</v>
      </c>
      <c r="B141" s="267" t="s">
        <v>55</v>
      </c>
      <c r="C141" s="239">
        <f t="shared" si="15"/>
        <v>266.03099231574362</v>
      </c>
      <c r="D141" s="37">
        <v>-0.48246527147745022</v>
      </c>
      <c r="E141" s="37">
        <f t="shared" si="17"/>
        <v>4.3445260853805401</v>
      </c>
      <c r="F141" s="240">
        <f t="shared" si="12"/>
        <v>4.3445260853805401</v>
      </c>
      <c r="G141" s="241">
        <f t="shared" si="18"/>
        <v>2.7653467409792021</v>
      </c>
    </row>
    <row r="142" spans="1:7" ht="18" customHeight="1">
      <c r="A142" s="237">
        <f>2012</f>
        <v>2012</v>
      </c>
      <c r="B142" s="267" t="s">
        <v>56</v>
      </c>
      <c r="C142" s="239">
        <f t="shared" si="15"/>
        <v>265.83288657425123</v>
      </c>
      <c r="D142" s="37">
        <v>-7.4467166313185729E-2</v>
      </c>
      <c r="E142" s="37">
        <f t="shared" ref="E142:E153" si="19">100*((C142/$C$141)-1)</f>
        <v>-7.4467166313185729E-2</v>
      </c>
      <c r="F142" s="240">
        <f t="shared" si="12"/>
        <v>3.4846903789392369</v>
      </c>
      <c r="G142" s="241">
        <f t="shared" si="18"/>
        <v>2.7674075509627412</v>
      </c>
    </row>
    <row r="143" spans="1:7" ht="18" customHeight="1">
      <c r="A143" s="237">
        <f>2012</f>
        <v>2012</v>
      </c>
      <c r="B143" s="267" t="s">
        <v>57</v>
      </c>
      <c r="C143" s="239">
        <f t="shared" si="15"/>
        <v>265.14921753337916</v>
      </c>
      <c r="D143" s="37">
        <v>-0.25718000871992608</v>
      </c>
      <c r="E143" s="37">
        <f t="shared" si="19"/>
        <v>-0.331455660368285</v>
      </c>
      <c r="F143" s="240">
        <f t="shared" si="12"/>
        <v>1.991884768425245</v>
      </c>
      <c r="G143" s="241">
        <f t="shared" si="18"/>
        <v>2.774543121203791</v>
      </c>
    </row>
    <row r="144" spans="1:7" ht="18" customHeight="1">
      <c r="A144" s="237">
        <f>2012</f>
        <v>2012</v>
      </c>
      <c r="B144" s="267" t="s">
        <v>58</v>
      </c>
      <c r="C144" s="239">
        <f t="shared" si="15"/>
        <v>266.25718005667443</v>
      </c>
      <c r="D144" s="37">
        <v>0.41786377255885743</v>
      </c>
      <c r="E144" s="37">
        <f t="shared" si="19"/>
        <v>8.5023079063795137E-2</v>
      </c>
      <c r="F144" s="240">
        <f t="shared" si="12"/>
        <v>1.7581585581929016</v>
      </c>
      <c r="G144" s="241">
        <f t="shared" si="18"/>
        <v>2.7629975553831581</v>
      </c>
    </row>
    <row r="145" spans="1:7" ht="18" customHeight="1">
      <c r="A145" s="237">
        <f>2012</f>
        <v>2012</v>
      </c>
      <c r="B145" s="267" t="s">
        <v>59</v>
      </c>
      <c r="C145" s="239">
        <f t="shared" si="15"/>
        <v>268.83102295065214</v>
      </c>
      <c r="D145" s="37">
        <v>0.96667548774829193</v>
      </c>
      <c r="E145" s="37">
        <f t="shared" si="19"/>
        <v>1.0525204640763342</v>
      </c>
      <c r="F145" s="240">
        <f t="shared" si="12"/>
        <v>2.4487580117291685</v>
      </c>
      <c r="G145" s="241">
        <f t="shared" si="18"/>
        <v>2.736544054794031</v>
      </c>
    </row>
    <row r="146" spans="1:7" ht="18" customHeight="1">
      <c r="A146" s="237">
        <f>2012</f>
        <v>2012</v>
      </c>
      <c r="B146" s="267" t="s">
        <v>60</v>
      </c>
      <c r="C146" s="239">
        <f t="shared" si="15"/>
        <v>271.98131270582815</v>
      </c>
      <c r="D146" s="37">
        <v>1.1718475496610647</v>
      </c>
      <c r="E146" s="37">
        <f t="shared" si="19"/>
        <v>2.2367019490053597</v>
      </c>
      <c r="F146" s="240">
        <f t="shared" si="12"/>
        <v>3.6216787175312515</v>
      </c>
      <c r="G146" s="241">
        <f t="shared" si="18"/>
        <v>2.7048473671994322</v>
      </c>
    </row>
    <row r="147" spans="1:7" ht="18" customHeight="1">
      <c r="A147" s="237">
        <f>2012</f>
        <v>2012</v>
      </c>
      <c r="B147" s="267" t="s">
        <v>61</v>
      </c>
      <c r="C147" s="239">
        <f t="shared" si="15"/>
        <v>273.98126164764733</v>
      </c>
      <c r="D147" s="37">
        <v>0.7353258655613315</v>
      </c>
      <c r="E147" s="37">
        <f t="shared" si="19"/>
        <v>2.9884748625332413</v>
      </c>
      <c r="F147" s="240">
        <f t="shared" ref="F147:F210" si="20">100*((C147/C135)-1)</f>
        <v>4.8552150523977433</v>
      </c>
      <c r="G147" s="241">
        <f t="shared" si="18"/>
        <v>2.6851031095181539</v>
      </c>
    </row>
    <row r="148" spans="1:7" ht="18" customHeight="1">
      <c r="A148" s="237">
        <f>2012</f>
        <v>2012</v>
      </c>
      <c r="B148" s="267" t="s">
        <v>62</v>
      </c>
      <c r="C148" s="239">
        <f t="shared" si="15"/>
        <v>278.93850042122989</v>
      </c>
      <c r="D148" s="37">
        <v>1.8093349683007798</v>
      </c>
      <c r="E148" s="37">
        <f t="shared" si="19"/>
        <v>4.85188135154071</v>
      </c>
      <c r="F148" s="240">
        <f t="shared" si="20"/>
        <v>6.989054632833791</v>
      </c>
      <c r="G148" s="241">
        <f t="shared" si="18"/>
        <v>2.6373839985834144</v>
      </c>
    </row>
    <row r="149" spans="1:7" ht="18" customHeight="1">
      <c r="A149" s="237">
        <f>2012</f>
        <v>2012</v>
      </c>
      <c r="B149" s="267" t="s">
        <v>63</v>
      </c>
      <c r="C149" s="239">
        <f t="shared" si="15"/>
        <v>284.48597176482588</v>
      </c>
      <c r="D149" s="37">
        <v>1.9887793672148657</v>
      </c>
      <c r="E149" s="37">
        <f t="shared" si="19"/>
        <v>6.9371539339967647</v>
      </c>
      <c r="F149" s="240">
        <f t="shared" si="20"/>
        <v>8.5014692623310175</v>
      </c>
      <c r="G149" s="241">
        <f t="shared" si="18"/>
        <v>2.5859550579455441</v>
      </c>
    </row>
    <row r="150" spans="1:7" ht="18" customHeight="1">
      <c r="A150" s="237">
        <f>2012</f>
        <v>2012</v>
      </c>
      <c r="B150" s="267" t="s">
        <v>64</v>
      </c>
      <c r="C150" s="239">
        <f t="shared" si="15"/>
        <v>288.03604707564261</v>
      </c>
      <c r="D150" s="37">
        <v>1.2478911662299641</v>
      </c>
      <c r="E150" s="37">
        <f t="shared" si="19"/>
        <v>8.2716132313568558</v>
      </c>
      <c r="F150" s="240">
        <f t="shared" si="20"/>
        <v>9.0440789880621431</v>
      </c>
      <c r="G150" s="241">
        <f t="shared" si="18"/>
        <v>2.5540828832670628</v>
      </c>
    </row>
    <row r="151" spans="1:7" ht="18" customHeight="1">
      <c r="A151" s="237">
        <f>2012</f>
        <v>2012</v>
      </c>
      <c r="B151" s="267" t="s">
        <v>65</v>
      </c>
      <c r="C151" s="239">
        <f t="shared" si="15"/>
        <v>287.46113195986811</v>
      </c>
      <c r="D151" s="37">
        <v>-0.19959832167238956</v>
      </c>
      <c r="E151" s="37">
        <f t="shared" si="19"/>
        <v>8.0555049084994437</v>
      </c>
      <c r="F151" s="240">
        <f t="shared" si="20"/>
        <v>8.0940925296967059</v>
      </c>
      <c r="G151" s="241">
        <f t="shared" si="18"/>
        <v>2.5591909855225574</v>
      </c>
    </row>
    <row r="152" spans="1:7" ht="18" customHeight="1">
      <c r="A152" s="237">
        <f>2012</f>
        <v>2012</v>
      </c>
      <c r="B152" s="267" t="s">
        <v>66</v>
      </c>
      <c r="C152" s="239">
        <f t="shared" si="15"/>
        <v>286.915830588956</v>
      </c>
      <c r="D152" s="37">
        <v>-0.18969568762021716</v>
      </c>
      <c r="E152" s="37">
        <f t="shared" si="19"/>
        <v>7.8505282754517625</v>
      </c>
      <c r="F152" s="240">
        <f t="shared" si="20"/>
        <v>7.3301869314177592</v>
      </c>
      <c r="G152" s="241">
        <f t="shared" si="18"/>
        <v>2.5640548870715474</v>
      </c>
    </row>
    <row r="153" spans="1:7" ht="18" customHeight="1">
      <c r="A153" s="237">
        <f>2012</f>
        <v>2012</v>
      </c>
      <c r="B153" s="267" t="s">
        <v>55</v>
      </c>
      <c r="C153" s="239">
        <f t="shared" si="15"/>
        <v>288.99849378366639</v>
      </c>
      <c r="D153" s="37">
        <v>0.72587949937628071</v>
      </c>
      <c r="E153" s="37">
        <f t="shared" si="19"/>
        <v>8.6333931501722851</v>
      </c>
      <c r="F153" s="240">
        <f t="shared" si="20"/>
        <v>8.6333931501722851</v>
      </c>
      <c r="G153" s="241">
        <f t="shared" si="18"/>
        <v>2.5455770650157734</v>
      </c>
    </row>
    <row r="154" spans="1:7" ht="18" customHeight="1">
      <c r="A154" s="237">
        <f>2013</f>
        <v>2013</v>
      </c>
      <c r="B154" s="267" t="s">
        <v>56</v>
      </c>
      <c r="C154" s="239">
        <f t="shared" si="15"/>
        <v>289.30688519568037</v>
      </c>
      <c r="D154" s="37">
        <v>0.10671038730216686</v>
      </c>
      <c r="E154" s="37">
        <f t="shared" ref="E154:E165" si="21">100*((C154/$C$153)-1)</f>
        <v>0.10671038730216686</v>
      </c>
      <c r="F154" s="240">
        <f t="shared" si="20"/>
        <v>8.8303591492892686</v>
      </c>
      <c r="G154" s="241">
        <f t="shared" si="18"/>
        <v>2.5428635654565093</v>
      </c>
    </row>
    <row r="155" spans="1:7" ht="18" customHeight="1">
      <c r="A155" s="237">
        <f>2013</f>
        <v>2013</v>
      </c>
      <c r="B155" s="267" t="s">
        <v>57</v>
      </c>
      <c r="C155" s="239">
        <f t="shared" si="15"/>
        <v>289.912435219933</v>
      </c>
      <c r="D155" s="37">
        <v>0.20931061624858138</v>
      </c>
      <c r="E155" s="37">
        <f t="shared" si="21"/>
        <v>0.31624435971999709</v>
      </c>
      <c r="F155" s="240">
        <f t="shared" si="20"/>
        <v>9.3393515986659246</v>
      </c>
      <c r="G155" s="241">
        <f t="shared" si="18"/>
        <v>2.537552199310503</v>
      </c>
    </row>
    <row r="156" spans="1:7" ht="18" customHeight="1">
      <c r="A156" s="237">
        <f>2013</f>
        <v>2013</v>
      </c>
      <c r="B156" s="267" t="s">
        <v>58</v>
      </c>
      <c r="C156" s="239">
        <f t="shared" si="15"/>
        <v>289.95532409180248</v>
      </c>
      <c r="D156" s="37">
        <v>1.4793733092877126E-2</v>
      </c>
      <c r="E156" s="37">
        <f t="shared" si="21"/>
        <v>0.33108487715938217</v>
      </c>
      <c r="F156" s="240">
        <f t="shared" si="20"/>
        <v>8.9004713525786538</v>
      </c>
      <c r="G156" s="241">
        <f t="shared" si="18"/>
        <v>2.5371768561383119</v>
      </c>
    </row>
    <row r="157" spans="1:7" ht="18" customHeight="1">
      <c r="A157" s="237">
        <f>2013</f>
        <v>2013</v>
      </c>
      <c r="B157" s="267" t="s">
        <v>59</v>
      </c>
      <c r="C157" s="239">
        <f t="shared" si="15"/>
        <v>289.60404380791897</v>
      </c>
      <c r="D157" s="37">
        <v>-0.1211497960880048</v>
      </c>
      <c r="E157" s="37">
        <f t="shared" si="21"/>
        <v>0.20953397241780802</v>
      </c>
      <c r="F157" s="240">
        <f t="shared" si="20"/>
        <v>7.7271665409985202</v>
      </c>
      <c r="G157" s="241">
        <f t="shared" si="18"/>
        <v>2.5402543691266253</v>
      </c>
    </row>
    <row r="158" spans="1:7" ht="18" customHeight="1">
      <c r="A158" s="237">
        <f>2013</f>
        <v>2013</v>
      </c>
      <c r="B158" s="267" t="s">
        <v>60</v>
      </c>
      <c r="C158" s="239">
        <f t="shared" si="15"/>
        <v>288.72277960736244</v>
      </c>
      <c r="D158" s="37">
        <v>-0.30429968759035919</v>
      </c>
      <c r="E158" s="37">
        <f t="shared" si="21"/>
        <v>-9.5403326395993027E-2</v>
      </c>
      <c r="F158" s="240">
        <f t="shared" si="20"/>
        <v>6.1553739611668323</v>
      </c>
      <c r="G158" s="241">
        <f t="shared" si="18"/>
        <v>2.5480079493562937</v>
      </c>
    </row>
    <row r="159" spans="1:7" ht="18" customHeight="1">
      <c r="A159" s="237">
        <f>2013</f>
        <v>2013</v>
      </c>
      <c r="B159" s="267" t="s">
        <v>61</v>
      </c>
      <c r="C159" s="239">
        <f t="shared" si="15"/>
        <v>290.69719945878313</v>
      </c>
      <c r="D159" s="37">
        <v>0.68384623274468925</v>
      </c>
      <c r="E159" s="37">
        <f t="shared" si="21"/>
        <v>0.58779049429522612</v>
      </c>
      <c r="F159" s="240">
        <f t="shared" si="20"/>
        <v>6.1011244749406446</v>
      </c>
      <c r="G159" s="241">
        <f t="shared" si="18"/>
        <v>2.5307018401603569</v>
      </c>
    </row>
    <row r="160" spans="1:7" ht="18" customHeight="1">
      <c r="A160" s="237">
        <f>2013</f>
        <v>2013</v>
      </c>
      <c r="B160" s="267" t="s">
        <v>62</v>
      </c>
      <c r="C160" s="239">
        <f t="shared" si="15"/>
        <v>291.57591075029984</v>
      </c>
      <c r="D160" s="37">
        <v>0.30227717816087019</v>
      </c>
      <c r="E160" s="37">
        <f t="shared" si="21"/>
        <v>0.89184442897574101</v>
      </c>
      <c r="F160" s="240">
        <f t="shared" si="20"/>
        <v>4.5305364121431602</v>
      </c>
      <c r="G160" s="241">
        <f t="shared" si="18"/>
        <v>2.5230751597645424</v>
      </c>
    </row>
    <row r="161" spans="1:7" ht="18" customHeight="1">
      <c r="A161" s="237">
        <f>2013</f>
        <v>2013</v>
      </c>
      <c r="B161" s="267" t="s">
        <v>63</v>
      </c>
      <c r="C161" s="239">
        <f t="shared" si="15"/>
        <v>291.98029154221217</v>
      </c>
      <c r="D161" s="37">
        <v>0.13868799753442573</v>
      </c>
      <c r="E161" s="37">
        <f t="shared" si="21"/>
        <v>1.0317693076898227</v>
      </c>
      <c r="F161" s="240">
        <f t="shared" si="20"/>
        <v>2.6343371980329433</v>
      </c>
      <c r="G161" s="241">
        <f t="shared" si="18"/>
        <v>2.5195808036017655</v>
      </c>
    </row>
    <row r="162" spans="1:7" ht="18" customHeight="1">
      <c r="A162" s="237">
        <f>2013</f>
        <v>2013</v>
      </c>
      <c r="B162" s="267" t="s">
        <v>64</v>
      </c>
      <c r="C162" s="239">
        <f t="shared" si="15"/>
        <v>298.1419928007964</v>
      </c>
      <c r="D162" s="37">
        <v>2.1103140989546576</v>
      </c>
      <c r="E162" s="37">
        <f t="shared" si="21"/>
        <v>3.163856979813362</v>
      </c>
      <c r="F162" s="240">
        <f t="shared" si="20"/>
        <v>3.5085697876209965</v>
      </c>
      <c r="G162" s="241">
        <f t="shared" si="18"/>
        <v>2.4675086212740966</v>
      </c>
    </row>
    <row r="163" spans="1:7" ht="18" customHeight="1">
      <c r="A163" s="237">
        <f>2013</f>
        <v>2013</v>
      </c>
      <c r="B163" s="267" t="s">
        <v>65</v>
      </c>
      <c r="C163" s="239">
        <f t="shared" si="15"/>
        <v>301.40103648107004</v>
      </c>
      <c r="D163" s="37">
        <v>1.0931179635775612</v>
      </c>
      <c r="E163" s="37">
        <f t="shared" si="21"/>
        <v>4.2915596323791716</v>
      </c>
      <c r="F163" s="240">
        <f t="shared" si="20"/>
        <v>4.849318036898298</v>
      </c>
      <c r="G163" s="241">
        <f t="shared" si="18"/>
        <v>2.4408274974396433</v>
      </c>
    </row>
    <row r="164" spans="1:7" ht="18" customHeight="1">
      <c r="A164" s="237">
        <f>2013</f>
        <v>2013</v>
      </c>
      <c r="B164" s="267" t="s">
        <v>66</v>
      </c>
      <c r="C164" s="239">
        <f t="shared" si="15"/>
        <v>301.90242781649675</v>
      </c>
      <c r="D164" s="37">
        <v>0.16635355381673378</v>
      </c>
      <c r="E164" s="37">
        <f t="shared" si="21"/>
        <v>4.4650523481585269</v>
      </c>
      <c r="F164" s="240">
        <f t="shared" si="20"/>
        <v>5.2233427471664928</v>
      </c>
      <c r="G164" s="241">
        <f t="shared" si="18"/>
        <v>2.4367738375623818</v>
      </c>
    </row>
    <row r="165" spans="1:7" ht="18" customHeight="1">
      <c r="A165" s="237">
        <f>2013</f>
        <v>2013</v>
      </c>
      <c r="B165" s="267" t="s">
        <v>55</v>
      </c>
      <c r="C165" s="239">
        <f t="shared" si="15"/>
        <v>303.79617574225813</v>
      </c>
      <c r="D165" s="37">
        <v>0.62727151267309988</v>
      </c>
      <c r="E165" s="37">
        <f t="shared" si="21"/>
        <v>5.1203318622375704</v>
      </c>
      <c r="F165" s="240">
        <f t="shared" si="20"/>
        <v>5.1203318622375704</v>
      </c>
      <c r="G165" s="241">
        <f t="shared" si="18"/>
        <v>2.4215839314052077</v>
      </c>
    </row>
    <row r="166" spans="1:7" ht="18" customHeight="1">
      <c r="A166" s="237">
        <f>2014</f>
        <v>2014</v>
      </c>
      <c r="B166" s="267" t="s">
        <v>56</v>
      </c>
      <c r="C166" s="239">
        <f t="shared" si="15"/>
        <v>304.74126266881092</v>
      </c>
      <c r="D166" s="37">
        <v>0.31109243697478028</v>
      </c>
      <c r="E166" s="37">
        <f t="shared" ref="E166:E177" si="22">100*((C166/$C$165)-1)</f>
        <v>0.31109243697478028</v>
      </c>
      <c r="F166" s="240">
        <f t="shared" si="20"/>
        <v>5.3349499313475102</v>
      </c>
      <c r="G166" s="241">
        <f t="shared" si="18"/>
        <v>2.4140739299860408</v>
      </c>
    </row>
    <row r="167" spans="1:7" ht="18" customHeight="1">
      <c r="A167" s="237">
        <f>2014</f>
        <v>2014</v>
      </c>
      <c r="B167" s="267" t="s">
        <v>57</v>
      </c>
      <c r="C167" s="239">
        <f t="shared" si="15"/>
        <v>305.55206657986753</v>
      </c>
      <c r="D167" s="37">
        <v>0.26606305426311039</v>
      </c>
      <c r="E167" s="37">
        <f t="shared" si="22"/>
        <v>0.5779831932772872</v>
      </c>
      <c r="F167" s="240">
        <f t="shared" si="20"/>
        <v>5.3946052186654159</v>
      </c>
      <c r="G167" s="241">
        <f t="shared" si="18"/>
        <v>2.4076680149290048</v>
      </c>
    </row>
    <row r="168" spans="1:7" ht="18" customHeight="1">
      <c r="A168" s="237">
        <f>2014</f>
        <v>2014</v>
      </c>
      <c r="B168" s="267" t="s">
        <v>58</v>
      </c>
      <c r="C168" s="239">
        <f t="shared" si="15"/>
        <v>312.2631538638276</v>
      </c>
      <c r="D168" s="37">
        <v>2.1963809176875237</v>
      </c>
      <c r="E168" s="37">
        <f t="shared" si="22"/>
        <v>2.7870588235293869</v>
      </c>
      <c r="F168" s="240">
        <f t="shared" si="20"/>
        <v>7.6935403210469211</v>
      </c>
      <c r="G168" s="241">
        <f t="shared" si="18"/>
        <v>2.3559229723293464</v>
      </c>
    </row>
    <row r="169" spans="1:7" ht="18" customHeight="1">
      <c r="A169" s="237">
        <f>2014</f>
        <v>2014</v>
      </c>
      <c r="B169" s="267" t="s">
        <v>59</v>
      </c>
      <c r="C169" s="239">
        <f t="shared" si="15"/>
        <v>314.73590155982725</v>
      </c>
      <c r="D169" s="37">
        <v>0.79187943418965734</v>
      </c>
      <c r="E169" s="37">
        <f t="shared" si="22"/>
        <v>3.6010084033613499</v>
      </c>
      <c r="F169" s="240">
        <f t="shared" si="20"/>
        <v>8.6780065020698025</v>
      </c>
      <c r="G169" s="241">
        <f t="shared" si="18"/>
        <v>2.3374134757231175</v>
      </c>
    </row>
    <row r="170" spans="1:7" ht="18" customHeight="1">
      <c r="A170" s="237">
        <f>2014</f>
        <v>2014</v>
      </c>
      <c r="B170" s="267" t="s">
        <v>60</v>
      </c>
      <c r="C170" s="239">
        <f t="shared" si="15"/>
        <v>312.68693676444292</v>
      </c>
      <c r="D170" s="37">
        <v>-0.65101082692813339</v>
      </c>
      <c r="E170" s="37">
        <f t="shared" si="22"/>
        <v>2.9265546218487426</v>
      </c>
      <c r="F170" s="240">
        <f t="shared" si="20"/>
        <v>8.3000576503418309</v>
      </c>
      <c r="G170" s="241">
        <f t="shared" si="18"/>
        <v>2.3527300027695337</v>
      </c>
    </row>
    <row r="171" spans="1:7" ht="18" customHeight="1">
      <c r="A171" s="237">
        <f>2014</f>
        <v>2014</v>
      </c>
      <c r="B171" s="267" t="s">
        <v>61</v>
      </c>
      <c r="C171" s="239">
        <f t="shared" si="15"/>
        <v>308.18411579995393</v>
      </c>
      <c r="D171" s="37">
        <v>-1.4400412793327266</v>
      </c>
      <c r="E171" s="37">
        <f t="shared" si="22"/>
        <v>1.4443697478991879</v>
      </c>
      <c r="F171" s="240">
        <f t="shared" si="20"/>
        <v>6.0155090498731134</v>
      </c>
      <c r="G171" s="241">
        <f t="shared" si="18"/>
        <v>2.3871053045359929</v>
      </c>
    </row>
    <row r="172" spans="1:7" ht="18" customHeight="1">
      <c r="A172" s="237">
        <f>2014</f>
        <v>2014</v>
      </c>
      <c r="B172" s="267" t="s">
        <v>62</v>
      </c>
      <c r="C172" s="239">
        <f t="shared" si="15"/>
        <v>304.76270710474574</v>
      </c>
      <c r="D172" s="37">
        <v>-1.1101833351557566</v>
      </c>
      <c r="E172" s="37">
        <f t="shared" si="22"/>
        <v>0.31815126050422915</v>
      </c>
      <c r="F172" s="240">
        <f t="shared" si="20"/>
        <v>4.522594586264983</v>
      </c>
      <c r="G172" s="241">
        <f t="shared" si="18"/>
        <v>2.4139040651944286</v>
      </c>
    </row>
    <row r="173" spans="1:7" ht="18" customHeight="1">
      <c r="A173" s="237">
        <f>2014</f>
        <v>2014</v>
      </c>
      <c r="B173" s="267" t="s">
        <v>63</v>
      </c>
      <c r="C173" s="239">
        <f t="shared" si="15"/>
        <v>303.39945367746532</v>
      </c>
      <c r="D173" s="37">
        <v>-0.44731635318223661</v>
      </c>
      <c r="E173" s="37">
        <f t="shared" si="22"/>
        <v>-0.13058823529411567</v>
      </c>
      <c r="F173" s="240">
        <f t="shared" si="20"/>
        <v>3.9109359316473746</v>
      </c>
      <c r="G173" s="241">
        <f t="shared" si="18"/>
        <v>2.4247503701238395</v>
      </c>
    </row>
    <row r="174" spans="1:7" ht="18" customHeight="1">
      <c r="A174" s="237">
        <f>2014</f>
        <v>2014</v>
      </c>
      <c r="B174" s="267" t="s">
        <v>64</v>
      </c>
      <c r="C174" s="239">
        <f t="shared" si="15"/>
        <v>303.78085828801903</v>
      </c>
      <c r="D174" s="37">
        <v>0.12571038145612334</v>
      </c>
      <c r="E174" s="37">
        <f t="shared" si="22"/>
        <v>-5.0420168067222271E-3</v>
      </c>
      <c r="F174" s="240">
        <f t="shared" si="20"/>
        <v>1.8913355459424519</v>
      </c>
      <c r="G174" s="241">
        <f t="shared" si="18"/>
        <v>2.4217060342304628</v>
      </c>
    </row>
    <row r="175" spans="1:7" ht="18" customHeight="1">
      <c r="A175" s="237">
        <f>2014</f>
        <v>2014</v>
      </c>
      <c r="B175" s="267" t="s">
        <v>65</v>
      </c>
      <c r="C175" s="239">
        <f t="shared" ref="C175:C238" si="23">+C174*(1+D175/100)</f>
        <v>304.49158816471351</v>
      </c>
      <c r="D175" s="37">
        <v>0.2339613762038395</v>
      </c>
      <c r="E175" s="37">
        <f t="shared" si="22"/>
        <v>0.22890756302520465</v>
      </c>
      <c r="F175" s="240">
        <f t="shared" si="20"/>
        <v>1.0253951743917078</v>
      </c>
      <c r="G175" s="241">
        <f t="shared" si="18"/>
        <v>2.4160534024402938</v>
      </c>
    </row>
    <row r="176" spans="1:7" ht="18" customHeight="1">
      <c r="A176" s="237">
        <f>2014</f>
        <v>2014</v>
      </c>
      <c r="B176" s="267" t="s">
        <v>66</v>
      </c>
      <c r="C176" s="239">
        <f t="shared" si="23"/>
        <v>308.31431416098633</v>
      </c>
      <c r="D176" s="37">
        <v>1.255445517990772</v>
      </c>
      <c r="E176" s="37">
        <f t="shared" si="22"/>
        <v>1.4872268907563324</v>
      </c>
      <c r="F176" s="240">
        <f t="shared" si="20"/>
        <v>2.1238273540439501</v>
      </c>
      <c r="G176" s="241">
        <f t="shared" si="18"/>
        <v>2.3860972514421621</v>
      </c>
    </row>
    <row r="177" spans="1:7" ht="18" customHeight="1">
      <c r="A177" s="237">
        <f>2014</f>
        <v>2014</v>
      </c>
      <c r="B177" s="267" t="s">
        <v>55</v>
      </c>
      <c r="C177" s="239">
        <f t="shared" si="23"/>
        <v>310.25809910392877</v>
      </c>
      <c r="D177" s="37">
        <v>0.6304556271518047</v>
      </c>
      <c r="E177" s="37">
        <f t="shared" si="22"/>
        <v>2.1270588235294152</v>
      </c>
      <c r="F177" s="240">
        <f t="shared" si="20"/>
        <v>2.1270588235294152</v>
      </c>
      <c r="G177" s="241">
        <f t="shared" si="18"/>
        <v>2.37114821409827</v>
      </c>
    </row>
    <row r="178" spans="1:7" ht="18" customHeight="1">
      <c r="A178" s="237">
        <f>2015</f>
        <v>2015</v>
      </c>
      <c r="B178" s="267" t="s">
        <v>56</v>
      </c>
      <c r="C178" s="239">
        <f t="shared" si="23"/>
        <v>312.00326772357084</v>
      </c>
      <c r="D178" s="37">
        <v>0.56248930315836443</v>
      </c>
      <c r="E178" s="37">
        <f t="shared" ref="E178:E189" si="24">100*((C178/$C$177)-1)</f>
        <v>0.56248930315836443</v>
      </c>
      <c r="F178" s="240">
        <f t="shared" si="20"/>
        <v>2.3830068140960003</v>
      </c>
      <c r="G178" s="241">
        <f t="shared" si="18"/>
        <v>2.3578853611610024</v>
      </c>
    </row>
    <row r="179" spans="1:7" ht="18" customHeight="1">
      <c r="A179" s="237">
        <f>2015</f>
        <v>2015</v>
      </c>
      <c r="B179" s="267" t="s">
        <v>57</v>
      </c>
      <c r="C179" s="239">
        <f t="shared" si="23"/>
        <v>311.72908529269091</v>
      </c>
      <c r="D179" s="37">
        <v>-8.7878063867863343E-2</v>
      </c>
      <c r="E179" s="37">
        <f t="shared" si="24"/>
        <v>0.47411693458141446</v>
      </c>
      <c r="F179" s="240">
        <f t="shared" si="20"/>
        <v>2.0215928440493025</v>
      </c>
      <c r="G179" s="241">
        <f t="shared" si="18"/>
        <v>2.359959247655913</v>
      </c>
    </row>
    <row r="180" spans="1:7" ht="18" customHeight="1">
      <c r="A180" s="237">
        <f>2015</f>
        <v>2015</v>
      </c>
      <c r="B180" s="267" t="s">
        <v>58</v>
      </c>
      <c r="C180" s="239">
        <f t="shared" si="23"/>
        <v>314.59855505348332</v>
      </c>
      <c r="D180" s="37">
        <v>0.92050113260948585</v>
      </c>
      <c r="E180" s="37">
        <f t="shared" si="24"/>
        <v>1.3989823189436201</v>
      </c>
      <c r="F180" s="240">
        <f t="shared" si="20"/>
        <v>0.74789521618492394</v>
      </c>
      <c r="G180" s="241">
        <f t="shared" si="18"/>
        <v>2.3384339367825056</v>
      </c>
    </row>
    <row r="181" spans="1:7" ht="18" customHeight="1">
      <c r="A181" s="237">
        <f>2015</f>
        <v>2015</v>
      </c>
      <c r="B181" s="267" t="s">
        <v>59</v>
      </c>
      <c r="C181" s="239">
        <f t="shared" si="23"/>
        <v>319.02836281943257</v>
      </c>
      <c r="D181" s="37">
        <v>1.4080826802259638</v>
      </c>
      <c r="E181" s="37">
        <f t="shared" si="24"/>
        <v>2.8267638269020567</v>
      </c>
      <c r="F181" s="240">
        <f t="shared" si="20"/>
        <v>1.3638295594280647</v>
      </c>
      <c r="G181" s="241">
        <f t="shared" si="18"/>
        <v>2.305964056293599</v>
      </c>
    </row>
    <row r="182" spans="1:7" ht="18" customHeight="1">
      <c r="A182" s="237">
        <f>2015</f>
        <v>2015</v>
      </c>
      <c r="B182" s="267" t="s">
        <v>60</v>
      </c>
      <c r="C182" s="239">
        <f t="shared" si="23"/>
        <v>319.98110847310494</v>
      </c>
      <c r="D182" s="37">
        <v>0.29863979655364581</v>
      </c>
      <c r="E182" s="37">
        <f t="shared" si="24"/>
        <v>3.1338454651974157</v>
      </c>
      <c r="F182" s="240">
        <f t="shared" si="20"/>
        <v>2.3327395074892232</v>
      </c>
      <c r="G182" s="241">
        <f t="shared" si="18"/>
        <v>2.2990980346004992</v>
      </c>
    </row>
    <row r="183" spans="1:7" ht="18" customHeight="1">
      <c r="A183" s="237">
        <f>2015</f>
        <v>2015</v>
      </c>
      <c r="B183" s="267" t="s">
        <v>61</v>
      </c>
      <c r="C183" s="239">
        <f t="shared" si="23"/>
        <v>321.3060682647876</v>
      </c>
      <c r="D183" s="37">
        <v>0.4140743802048652</v>
      </c>
      <c r="E183" s="37">
        <f t="shared" si="24"/>
        <v>3.5608962965888669</v>
      </c>
      <c r="F183" s="240">
        <f t="shared" si="20"/>
        <v>4.2578289379947343</v>
      </c>
      <c r="G183" s="241">
        <f t="shared" si="18"/>
        <v>2.2896173158906619</v>
      </c>
    </row>
    <row r="184" spans="1:7" ht="18" customHeight="1">
      <c r="A184" s="237">
        <f>2015</f>
        <v>2015</v>
      </c>
      <c r="B184" s="267" t="s">
        <v>62</v>
      </c>
      <c r="C184" s="239">
        <f t="shared" si="23"/>
        <v>323.64555410890694</v>
      </c>
      <c r="D184" s="37">
        <v>0.72811754124462169</v>
      </c>
      <c r="E184" s="37">
        <f t="shared" si="24"/>
        <v>4.3149413483944965</v>
      </c>
      <c r="F184" s="240">
        <f t="shared" si="20"/>
        <v>6.1959178613252064</v>
      </c>
      <c r="G184" s="241">
        <f t="shared" si="18"/>
        <v>2.2730667183898716</v>
      </c>
    </row>
    <row r="185" spans="1:7" ht="18" customHeight="1">
      <c r="A185" s="237">
        <f>2015</f>
        <v>2015</v>
      </c>
      <c r="B185" s="267" t="s">
        <v>63</v>
      </c>
      <c r="C185" s="239">
        <f t="shared" si="23"/>
        <v>324.29297184141319</v>
      </c>
      <c r="D185" s="37">
        <v>0.20003912437134286</v>
      </c>
      <c r="E185" s="37">
        <f t="shared" si="24"/>
        <v>4.5236120436562999</v>
      </c>
      <c r="F185" s="240">
        <f t="shared" si="20"/>
        <v>6.8864719137428532</v>
      </c>
      <c r="G185" s="241">
        <f t="shared" si="18"/>
        <v>2.2685287732956589</v>
      </c>
    </row>
    <row r="186" spans="1:7" ht="18" customHeight="1">
      <c r="A186" s="237">
        <f>2015</f>
        <v>2015</v>
      </c>
      <c r="B186" s="267" t="s">
        <v>64</v>
      </c>
      <c r="C186" s="239">
        <f t="shared" si="23"/>
        <v>328.5180363023664</v>
      </c>
      <c r="D186" s="37">
        <v>1.3028541559079398</v>
      </c>
      <c r="E186" s="37">
        <f t="shared" si="24"/>
        <v>5.8854022670721706</v>
      </c>
      <c r="F186" s="240">
        <f t="shared" si="20"/>
        <v>8.1430996520833077</v>
      </c>
      <c r="G186" s="241">
        <f t="shared" si="18"/>
        <v>2.2393532662014928</v>
      </c>
    </row>
    <row r="187" spans="1:7" ht="18" customHeight="1">
      <c r="A187" s="237">
        <f>2015</f>
        <v>2015</v>
      </c>
      <c r="B187" s="267" t="s">
        <v>65</v>
      </c>
      <c r="C187" s="239">
        <f t="shared" si="23"/>
        <v>337.14329478440669</v>
      </c>
      <c r="D187" s="37">
        <v>2.6255053083604984</v>
      </c>
      <c r="E187" s="37">
        <f t="shared" si="24"/>
        <v>8.6654291243730022</v>
      </c>
      <c r="F187" s="240">
        <f t="shared" si="20"/>
        <v>10.723352594565071</v>
      </c>
      <c r="G187" s="241">
        <f t="shared" si="18"/>
        <v>2.1820630840967574</v>
      </c>
    </row>
    <row r="188" spans="1:7" ht="18" customHeight="1">
      <c r="A188" s="237">
        <f>2015</f>
        <v>2015</v>
      </c>
      <c r="B188" s="267" t="s">
        <v>66</v>
      </c>
      <c r="C188" s="239">
        <f t="shared" si="23"/>
        <v>343.66495621760987</v>
      </c>
      <c r="D188" s="37">
        <v>1.9343885920595216</v>
      </c>
      <c r="E188" s="37">
        <f t="shared" si="24"/>
        <v>10.7674407888674</v>
      </c>
      <c r="F188" s="240">
        <f t="shared" si="20"/>
        <v>11.465780352372867</v>
      </c>
      <c r="G188" s="241">
        <f t="shared" si="18"/>
        <v>2.1406545075081125</v>
      </c>
    </row>
    <row r="189" spans="1:7" ht="18" customHeight="1">
      <c r="A189" s="237">
        <f>2015</f>
        <v>2015</v>
      </c>
      <c r="B189" s="267" t="s">
        <v>55</v>
      </c>
      <c r="C189" s="239">
        <f t="shared" si="23"/>
        <v>345.00625462714754</v>
      </c>
      <c r="D189" s="37">
        <v>0.39029245934762979</v>
      </c>
      <c r="E189" s="37">
        <f t="shared" si="24"/>
        <v>11.199757757678718</v>
      </c>
      <c r="F189" s="240">
        <f t="shared" si="20"/>
        <v>11.199757757678718</v>
      </c>
      <c r="G189" s="241">
        <f t="shared" si="18"/>
        <v>2.1323321758176532</v>
      </c>
    </row>
    <row r="190" spans="1:7" ht="18" customHeight="1">
      <c r="A190" s="237">
        <f>2016</f>
        <v>2016</v>
      </c>
      <c r="B190" s="267" t="s">
        <v>56</v>
      </c>
      <c r="C190" s="239">
        <f t="shared" si="23"/>
        <v>348.94998851190928</v>
      </c>
      <c r="D190" s="37">
        <v>1.1430905474521857</v>
      </c>
      <c r="E190" s="37">
        <f t="shared" ref="E190:E201" si="25">100*((C190/$C$189)-1)</f>
        <v>1.1430905474521857</v>
      </c>
      <c r="F190" s="240">
        <f t="shared" si="20"/>
        <v>11.841773664073463</v>
      </c>
      <c r="G190" s="241">
        <f t="shared" si="18"/>
        <v>2.1082331618265613</v>
      </c>
    </row>
    <row r="191" spans="1:7" ht="18" customHeight="1">
      <c r="A191" s="237">
        <f>2016</f>
        <v>2016</v>
      </c>
      <c r="B191" s="267" t="s">
        <v>57</v>
      </c>
      <c r="C191" s="239">
        <f t="shared" si="23"/>
        <v>354.00679073804599</v>
      </c>
      <c r="D191" s="37">
        <v>1.4491481279885754</v>
      </c>
      <c r="E191" s="37">
        <f t="shared" si="25"/>
        <v>2.6088037507103756</v>
      </c>
      <c r="F191" s="240">
        <f t="shared" si="20"/>
        <v>13.56232300417506</v>
      </c>
      <c r="G191" s="241">
        <f t="shared" si="18"/>
        <v>2.078118151536184</v>
      </c>
    </row>
    <row r="192" spans="1:7" ht="18" customHeight="1">
      <c r="A192" s="237">
        <f>2016</f>
        <v>2016</v>
      </c>
      <c r="B192" s="267" t="s">
        <v>58</v>
      </c>
      <c r="C192" s="239">
        <f t="shared" si="23"/>
        <v>355.58142503382595</v>
      </c>
      <c r="D192" s="37">
        <v>0.44480341535175771</v>
      </c>
      <c r="E192" s="37">
        <f t="shared" si="25"/>
        <v>3.0652112142451227</v>
      </c>
      <c r="F192" s="240">
        <f t="shared" si="20"/>
        <v>13.027036940260373</v>
      </c>
      <c r="G192" s="241">
        <f t="shared" si="18"/>
        <v>2.0689155445333562</v>
      </c>
    </row>
    <row r="193" spans="1:7" ht="18" customHeight="1">
      <c r="A193" s="237">
        <f>2016</f>
        <v>2016</v>
      </c>
      <c r="B193" s="267" t="s">
        <v>59</v>
      </c>
      <c r="C193" s="239">
        <f t="shared" si="23"/>
        <v>356.62199075846917</v>
      </c>
      <c r="D193" s="37">
        <v>0.29263781834054647</v>
      </c>
      <c r="E193" s="37">
        <f t="shared" si="25"/>
        <v>3.3668189998105724</v>
      </c>
      <c r="F193" s="240">
        <f t="shared" si="20"/>
        <v>11.783788628321524</v>
      </c>
      <c r="G193" s="241">
        <f t="shared" si="18"/>
        <v>2.0628787810734126</v>
      </c>
    </row>
    <row r="194" spans="1:7" ht="18" customHeight="1">
      <c r="A194" s="237">
        <f>2016</f>
        <v>2016</v>
      </c>
      <c r="B194" s="267" t="s">
        <v>60</v>
      </c>
      <c r="C194" s="239">
        <f t="shared" si="23"/>
        <v>360.11896556125697</v>
      </c>
      <c r="D194" s="37">
        <v>0.98058305247816779</v>
      </c>
      <c r="E194" s="37">
        <f t="shared" si="25"/>
        <v>4.3804165088084934</v>
      </c>
      <c r="F194" s="240">
        <f t="shared" si="20"/>
        <v>12.543820877327105</v>
      </c>
      <c r="G194" s="241">
        <f t="shared" si="18"/>
        <v>2.0428469698985241</v>
      </c>
    </row>
    <row r="195" spans="1:7" ht="18" customHeight="1">
      <c r="A195" s="237">
        <f>2016</f>
        <v>2016</v>
      </c>
      <c r="B195" s="267" t="s">
        <v>61</v>
      </c>
      <c r="C195" s="239">
        <f t="shared" si="23"/>
        <v>368.07759041386049</v>
      </c>
      <c r="D195" s="37">
        <v>2.2099988097543655</v>
      </c>
      <c r="E195" s="37">
        <f t="shared" si="25"/>
        <v>6.6872224712698047</v>
      </c>
      <c r="F195" s="240">
        <f t="shared" si="20"/>
        <v>14.556688083005209</v>
      </c>
      <c r="G195" s="241">
        <f t="shared" si="18"/>
        <v>1.9986762485937588</v>
      </c>
    </row>
    <row r="196" spans="1:7" ht="18" customHeight="1">
      <c r="A196" s="237">
        <f>2016</f>
        <v>2016</v>
      </c>
      <c r="B196" s="267" t="s">
        <v>62</v>
      </c>
      <c r="C196" s="239">
        <f t="shared" si="23"/>
        <v>368.04077346696005</v>
      </c>
      <c r="D196" s="37">
        <v>-1.0002496174532638E-2</v>
      </c>
      <c r="E196" s="37">
        <f t="shared" si="25"/>
        <v>6.6765510859234212</v>
      </c>
      <c r="F196" s="240">
        <f t="shared" si="20"/>
        <v>13.717234423406932</v>
      </c>
      <c r="G196" s="241">
        <f t="shared" si="18"/>
        <v>1.9988761861078077</v>
      </c>
    </row>
    <row r="197" spans="1:7" ht="18" customHeight="1">
      <c r="A197" s="237">
        <f>2016</f>
        <v>2016</v>
      </c>
      <c r="B197" s="267" t="s">
        <v>63</v>
      </c>
      <c r="C197" s="239">
        <f t="shared" si="23"/>
        <v>368.18797574398025</v>
      </c>
      <c r="D197" s="37">
        <v>3.9996187279345286E-2</v>
      </c>
      <c r="E197" s="37">
        <f t="shared" si="25"/>
        <v>6.7192176390788783</v>
      </c>
      <c r="F197" s="240">
        <f t="shared" si="20"/>
        <v>13.535601358648242</v>
      </c>
      <c r="G197" s="241">
        <f t="shared" si="18"/>
        <v>1.998077031476313</v>
      </c>
    </row>
    <row r="198" spans="1:7" ht="18" customHeight="1">
      <c r="A198" s="237">
        <f>2016</f>
        <v>2016</v>
      </c>
      <c r="B198" s="267" t="s">
        <v>64</v>
      </c>
      <c r="C198" s="239">
        <f t="shared" si="23"/>
        <v>368.85071354347946</v>
      </c>
      <c r="D198" s="37">
        <v>0.17999984876204689</v>
      </c>
      <c r="E198" s="37">
        <f t="shared" si="25"/>
        <v>6.9113120694292762</v>
      </c>
      <c r="F198" s="240">
        <f t="shared" si="20"/>
        <v>12.27715765474473</v>
      </c>
      <c r="G198" s="241">
        <f t="shared" si="18"/>
        <v>1.994486957968391</v>
      </c>
    </row>
    <row r="199" spans="1:7" ht="18" customHeight="1">
      <c r="A199" s="237">
        <f>2016</f>
        <v>2016</v>
      </c>
      <c r="B199" s="267" t="s">
        <v>65</v>
      </c>
      <c r="C199" s="239">
        <f t="shared" si="23"/>
        <v>369.40398316100237</v>
      </c>
      <c r="D199" s="37">
        <v>0.14999825056802862</v>
      </c>
      <c r="E199" s="37">
        <f t="shared" si="25"/>
        <v>7.071677167192747</v>
      </c>
      <c r="F199" s="240">
        <f t="shared" si="20"/>
        <v>9.5688358260915365</v>
      </c>
      <c r="G199" s="241">
        <f t="shared" ref="G199:G262" si="26">+$C$314/C199</f>
        <v>1.991499743193534</v>
      </c>
    </row>
    <row r="200" spans="1:7" ht="18" customHeight="1">
      <c r="A200" s="237">
        <f>2016</f>
        <v>2016</v>
      </c>
      <c r="B200" s="267" t="s">
        <v>66</v>
      </c>
      <c r="C200" s="239">
        <f t="shared" si="23"/>
        <v>368.81293031549927</v>
      </c>
      <c r="D200" s="37">
        <v>-0.16000175213202183</v>
      </c>
      <c r="E200" s="37">
        <f t="shared" si="25"/>
        <v>6.900360607688083</v>
      </c>
      <c r="F200" s="240">
        <f t="shared" si="20"/>
        <v>7.3175846541553069</v>
      </c>
      <c r="G200" s="241">
        <f t="shared" si="26"/>
        <v>1.9946912841978754</v>
      </c>
    </row>
    <row r="201" spans="1:7" ht="18" customHeight="1">
      <c r="A201" s="237">
        <f>2016</f>
        <v>2016</v>
      </c>
      <c r="B201" s="267" t="s">
        <v>55</v>
      </c>
      <c r="C201" s="239">
        <f t="shared" si="23"/>
        <v>371.35773799353984</v>
      </c>
      <c r="D201" s="37">
        <v>0.68999958213602497</v>
      </c>
      <c r="E201" s="37">
        <f t="shared" si="25"/>
        <v>7.6379726491830224</v>
      </c>
      <c r="F201" s="240">
        <f t="shared" si="20"/>
        <v>7.6379726491830224</v>
      </c>
      <c r="G201" s="241">
        <f t="shared" si="26"/>
        <v>1.9810222390265704</v>
      </c>
    </row>
    <row r="202" spans="1:7" ht="18" customHeight="1">
      <c r="A202" s="237">
        <f>2017</f>
        <v>2017</v>
      </c>
      <c r="B202" s="267" t="s">
        <v>56</v>
      </c>
      <c r="C202" s="239">
        <f t="shared" si="23"/>
        <v>373.94025260361281</v>
      </c>
      <c r="D202" s="37">
        <v>0.69542501632695597</v>
      </c>
      <c r="E202" s="37">
        <f t="shared" ref="E202:E213" si="27">100*((C202/$C$201)-1)</f>
        <v>0.69542501632695597</v>
      </c>
      <c r="F202" s="240">
        <f t="shared" si="20"/>
        <v>7.1615603709500153</v>
      </c>
      <c r="G202" s="241">
        <f t="shared" si="26"/>
        <v>1.9673408585398628</v>
      </c>
    </row>
    <row r="203" spans="1:7" ht="18" customHeight="1">
      <c r="A203" s="237">
        <f>2017</f>
        <v>2017</v>
      </c>
      <c r="B203" s="267" t="s">
        <v>57</v>
      </c>
      <c r="C203" s="239">
        <f t="shared" si="23"/>
        <v>373.58693111089423</v>
      </c>
      <c r="D203" s="37">
        <v>-9.4486081735922767E-2</v>
      </c>
      <c r="E203" s="37">
        <f t="shared" si="27"/>
        <v>0.60028185474167994</v>
      </c>
      <c r="F203" s="240">
        <f t="shared" si="20"/>
        <v>5.5310069990541333</v>
      </c>
      <c r="G203" s="241">
        <f t="shared" si="26"/>
        <v>1.969201479859668</v>
      </c>
    </row>
    <row r="204" spans="1:7" ht="18" customHeight="1">
      <c r="A204" s="237">
        <f>2017</f>
        <v>2017</v>
      </c>
      <c r="B204" s="267" t="s">
        <v>58</v>
      </c>
      <c r="C204" s="239">
        <f t="shared" si="23"/>
        <v>372.94053658808826</v>
      </c>
      <c r="D204" s="37">
        <v>-0.17302385843205315</v>
      </c>
      <c r="E204" s="37">
        <f t="shared" si="27"/>
        <v>0.42621936548308259</v>
      </c>
      <c r="F204" s="240">
        <f t="shared" si="20"/>
        <v>4.8818949281760116</v>
      </c>
      <c r="G204" s="241">
        <f t="shared" si="26"/>
        <v>1.972614573707089</v>
      </c>
    </row>
    <row r="205" spans="1:7" ht="18" customHeight="1">
      <c r="A205" s="237">
        <f>2017</f>
        <v>2017</v>
      </c>
      <c r="B205" s="267" t="s">
        <v>59</v>
      </c>
      <c r="C205" s="239">
        <f t="shared" si="23"/>
        <v>366.33771354786222</v>
      </c>
      <c r="D205" s="37">
        <v>-1.7704760926857466</v>
      </c>
      <c r="E205" s="37">
        <f t="shared" si="27"/>
        <v>-1.3518028391709347</v>
      </c>
      <c r="F205" s="240">
        <f t="shared" si="20"/>
        <v>2.7243756810199748</v>
      </c>
      <c r="G205" s="241">
        <f t="shared" si="26"/>
        <v>2.0081687208098202</v>
      </c>
    </row>
    <row r="206" spans="1:7" ht="18" customHeight="1">
      <c r="A206" s="237">
        <f>2017</f>
        <v>2017</v>
      </c>
      <c r="B206" s="267" t="s">
        <v>60</v>
      </c>
      <c r="C206" s="239">
        <f t="shared" si="23"/>
        <v>360.64065976787128</v>
      </c>
      <c r="D206" s="37">
        <v>-1.5551371232890077</v>
      </c>
      <c r="E206" s="37">
        <f t="shared" si="27"/>
        <v>-2.8859175746743126</v>
      </c>
      <c r="F206" s="240">
        <f t="shared" si="20"/>
        <v>0.14486718459862935</v>
      </c>
      <c r="G206" s="241">
        <f t="shared" si="26"/>
        <v>2.0398918360268148</v>
      </c>
    </row>
    <row r="207" spans="1:7" ht="18" customHeight="1">
      <c r="A207" s="237">
        <f>2017</f>
        <v>2017</v>
      </c>
      <c r="B207" s="267" t="s">
        <v>61</v>
      </c>
      <c r="C207" s="239">
        <f t="shared" si="23"/>
        <v>356.24354315617722</v>
      </c>
      <c r="D207" s="37">
        <v>-1.219251488316464</v>
      </c>
      <c r="E207" s="37">
        <f t="shared" si="27"/>
        <v>-4.06998247000997</v>
      </c>
      <c r="F207" s="240">
        <f t="shared" si="20"/>
        <v>-3.2150958292183063</v>
      </c>
      <c r="G207" s="241">
        <f t="shared" si="26"/>
        <v>2.065070235609261</v>
      </c>
    </row>
    <row r="208" spans="1:7" ht="18" customHeight="1">
      <c r="A208" s="237">
        <f>2017</f>
        <v>2017</v>
      </c>
      <c r="B208" s="267" t="s">
        <v>62</v>
      </c>
      <c r="C208" s="239">
        <f t="shared" si="23"/>
        <v>352.10478012152885</v>
      </c>
      <c r="D208" s="37">
        <v>-1.1617791014485679</v>
      </c>
      <c r="E208" s="37">
        <f t="shared" si="27"/>
        <v>-5.1844773656893439</v>
      </c>
      <c r="F208" s="240">
        <f t="shared" si="20"/>
        <v>-4.3299532264627789</v>
      </c>
      <c r="G208" s="241">
        <f t="shared" si="26"/>
        <v>2.0893437951790634</v>
      </c>
    </row>
    <row r="209" spans="1:7" ht="18" customHeight="1">
      <c r="A209" s="237">
        <f>2017</f>
        <v>2017</v>
      </c>
      <c r="B209" s="267" t="s">
        <v>63</v>
      </c>
      <c r="C209" s="239">
        <f t="shared" si="23"/>
        <v>351.93679923843001</v>
      </c>
      <c r="D209" s="37">
        <v>-4.7707640617900005E-2</v>
      </c>
      <c r="E209" s="37">
        <f t="shared" si="27"/>
        <v>-5.229711614477706</v>
      </c>
      <c r="F209" s="240">
        <f t="shared" si="20"/>
        <v>-4.4138259737331875</v>
      </c>
      <c r="G209" s="241">
        <f t="shared" si="26"/>
        <v>2.0903410475737285</v>
      </c>
    </row>
    <row r="210" spans="1:7" ht="18" customHeight="1">
      <c r="A210" s="237">
        <f>2017</f>
        <v>2017</v>
      </c>
      <c r="B210" s="267" t="s">
        <v>64</v>
      </c>
      <c r="C210" s="239">
        <f t="shared" si="23"/>
        <v>354.54535343828422</v>
      </c>
      <c r="D210" s="37">
        <v>0.74119961467484785</v>
      </c>
      <c r="E210" s="37">
        <f t="shared" si="27"/>
        <v>-4.5272746021379762</v>
      </c>
      <c r="F210" s="240">
        <f t="shared" si="20"/>
        <v>-3.8783604260288151</v>
      </c>
      <c r="G210" s="241">
        <f t="shared" si="26"/>
        <v>2.0749614413656747</v>
      </c>
    </row>
    <row r="211" spans="1:7" ht="18" customHeight="1">
      <c r="A211" s="237">
        <f>2017</f>
        <v>2017</v>
      </c>
      <c r="B211" s="267" t="s">
        <v>65</v>
      </c>
      <c r="C211" s="239">
        <f t="shared" si="23"/>
        <v>355.12843601730816</v>
      </c>
      <c r="D211" s="37">
        <v>0.16445923585497457</v>
      </c>
      <c r="E211" s="37">
        <f t="shared" si="27"/>
        <v>-4.3702608874987341</v>
      </c>
      <c r="F211" s="240">
        <f t="shared" ref="F211:F274" si="28">100*((C211/C199)-1)</f>
        <v>-3.8644811086057773</v>
      </c>
      <c r="G211" s="241">
        <f t="shared" si="26"/>
        <v>2.0715545785354963</v>
      </c>
    </row>
    <row r="212" spans="1:7" ht="18" customHeight="1">
      <c r="A212" s="237">
        <f>2017</f>
        <v>2017</v>
      </c>
      <c r="B212" s="267" t="s">
        <v>66</v>
      </c>
      <c r="C212" s="239">
        <f t="shared" si="23"/>
        <v>357.46740387589739</v>
      </c>
      <c r="D212" s="37">
        <v>0.65862590020113743</v>
      </c>
      <c r="E212" s="37">
        <f t="shared" si="27"/>
        <v>-3.740418657409017</v>
      </c>
      <c r="F212" s="240">
        <f t="shared" si="28"/>
        <v>-3.076227948379251</v>
      </c>
      <c r="G212" s="241">
        <f t="shared" si="26"/>
        <v>2.0580000571330634</v>
      </c>
    </row>
    <row r="213" spans="1:7" ht="18" customHeight="1">
      <c r="A213" s="237">
        <f>2017</f>
        <v>2017</v>
      </c>
      <c r="B213" s="267" t="s">
        <v>55</v>
      </c>
      <c r="C213" s="239">
        <f t="shared" si="23"/>
        <v>361.89770820005776</v>
      </c>
      <c r="D213" s="37">
        <v>1.2393589670342209</v>
      </c>
      <c r="E213" s="37">
        <f t="shared" si="27"/>
        <v>-2.5474169044100159</v>
      </c>
      <c r="F213" s="240">
        <f t="shared" si="28"/>
        <v>-2.5474169044100159</v>
      </c>
      <c r="G213" s="241">
        <f t="shared" si="26"/>
        <v>2.0328062900943435</v>
      </c>
    </row>
    <row r="214" spans="1:7" ht="18" customHeight="1">
      <c r="A214" s="237">
        <f>2018</f>
        <v>2018</v>
      </c>
      <c r="B214" s="267" t="s">
        <v>56</v>
      </c>
      <c r="C214" s="239">
        <f t="shared" si="23"/>
        <v>365.18482347480068</v>
      </c>
      <c r="D214" s="37">
        <v>0.90829955544393659</v>
      </c>
      <c r="E214" s="37">
        <f t="shared" ref="E214:E225" si="29">100*((C214/$C$213)-1)</f>
        <v>0.90829955544393659</v>
      </c>
      <c r="F214" s="240">
        <f t="shared" si="28"/>
        <v>-2.3413978751555042</v>
      </c>
      <c r="G214" s="241">
        <f t="shared" si="26"/>
        <v>2.0145085181793405</v>
      </c>
    </row>
    <row r="215" spans="1:7" ht="18" customHeight="1">
      <c r="A215" s="237">
        <f>2018</f>
        <v>2018</v>
      </c>
      <c r="B215" s="267" t="s">
        <v>57</v>
      </c>
      <c r="C215" s="239">
        <f t="shared" si="23"/>
        <v>365.11997979044332</v>
      </c>
      <c r="D215" s="37">
        <v>-1.775640174209725E-2</v>
      </c>
      <c r="E215" s="37">
        <f t="shared" si="29"/>
        <v>0.89038187238374977</v>
      </c>
      <c r="F215" s="240">
        <f t="shared" si="28"/>
        <v>-2.26639387391675</v>
      </c>
      <c r="G215" s="241">
        <f t="shared" si="26"/>
        <v>2.0148662859316366</v>
      </c>
    </row>
    <row r="216" spans="1:7" ht="18" customHeight="1">
      <c r="A216" s="237">
        <f>2018</f>
        <v>2018</v>
      </c>
      <c r="B216" s="267" t="s">
        <v>58</v>
      </c>
      <c r="C216" s="239">
        <f t="shared" si="23"/>
        <v>368.37748141406252</v>
      </c>
      <c r="D216" s="37">
        <v>0.89217293052239466</v>
      </c>
      <c r="E216" s="37">
        <f t="shared" si="29"/>
        <v>1.7904985489498371</v>
      </c>
      <c r="F216" s="240">
        <f t="shared" si="28"/>
        <v>-1.2235342437622032</v>
      </c>
      <c r="G216" s="241">
        <f t="shared" si="26"/>
        <v>1.9970491539706836</v>
      </c>
    </row>
    <row r="217" spans="1:7" ht="18" customHeight="1">
      <c r="A217" s="237">
        <f>2018</f>
        <v>2018</v>
      </c>
      <c r="B217" s="267" t="s">
        <v>59</v>
      </c>
      <c r="C217" s="239">
        <f t="shared" si="23"/>
        <v>371.00594824139648</v>
      </c>
      <c r="D217" s="37">
        <v>0.71352538087949835</v>
      </c>
      <c r="E217" s="37">
        <f t="shared" si="29"/>
        <v>2.5167995914203711</v>
      </c>
      <c r="F217" s="240">
        <f t="shared" si="28"/>
        <v>1.2742981464626935</v>
      </c>
      <c r="G217" s="241">
        <f t="shared" si="26"/>
        <v>1.9829006545230361</v>
      </c>
    </row>
    <row r="218" spans="1:7" ht="18" customHeight="1">
      <c r="A218" s="237">
        <f>2018</f>
        <v>2018</v>
      </c>
      <c r="B218" s="267" t="s">
        <v>60</v>
      </c>
      <c r="C218" s="239">
        <f t="shared" si="23"/>
        <v>378.33022109262163</v>
      </c>
      <c r="D218" s="37">
        <v>1.9741658822298946</v>
      </c>
      <c r="E218" s="37">
        <f t="shared" si="29"/>
        <v>4.5406512725081782</v>
      </c>
      <c r="F218" s="240">
        <f t="shared" si="28"/>
        <v>4.9050379777300535</v>
      </c>
      <c r="G218" s="241">
        <f t="shared" si="26"/>
        <v>1.9445127472904176</v>
      </c>
    </row>
    <row r="219" spans="1:7" ht="18" customHeight="1">
      <c r="A219" s="237">
        <f>2018</f>
        <v>2018</v>
      </c>
      <c r="B219" s="267" t="s">
        <v>61</v>
      </c>
      <c r="C219" s="239">
        <f t="shared" si="23"/>
        <v>387.15713144828425</v>
      </c>
      <c r="D219" s="37">
        <v>2.3331232514733902</v>
      </c>
      <c r="E219" s="37">
        <f t="shared" si="29"/>
        <v>6.9797135145887701</v>
      </c>
      <c r="F219" s="240">
        <f t="shared" si="28"/>
        <v>8.6776557459048433</v>
      </c>
      <c r="G219" s="241">
        <f t="shared" si="26"/>
        <v>1.9001792239957072</v>
      </c>
    </row>
    <row r="220" spans="1:7" ht="18" customHeight="1">
      <c r="A220" s="237">
        <f>2018</f>
        <v>2018</v>
      </c>
      <c r="B220" s="267" t="s">
        <v>62</v>
      </c>
      <c r="C220" s="239">
        <f t="shared" si="23"/>
        <v>389.08559283267442</v>
      </c>
      <c r="D220" s="37">
        <v>0.49810819115643223</v>
      </c>
      <c r="E220" s="37">
        <f t="shared" si="29"/>
        <v>7.5125882304806213</v>
      </c>
      <c r="F220" s="240">
        <f t="shared" si="28"/>
        <v>10.502786329223257</v>
      </c>
      <c r="G220" s="241">
        <f t="shared" si="26"/>
        <v>1.8907611876448416</v>
      </c>
    </row>
    <row r="221" spans="1:7" ht="18" customHeight="1">
      <c r="A221" s="237">
        <f>2018</f>
        <v>2018</v>
      </c>
      <c r="B221" s="267" t="s">
        <v>63</v>
      </c>
      <c r="C221" s="239">
        <f t="shared" si="23"/>
        <v>392.97468215353757</v>
      </c>
      <c r="D221" s="37">
        <v>0.99954595916782463</v>
      </c>
      <c r="E221" s="37">
        <f t="shared" si="29"/>
        <v>8.5872259617351343</v>
      </c>
      <c r="F221" s="240">
        <f t="shared" si="28"/>
        <v>11.660583094439424</v>
      </c>
      <c r="G221" s="241">
        <f t="shared" si="26"/>
        <v>1.8720491955570178</v>
      </c>
    </row>
    <row r="222" spans="1:7" ht="18" customHeight="1">
      <c r="A222" s="237">
        <f>2018</f>
        <v>2018</v>
      </c>
      <c r="B222" s="267" t="s">
        <v>64</v>
      </c>
      <c r="C222" s="239">
        <f t="shared" si="23"/>
        <v>401.57183142289477</v>
      </c>
      <c r="D222" s="37">
        <v>2.187710725343428</v>
      </c>
      <c r="E222" s="37">
        <f t="shared" si="29"/>
        <v>10.962800350452916</v>
      </c>
      <c r="F222" s="240">
        <f t="shared" si="28"/>
        <v>13.263882188431065</v>
      </c>
      <c r="G222" s="241">
        <f t="shared" si="26"/>
        <v>1.8319709701576996</v>
      </c>
    </row>
    <row r="223" spans="1:7" ht="18" customHeight="1">
      <c r="A223" s="237">
        <f>2018</f>
        <v>2018</v>
      </c>
      <c r="B223" s="267" t="s">
        <v>65</v>
      </c>
      <c r="C223" s="239">
        <f t="shared" si="23"/>
        <v>406.00928386974022</v>
      </c>
      <c r="D223" s="37">
        <v>1.1050208454916222</v>
      </c>
      <c r="E223" s="37">
        <f t="shared" si="29"/>
        <v>12.188962425066663</v>
      </c>
      <c r="F223" s="240">
        <f t="shared" si="28"/>
        <v>14.327449646964418</v>
      </c>
      <c r="G223" s="241">
        <f t="shared" si="26"/>
        <v>1.811948560850714</v>
      </c>
    </row>
    <row r="224" spans="1:7" ht="18" customHeight="1">
      <c r="A224" s="237">
        <f>2018</f>
        <v>2018</v>
      </c>
      <c r="B224" s="267" t="s">
        <v>66</v>
      </c>
      <c r="C224" s="239">
        <f t="shared" si="23"/>
        <v>402.73238019883308</v>
      </c>
      <c r="D224" s="37">
        <v>-0.80710067505709304</v>
      </c>
      <c r="E224" s="37">
        <f t="shared" si="29"/>
        <v>11.283484551994416</v>
      </c>
      <c r="F224" s="240">
        <f t="shared" si="28"/>
        <v>12.662686396617694</v>
      </c>
      <c r="G224" s="241">
        <f t="shared" si="26"/>
        <v>1.8266918027216932</v>
      </c>
    </row>
    <row r="225" spans="1:7" ht="18" customHeight="1">
      <c r="A225" s="237">
        <f>2018</f>
        <v>2018</v>
      </c>
      <c r="B225" s="267" t="s">
        <v>55</v>
      </c>
      <c r="C225" s="239">
        <f t="shared" si="23"/>
        <v>396.02284589852292</v>
      </c>
      <c r="D225" s="37">
        <v>-1.6660031897603123</v>
      </c>
      <c r="E225" s="37">
        <f t="shared" si="29"/>
        <v>9.4294981496817698</v>
      </c>
      <c r="F225" s="240">
        <f t="shared" si="28"/>
        <v>9.4294981496817698</v>
      </c>
      <c r="G225" s="241">
        <f t="shared" si="26"/>
        <v>1.8576401468220161</v>
      </c>
    </row>
    <row r="226" spans="1:7" ht="18" customHeight="1">
      <c r="A226" s="237">
        <f>2019</f>
        <v>2019</v>
      </c>
      <c r="B226" s="267" t="s">
        <v>56</v>
      </c>
      <c r="C226" s="239">
        <f t="shared" si="23"/>
        <v>394.98126230727161</v>
      </c>
      <c r="D226" s="37">
        <v>-0.26301098586575256</v>
      </c>
      <c r="E226" s="37">
        <f t="shared" ref="E226:E237" si="30">100*((C226/$C$225)-1)</f>
        <v>-0.26301098586575256</v>
      </c>
      <c r="F226" s="240">
        <f t="shared" si="28"/>
        <v>8.1592763217683384</v>
      </c>
      <c r="G226" s="241">
        <f t="shared" si="26"/>
        <v>1.8625388285571367</v>
      </c>
    </row>
    <row r="227" spans="1:7" ht="18" customHeight="1">
      <c r="A227" s="242">
        <f>2019</f>
        <v>2019</v>
      </c>
      <c r="B227" s="268" t="s">
        <v>57</v>
      </c>
      <c r="C227" s="244">
        <f t="shared" si="23"/>
        <v>399.80726628006914</v>
      </c>
      <c r="D227" s="245">
        <v>1.22183111791343</v>
      </c>
      <c r="E227" s="245">
        <f t="shared" si="30"/>
        <v>0.95560658197884063</v>
      </c>
      <c r="F227" s="246">
        <f t="shared" si="28"/>
        <v>9.5002433198901457</v>
      </c>
      <c r="G227" s="241">
        <f t="shared" si="26"/>
        <v>1.8400564463089617</v>
      </c>
    </row>
    <row r="228" spans="1:7" ht="18" customHeight="1">
      <c r="A228" s="242">
        <f>2019</f>
        <v>2019</v>
      </c>
      <c r="B228" s="268" t="s">
        <v>58</v>
      </c>
      <c r="C228" s="244">
        <f t="shared" si="23"/>
        <v>406.47595416503617</v>
      </c>
      <c r="D228" s="245">
        <v>1.6679756591255979</v>
      </c>
      <c r="E228" s="245">
        <f t="shared" si="30"/>
        <v>2.6395215262888572</v>
      </c>
      <c r="F228" s="246">
        <f t="shared" si="28"/>
        <v>10.342237154325495</v>
      </c>
      <c r="G228" s="241">
        <f t="shared" si="26"/>
        <v>1.8098682838717466</v>
      </c>
    </row>
    <row r="229" spans="1:7" ht="18" customHeight="1">
      <c r="A229" s="242">
        <f>2019</f>
        <v>2019</v>
      </c>
      <c r="B229" s="268" t="s">
        <v>59</v>
      </c>
      <c r="C229" s="244">
        <f t="shared" si="23"/>
        <v>410.81894927640047</v>
      </c>
      <c r="D229" s="245">
        <v>1.0684506837029151</v>
      </c>
      <c r="E229" s="245">
        <f t="shared" si="30"/>
        <v>3.7361741957858907</v>
      </c>
      <c r="F229" s="246">
        <f t="shared" si="28"/>
        <v>10.731095073737063</v>
      </c>
      <c r="G229" s="241">
        <f t="shared" si="26"/>
        <v>1.7907351617922684</v>
      </c>
    </row>
    <row r="230" spans="1:7" ht="18" customHeight="1">
      <c r="A230" s="242">
        <f>2019</f>
        <v>2019</v>
      </c>
      <c r="B230" s="268" t="s">
        <v>60</v>
      </c>
      <c r="C230" s="244">
        <f t="shared" si="23"/>
        <v>413.02006048320646</v>
      </c>
      <c r="D230" s="245">
        <v>0.5357861925996632</v>
      </c>
      <c r="E230" s="245">
        <f t="shared" si="30"/>
        <v>4.2919782938580564</v>
      </c>
      <c r="F230" s="246">
        <f t="shared" si="28"/>
        <v>9.1691959712867366</v>
      </c>
      <c r="G230" s="241">
        <f t="shared" si="26"/>
        <v>1.7811917821597367</v>
      </c>
    </row>
    <row r="231" spans="1:7" ht="18" customHeight="1">
      <c r="A231" s="242">
        <f>2019</f>
        <v>2019</v>
      </c>
      <c r="B231" s="268" t="s">
        <v>61</v>
      </c>
      <c r="C231" s="244">
        <f t="shared" si="23"/>
        <v>417.79143237548243</v>
      </c>
      <c r="D231" s="245">
        <v>1.1552397446975782</v>
      </c>
      <c r="E231" s="245">
        <f t="shared" si="30"/>
        <v>5.496800677640068</v>
      </c>
      <c r="F231" s="246">
        <f t="shared" si="28"/>
        <v>7.9126273129984215</v>
      </c>
      <c r="G231" s="241">
        <f t="shared" si="26"/>
        <v>1.7608497460489727</v>
      </c>
    </row>
    <row r="232" spans="1:7" ht="18" customHeight="1">
      <c r="A232" s="242">
        <f>2019</f>
        <v>2019</v>
      </c>
      <c r="B232" s="268" t="s">
        <v>62</v>
      </c>
      <c r="C232" s="244">
        <f t="shared" si="23"/>
        <v>419.46051902244335</v>
      </c>
      <c r="D232" s="245">
        <v>0.39950236352881419</v>
      </c>
      <c r="E232" s="245">
        <f t="shared" si="30"/>
        <v>5.9182628897945122</v>
      </c>
      <c r="F232" s="246">
        <f t="shared" si="28"/>
        <v>7.8067465743537845</v>
      </c>
      <c r="G232" s="241">
        <f t="shared" si="26"/>
        <v>1.7538431014062676</v>
      </c>
    </row>
    <row r="233" spans="1:7" ht="18" customHeight="1">
      <c r="A233" s="242">
        <f>2019</f>
        <v>2019</v>
      </c>
      <c r="B233" s="268" t="s">
        <v>63</v>
      </c>
      <c r="C233" s="244">
        <f t="shared" si="23"/>
        <v>414.6983375736196</v>
      </c>
      <c r="D233" s="245">
        <v>-1.1353110085120965</v>
      </c>
      <c r="E233" s="245">
        <f t="shared" si="30"/>
        <v>4.7157611911819108</v>
      </c>
      <c r="F233" s="246">
        <f t="shared" si="28"/>
        <v>5.5280038146565458</v>
      </c>
      <c r="G233" s="241">
        <f t="shared" si="26"/>
        <v>1.7739833294345069</v>
      </c>
    </row>
    <row r="234" spans="1:7" ht="18" customHeight="1">
      <c r="A234" s="242">
        <f>2019</f>
        <v>2019</v>
      </c>
      <c r="B234" s="268" t="s">
        <v>64</v>
      </c>
      <c r="C234" s="244">
        <f t="shared" si="23"/>
        <v>414.33225157610633</v>
      </c>
      <c r="D234" s="245">
        <v>-8.8277662180957783E-2</v>
      </c>
      <c r="E234" s="245">
        <f t="shared" si="30"/>
        <v>4.6233205652673526</v>
      </c>
      <c r="F234" s="246">
        <f t="shared" si="28"/>
        <v>3.1776183374210731</v>
      </c>
      <c r="G234" s="241">
        <f t="shared" si="26"/>
        <v>1.7755507441222544</v>
      </c>
    </row>
    <row r="235" spans="1:7" ht="18" customHeight="1">
      <c r="A235" s="242">
        <f>2019</f>
        <v>2019</v>
      </c>
      <c r="B235" s="268" t="s">
        <v>65</v>
      </c>
      <c r="C235" s="244">
        <f t="shared" si="23"/>
        <v>418.55168628105747</v>
      </c>
      <c r="D235" s="245">
        <v>1.0183698442253863</v>
      </c>
      <c r="E235" s="245">
        <f t="shared" si="30"/>
        <v>5.6887729119312835</v>
      </c>
      <c r="F235" s="246">
        <f t="shared" si="28"/>
        <v>3.0891910381392274</v>
      </c>
      <c r="G235" s="241">
        <f t="shared" si="26"/>
        <v>1.7576513527789341</v>
      </c>
    </row>
    <row r="236" spans="1:7" ht="18" customHeight="1">
      <c r="A236" s="242">
        <f>2019</f>
        <v>2019</v>
      </c>
      <c r="B236" s="268" t="s">
        <v>66</v>
      </c>
      <c r="C236" s="244">
        <f t="shared" si="23"/>
        <v>420.05381320530319</v>
      </c>
      <c r="D236" s="245">
        <v>0.35888684085649825</v>
      </c>
      <c r="E236" s="245">
        <f t="shared" si="30"/>
        <v>6.0680760101749165</v>
      </c>
      <c r="F236" s="246">
        <f t="shared" si="28"/>
        <v>4.3009784805280171</v>
      </c>
      <c r="G236" s="241">
        <f t="shared" si="26"/>
        <v>1.7513659309176268</v>
      </c>
    </row>
    <row r="237" spans="1:7" ht="18" customHeight="1">
      <c r="A237" s="242">
        <f>2019</f>
        <v>2019</v>
      </c>
      <c r="B237" s="268" t="s">
        <v>55</v>
      </c>
      <c r="C237" s="244">
        <f t="shared" si="23"/>
        <v>431.96922314110253</v>
      </c>
      <c r="D237" s="245">
        <v>2.8366389165417782</v>
      </c>
      <c r="E237" s="245">
        <f t="shared" si="30"/>
        <v>9.076844332306667</v>
      </c>
      <c r="F237" s="246">
        <f t="shared" si="28"/>
        <v>9.076844332306667</v>
      </c>
      <c r="G237" s="241">
        <f t="shared" si="26"/>
        <v>1.7030563711236881</v>
      </c>
    </row>
    <row r="238" spans="1:7" ht="18" customHeight="1">
      <c r="A238" s="242">
        <f>2020</f>
        <v>2020</v>
      </c>
      <c r="B238" s="268" t="s">
        <v>56</v>
      </c>
      <c r="C238" s="244">
        <f t="shared" si="23"/>
        <v>434.11519168719519</v>
      </c>
      <c r="D238" s="245">
        <v>0.49678737075018464</v>
      </c>
      <c r="E238" s="245">
        <f t="shared" ref="E238:E249" si="31">100*((C238/$C$237)-1)</f>
        <v>0.49678737075018464</v>
      </c>
      <c r="F238" s="246">
        <f t="shared" si="28"/>
        <v>9.9077938916200416</v>
      </c>
      <c r="G238" s="241">
        <f t="shared" si="26"/>
        <v>1.6946376254206177</v>
      </c>
    </row>
    <row r="239" spans="1:7" ht="18" customHeight="1">
      <c r="A239" s="242">
        <f>2020</f>
        <v>2020</v>
      </c>
      <c r="B239" s="268" t="s">
        <v>57</v>
      </c>
      <c r="C239" s="244">
        <f t="shared" ref="C239:C298" si="32">+C238*(1+D239/100)</f>
        <v>433.30081628129039</v>
      </c>
      <c r="D239" s="245">
        <v>-0.18759431171706531</v>
      </c>
      <c r="E239" s="245">
        <f t="shared" si="31"/>
        <v>0.30826111418427171</v>
      </c>
      <c r="F239" s="246">
        <f t="shared" si="28"/>
        <v>8.3774240305474201</v>
      </c>
      <c r="G239" s="241">
        <f t="shared" si="26"/>
        <v>1.6978226441240387</v>
      </c>
    </row>
    <row r="240" spans="1:7" ht="18" customHeight="1">
      <c r="A240" s="242">
        <f>2020</f>
        <v>2020</v>
      </c>
      <c r="B240" s="268" t="s">
        <v>58</v>
      </c>
      <c r="C240" s="244">
        <f t="shared" si="32"/>
        <v>440.94828639391841</v>
      </c>
      <c r="D240" s="245">
        <v>1.7649332346661106</v>
      </c>
      <c r="E240" s="245">
        <f t="shared" si="31"/>
        <v>2.0786349517041502</v>
      </c>
      <c r="F240" s="246">
        <f t="shared" si="28"/>
        <v>8.480780197611848</v>
      </c>
      <c r="G240" s="241">
        <f t="shared" si="26"/>
        <v>1.668376905636958</v>
      </c>
    </row>
    <row r="241" spans="1:7" ht="18" customHeight="1">
      <c r="A241" s="242">
        <f>2020</f>
        <v>2020</v>
      </c>
      <c r="B241" s="268" t="s">
        <v>59</v>
      </c>
      <c r="C241" s="244">
        <f t="shared" si="32"/>
        <v>445.90142483447153</v>
      </c>
      <c r="D241" s="245">
        <v>1.1232923663361927</v>
      </c>
      <c r="E241" s="245">
        <f t="shared" si="31"/>
        <v>3.2252764657768385</v>
      </c>
      <c r="F241" s="246">
        <f t="shared" si="28"/>
        <v>8.5396439526131509</v>
      </c>
      <c r="G241" s="241">
        <f t="shared" si="26"/>
        <v>1.6498443302191756</v>
      </c>
    </row>
    <row r="242" spans="1:7" ht="18" customHeight="1">
      <c r="A242" s="242">
        <f>2020</f>
        <v>2020</v>
      </c>
      <c r="B242" s="268" t="s">
        <v>60</v>
      </c>
      <c r="C242" s="244">
        <f t="shared" si="32"/>
        <v>448.52172237873702</v>
      </c>
      <c r="D242" s="245">
        <v>0.58764054078503936</v>
      </c>
      <c r="E242" s="245">
        <f t="shared" si="31"/>
        <v>3.831870038627172</v>
      </c>
      <c r="F242" s="246">
        <f t="shared" si="28"/>
        <v>8.595626530584477</v>
      </c>
      <c r="G242" s="241">
        <f t="shared" si="26"/>
        <v>1.6402058158926762</v>
      </c>
    </row>
    <row r="243" spans="1:7" ht="18" customHeight="1">
      <c r="A243" s="242">
        <f>2020</f>
        <v>2020</v>
      </c>
      <c r="B243" s="268" t="s">
        <v>61</v>
      </c>
      <c r="C243" s="244">
        <f t="shared" si="32"/>
        <v>458.59444840236677</v>
      </c>
      <c r="D243" s="245">
        <v>2.2457610236153114</v>
      </c>
      <c r="E243" s="245">
        <f t="shared" si="31"/>
        <v>6.1636857060455741</v>
      </c>
      <c r="F243" s="246">
        <f t="shared" si="28"/>
        <v>9.7663601656180923</v>
      </c>
      <c r="G243" s="241">
        <f t="shared" si="26"/>
        <v>1.6041797718282367</v>
      </c>
    </row>
    <row r="244" spans="1:7" ht="18" customHeight="1">
      <c r="A244" s="242">
        <f>2020</f>
        <v>2020</v>
      </c>
      <c r="B244" s="268" t="s">
        <v>62</v>
      </c>
      <c r="C244" s="244">
        <f t="shared" si="32"/>
        <v>472.33314020304761</v>
      </c>
      <c r="D244" s="245">
        <v>2.9958260176378371</v>
      </c>
      <c r="E244" s="245">
        <f t="shared" si="31"/>
        <v>9.3441650237105378</v>
      </c>
      <c r="F244" s="246">
        <f t="shared" si="28"/>
        <v>12.604910064914909</v>
      </c>
      <c r="G244" s="241">
        <f t="shared" si="26"/>
        <v>1.5575192062186325</v>
      </c>
    </row>
    <row r="245" spans="1:7" ht="18" customHeight="1">
      <c r="A245" s="242">
        <f>2020</f>
        <v>2020</v>
      </c>
      <c r="B245" s="268" t="s">
        <v>63</v>
      </c>
      <c r="C245" s="244">
        <f t="shared" si="32"/>
        <v>489.98440801341394</v>
      </c>
      <c r="D245" s="245">
        <v>3.737037761690476</v>
      </c>
      <c r="E245" s="245">
        <f t="shared" si="31"/>
        <v>13.430397760851776</v>
      </c>
      <c r="F245" s="246">
        <f t="shared" si="28"/>
        <v>18.154418192339428</v>
      </c>
      <c r="G245" s="241">
        <f t="shared" si="26"/>
        <v>1.5014109134257696</v>
      </c>
    </row>
    <row r="246" spans="1:7" ht="18" customHeight="1">
      <c r="A246" s="242">
        <f>2020</f>
        <v>2020</v>
      </c>
      <c r="B246" s="268" t="s">
        <v>64</v>
      </c>
      <c r="C246" s="244">
        <f t="shared" si="32"/>
        <v>518.98842638822714</v>
      </c>
      <c r="D246" s="245">
        <v>5.9193757802226132</v>
      </c>
      <c r="E246" s="245">
        <f t="shared" si="31"/>
        <v>20.144769253317808</v>
      </c>
      <c r="F246" s="246">
        <f t="shared" si="28"/>
        <v>25.258997921115768</v>
      </c>
      <c r="G246" s="241">
        <f t="shared" si="26"/>
        <v>1.4175035515136736</v>
      </c>
    </row>
    <row r="247" spans="1:7" ht="18" customHeight="1">
      <c r="A247" s="242">
        <f>2020</f>
        <v>2020</v>
      </c>
      <c r="B247" s="268" t="s">
        <v>65</v>
      </c>
      <c r="C247" s="244">
        <f t="shared" si="32"/>
        <v>540.53644222233345</v>
      </c>
      <c r="D247" s="245">
        <v>4.1519260812932668</v>
      </c>
      <c r="E247" s="245">
        <f t="shared" si="31"/>
        <v>25.133091263255913</v>
      </c>
      <c r="F247" s="246">
        <f t="shared" si="28"/>
        <v>29.144490379466113</v>
      </c>
      <c r="G247" s="241">
        <f t="shared" si="26"/>
        <v>1.3609960034798354</v>
      </c>
    </row>
    <row r="248" spans="1:7" ht="18" customHeight="1">
      <c r="A248" s="242">
        <f>2020</f>
        <v>2020</v>
      </c>
      <c r="B248" s="268" t="s">
        <v>66</v>
      </c>
      <c r="C248" s="244">
        <f t="shared" si="32"/>
        <v>563.53705870208182</v>
      </c>
      <c r="D248" s="245">
        <v>4.2551463107991072</v>
      </c>
      <c r="E248" s="245">
        <f t="shared" si="31"/>
        <v>30.457687379733244</v>
      </c>
      <c r="F248" s="246">
        <f t="shared" si="28"/>
        <v>34.158300909567174</v>
      </c>
      <c r="G248" s="241">
        <f t="shared" si="26"/>
        <v>1.305447310411437</v>
      </c>
    </row>
    <row r="249" spans="1:7" ht="18" customHeight="1">
      <c r="A249" s="242">
        <f>2020</f>
        <v>2020</v>
      </c>
      <c r="B249" s="268" t="s">
        <v>55</v>
      </c>
      <c r="C249" s="244">
        <f t="shared" si="32"/>
        <v>568.59997188386978</v>
      </c>
      <c r="D249" s="245">
        <v>0.89841707898477008</v>
      </c>
      <c r="E249" s="245">
        <f t="shared" si="31"/>
        <v>31.629741524001332</v>
      </c>
      <c r="F249" s="246">
        <f t="shared" si="28"/>
        <v>31.629741524001332</v>
      </c>
      <c r="G249" s="241">
        <f t="shared" si="26"/>
        <v>1.2938233801918948</v>
      </c>
    </row>
    <row r="250" spans="1:7" ht="18" customHeight="1">
      <c r="A250" s="242">
        <f>2021</f>
        <v>2021</v>
      </c>
      <c r="B250" s="268" t="s">
        <v>56</v>
      </c>
      <c r="C250" s="244">
        <f t="shared" si="32"/>
        <v>587.79523419420855</v>
      </c>
      <c r="D250" s="245">
        <v>3.3758816847530904</v>
      </c>
      <c r="E250" s="245">
        <f t="shared" ref="E250:E261" si="33">100*((C250/$C$249)-1)</f>
        <v>3.3758816847530904</v>
      </c>
      <c r="F250" s="246">
        <f t="shared" si="28"/>
        <v>35.400752023842699</v>
      </c>
      <c r="G250" s="241">
        <f t="shared" si="26"/>
        <v>1.2515717971213405</v>
      </c>
    </row>
    <row r="251" spans="1:7" ht="18" customHeight="1">
      <c r="A251" s="242">
        <f>2021</f>
        <v>2021</v>
      </c>
      <c r="B251" s="268" t="s">
        <v>57</v>
      </c>
      <c r="C251" s="244">
        <f t="shared" si="32"/>
        <v>607.09414428348066</v>
      </c>
      <c r="D251" s="245">
        <v>3.2832709363029178</v>
      </c>
      <c r="E251" s="245">
        <f t="shared" si="33"/>
        <v>6.7699919632554728</v>
      </c>
      <c r="F251" s="246">
        <f t="shared" si="28"/>
        <v>40.109162381399031</v>
      </c>
      <c r="G251" s="241">
        <f t="shared" si="26"/>
        <v>1.2117855929380978</v>
      </c>
    </row>
    <row r="252" spans="1:7" ht="18" customHeight="1">
      <c r="A252" s="242">
        <f>2021</f>
        <v>2021</v>
      </c>
      <c r="B252" s="268" t="s">
        <v>58</v>
      </c>
      <c r="C252" s="244">
        <f t="shared" si="32"/>
        <v>628.67687957062867</v>
      </c>
      <c r="D252" s="245">
        <v>3.555088694294839</v>
      </c>
      <c r="E252" s="245">
        <f t="shared" si="33"/>
        <v>10.565759876440683</v>
      </c>
      <c r="F252" s="246">
        <f t="shared" si="28"/>
        <v>42.573834385877184</v>
      </c>
      <c r="G252" s="241">
        <f t="shared" si="26"/>
        <v>1.1701844962109127</v>
      </c>
    </row>
    <row r="253" spans="1:7" ht="18" customHeight="1">
      <c r="A253" s="242">
        <f>2021</f>
        <v>2021</v>
      </c>
      <c r="B253" s="268" t="s">
        <v>59</v>
      </c>
      <c r="C253" s="244">
        <f t="shared" si="32"/>
        <v>640.25785948080568</v>
      </c>
      <c r="D253" s="245">
        <v>1.8421195826521464</v>
      </c>
      <c r="E253" s="245">
        <f t="shared" si="33"/>
        <v>12.602513390832737</v>
      </c>
      <c r="F253" s="246">
        <f t="shared" si="28"/>
        <v>43.587309620839079</v>
      </c>
      <c r="G253" s="241">
        <f t="shared" si="26"/>
        <v>1.1490182068149362</v>
      </c>
    </row>
    <row r="254" spans="1:7" ht="18" customHeight="1">
      <c r="A254" s="242">
        <f>2021</f>
        <v>2021</v>
      </c>
      <c r="B254" s="268" t="s">
        <v>60</v>
      </c>
      <c r="C254" s="244">
        <f t="shared" si="32"/>
        <v>673.74681426030065</v>
      </c>
      <c r="D254" s="245">
        <v>5.2305417705690749</v>
      </c>
      <c r="E254" s="245">
        <f t="shared" si="33"/>
        <v>18.492234888450888</v>
      </c>
      <c r="F254" s="246">
        <f t="shared" si="28"/>
        <v>50.214979708693107</v>
      </c>
      <c r="G254" s="241">
        <f t="shared" si="26"/>
        <v>1.0919056269045022</v>
      </c>
    </row>
    <row r="255" spans="1:7" ht="18" customHeight="1">
      <c r="A255" s="242">
        <f>2021</f>
        <v>2021</v>
      </c>
      <c r="B255" s="268" t="s">
        <v>61</v>
      </c>
      <c r="C255" s="244">
        <f t="shared" si="32"/>
        <v>676.55143125380232</v>
      </c>
      <c r="D255" s="245">
        <v>0.41627165192326121</v>
      </c>
      <c r="E255" s="245">
        <f t="shared" si="33"/>
        <v>18.985484472021817</v>
      </c>
      <c r="F255" s="246">
        <f t="shared" si="28"/>
        <v>47.52717430634965</v>
      </c>
      <c r="G255" s="241">
        <f t="shared" si="26"/>
        <v>1.0873791756473654</v>
      </c>
    </row>
    <row r="256" spans="1:7" ht="18" customHeight="1">
      <c r="A256" s="242">
        <f>2021</f>
        <v>2021</v>
      </c>
      <c r="B256" s="268" t="s">
        <v>62</v>
      </c>
      <c r="C256" s="244">
        <f t="shared" si="32"/>
        <v>681.36007550007889</v>
      </c>
      <c r="D256" s="245">
        <v>0.71075812187184617</v>
      </c>
      <c r="E256" s="245">
        <f t="shared" si="33"/>
        <v>19.831183466755277</v>
      </c>
      <c r="F256" s="246">
        <f t="shared" si="28"/>
        <v>44.254132836661512</v>
      </c>
      <c r="G256" s="241">
        <f t="shared" si="26"/>
        <v>1.0797050840700742</v>
      </c>
    </row>
    <row r="257" spans="1:7" ht="18" customHeight="1">
      <c r="A257" s="242">
        <f>2021</f>
        <v>2021</v>
      </c>
      <c r="B257" s="268" t="s">
        <v>63</v>
      </c>
      <c r="C257" s="244">
        <f t="shared" si="32"/>
        <v>685.82356753670547</v>
      </c>
      <c r="D257" s="245">
        <v>0.65508564371792311</v>
      </c>
      <c r="E257" s="245">
        <f t="shared" si="33"/>
        <v>20.61618034634327</v>
      </c>
      <c r="F257" s="246">
        <f t="shared" si="28"/>
        <v>39.968447224126805</v>
      </c>
      <c r="G257" s="241">
        <f t="shared" si="26"/>
        <v>1.0726781236785532</v>
      </c>
    </row>
    <row r="258" spans="1:7" ht="18" customHeight="1">
      <c r="A258" s="242">
        <f>2021</f>
        <v>2021</v>
      </c>
      <c r="B258" s="268" t="s">
        <v>64</v>
      </c>
      <c r="C258" s="244">
        <f t="shared" si="32"/>
        <v>677.4954940284216</v>
      </c>
      <c r="D258" s="245">
        <v>-1.2143171950471321</v>
      </c>
      <c r="E258" s="245">
        <f t="shared" si="33"/>
        <v>19.151517328388557</v>
      </c>
      <c r="F258" s="246">
        <f t="shared" si="28"/>
        <v>30.541541888185364</v>
      </c>
      <c r="G258" s="241">
        <f t="shared" si="26"/>
        <v>1.0858639564161334</v>
      </c>
    </row>
    <row r="259" spans="1:7" ht="18" customHeight="1">
      <c r="A259" s="242">
        <f>2021</f>
        <v>2021</v>
      </c>
      <c r="B259" s="268" t="s">
        <v>65</v>
      </c>
      <c r="C259" s="244">
        <f t="shared" si="32"/>
        <v>681.0603649274982</v>
      </c>
      <c r="D259" s="245">
        <v>0.52618370609074372</v>
      </c>
      <c r="E259" s="245">
        <f t="shared" si="33"/>
        <v>19.778473198130442</v>
      </c>
      <c r="F259" s="246">
        <f t="shared" si="28"/>
        <v>25.997122807746685</v>
      </c>
      <c r="G259" s="241">
        <f t="shared" si="26"/>
        <v>1.0801802240806067</v>
      </c>
    </row>
    <row r="260" spans="1:7" ht="18" customHeight="1">
      <c r="A260" s="242">
        <f>2021</f>
        <v>2021</v>
      </c>
      <c r="B260" s="268" t="s">
        <v>66</v>
      </c>
      <c r="C260" s="244">
        <f t="shared" si="32"/>
        <v>679.10484279294315</v>
      </c>
      <c r="D260" s="245">
        <v>-0.28712904688898977</v>
      </c>
      <c r="E260" s="245">
        <f t="shared" si="33"/>
        <v>19.434554409658467</v>
      </c>
      <c r="F260" s="246">
        <f t="shared" si="28"/>
        <v>20.507574844684196</v>
      </c>
      <c r="G260" s="241">
        <f t="shared" si="26"/>
        <v>1.0832906662456352</v>
      </c>
    </row>
    <row r="261" spans="1:7" ht="18" customHeight="1">
      <c r="A261" s="242">
        <f>2021</f>
        <v>2021</v>
      </c>
      <c r="B261" s="268" t="s">
        <v>55</v>
      </c>
      <c r="C261" s="244">
        <f t="shared" si="32"/>
        <v>685.54121669064568</v>
      </c>
      <c r="D261" s="245">
        <v>0.94777322912789064</v>
      </c>
      <c r="E261" s="245">
        <f t="shared" si="33"/>
        <v>20.566523142681369</v>
      </c>
      <c r="F261" s="246">
        <f t="shared" si="28"/>
        <v>20.566523142681369</v>
      </c>
      <c r="G261" s="241">
        <f t="shared" si="26"/>
        <v>1.0731199228999517</v>
      </c>
    </row>
    <row r="262" spans="1:7" ht="18" customHeight="1">
      <c r="A262" s="242">
        <f>2022</f>
        <v>2022</v>
      </c>
      <c r="B262" s="268" t="s">
        <v>56</v>
      </c>
      <c r="C262" s="244">
        <f t="shared" si="32"/>
        <v>701.33244086232162</v>
      </c>
      <c r="D262" s="245">
        <v>2.3034682360757008</v>
      </c>
      <c r="E262" s="245">
        <f t="shared" ref="E262:E273" si="34">100*((C262/$C$261)-1)</f>
        <v>2.3034682360757008</v>
      </c>
      <c r="F262" s="246">
        <f t="shared" si="28"/>
        <v>19.315775301199565</v>
      </c>
      <c r="G262" s="241">
        <f t="shared" si="26"/>
        <v>1.0489575196254519</v>
      </c>
    </row>
    <row r="263" spans="1:7" ht="18" customHeight="1">
      <c r="A263" s="242">
        <f>2022</f>
        <v>2022</v>
      </c>
      <c r="B263" s="268" t="s">
        <v>57</v>
      </c>
      <c r="C263" s="244">
        <f t="shared" si="32"/>
        <v>717.85992167055849</v>
      </c>
      <c r="D263" s="245">
        <v>2.3565829619852652</v>
      </c>
      <c r="E263" s="245">
        <f t="shared" si="34"/>
        <v>4.7143343380470659</v>
      </c>
      <c r="F263" s="246">
        <f t="shared" si="28"/>
        <v>18.245238968300125</v>
      </c>
      <c r="G263" s="241">
        <f t="shared" ref="G263:G312" si="35">+$C$314/C263</f>
        <v>1.0248070903412529</v>
      </c>
    </row>
    <row r="264" spans="1:7" ht="18" customHeight="1">
      <c r="A264" s="242">
        <f>2022</f>
        <v>2022</v>
      </c>
      <c r="B264" s="268" t="s">
        <v>58</v>
      </c>
      <c r="C264" s="244">
        <f t="shared" si="32"/>
        <v>732.69227624205314</v>
      </c>
      <c r="D264" s="245">
        <v>2.0661906485847092</v>
      </c>
      <c r="E264" s="245">
        <f t="shared" si="34"/>
        <v>6.877932121867536</v>
      </c>
      <c r="F264" s="246">
        <f t="shared" si="28"/>
        <v>16.5451283563131</v>
      </c>
      <c r="G264" s="241">
        <f t="shared" si="35"/>
        <v>1.004061270268896</v>
      </c>
    </row>
    <row r="265" spans="1:7" ht="18" customHeight="1">
      <c r="A265" s="242">
        <f>2022</f>
        <v>2022</v>
      </c>
      <c r="B265" s="268" t="s">
        <v>59</v>
      </c>
      <c r="C265" s="244">
        <f t="shared" si="32"/>
        <v>743.28324116034969</v>
      </c>
      <c r="D265" s="245">
        <v>1.4454860876406572</v>
      </c>
      <c r="E265" s="245">
        <f t="shared" si="34"/>
        <v>8.4228377614471661</v>
      </c>
      <c r="F265" s="246">
        <f t="shared" si="28"/>
        <v>16.09123264228085</v>
      </c>
      <c r="G265" s="241">
        <f t="shared" si="35"/>
        <v>0.98975450657456421</v>
      </c>
    </row>
    <row r="266" spans="1:7" ht="18" customHeight="1">
      <c r="A266" s="242">
        <f>2022</f>
        <v>2022</v>
      </c>
      <c r="B266" s="268" t="s">
        <v>60</v>
      </c>
      <c r="C266" s="244">
        <f t="shared" si="32"/>
        <v>746.64541172328575</v>
      </c>
      <c r="D266" s="245">
        <v>0.45234042377806372</v>
      </c>
      <c r="E266" s="245">
        <f t="shared" si="34"/>
        <v>8.9132780852494875</v>
      </c>
      <c r="F266" s="246">
        <f t="shared" si="28"/>
        <v>10.819880097395295</v>
      </c>
      <c r="G266" s="241">
        <f t="shared" si="35"/>
        <v>0.98529760720266857</v>
      </c>
    </row>
    <row r="267" spans="1:7" ht="18" customHeight="1">
      <c r="A267" s="242">
        <f>2022</f>
        <v>2022</v>
      </c>
      <c r="B267" s="268" t="s">
        <v>61</v>
      </c>
      <c r="C267" s="244">
        <f t="shared" si="32"/>
        <v>748.9031973313804</v>
      </c>
      <c r="D267" s="245">
        <v>0.30239060906884774</v>
      </c>
      <c r="E267" s="245">
        <f t="shared" si="34"/>
        <v>9.2426216102083245</v>
      </c>
      <c r="F267" s="246">
        <f t="shared" si="28"/>
        <v>10.694200431073497</v>
      </c>
      <c r="G267" s="241">
        <f t="shared" si="35"/>
        <v>0.98232714217439876</v>
      </c>
    </row>
    <row r="268" spans="1:7" ht="18" customHeight="1">
      <c r="A268" s="242">
        <f>2022</f>
        <v>2022</v>
      </c>
      <c r="B268" s="268" t="s">
        <v>62</v>
      </c>
      <c r="C268" s="244">
        <f t="shared" si="32"/>
        <v>750.47476316170957</v>
      </c>
      <c r="D268" s="245">
        <v>0.20984899462697104</v>
      </c>
      <c r="E268" s="245">
        <f t="shared" si="34"/>
        <v>9.4718661533615069</v>
      </c>
      <c r="F268" s="246">
        <f t="shared" si="28"/>
        <v>10.143636257364296</v>
      </c>
      <c r="G268" s="241">
        <f t="shared" si="35"/>
        <v>0.98027005531868328</v>
      </c>
    </row>
    <row r="269" spans="1:7" ht="18" customHeight="1">
      <c r="A269" s="242">
        <f>2022</f>
        <v>2022</v>
      </c>
      <c r="B269" s="268" t="s">
        <v>63</v>
      </c>
      <c r="C269" s="244">
        <f t="shared" si="32"/>
        <v>745.16983496901332</v>
      </c>
      <c r="D269" s="245">
        <v>-0.70687629392718332</v>
      </c>
      <c r="E269" s="245">
        <f t="shared" si="34"/>
        <v>8.6980354830036966</v>
      </c>
      <c r="F269" s="246">
        <f t="shared" si="28"/>
        <v>8.6532849323717187</v>
      </c>
      <c r="G269" s="241">
        <f t="shared" si="35"/>
        <v>0.98724868221537221</v>
      </c>
    </row>
    <row r="270" spans="1:7" ht="18" customHeight="1">
      <c r="A270" s="242">
        <f>2022</f>
        <v>2022</v>
      </c>
      <c r="B270" s="268" t="s">
        <v>64</v>
      </c>
      <c r="C270" s="244">
        <f t="shared" si="32"/>
        <v>735.67968094421565</v>
      </c>
      <c r="D270" s="245">
        <v>-1.2735558498811694</v>
      </c>
      <c r="E270" s="245">
        <f t="shared" si="34"/>
        <v>7.3137052934040048</v>
      </c>
      <c r="F270" s="246">
        <f t="shared" si="28"/>
        <v>8.5881289881100109</v>
      </c>
      <c r="G270" s="241">
        <f t="shared" si="35"/>
        <v>0.99998403742183584</v>
      </c>
    </row>
    <row r="271" spans="1:7" ht="18" customHeight="1">
      <c r="A271" s="242">
        <f>2022</f>
        <v>2022</v>
      </c>
      <c r="B271" s="268" t="s">
        <v>65</v>
      </c>
      <c r="C271" s="244">
        <f t="shared" si="32"/>
        <v>725.07646210131634</v>
      </c>
      <c r="D271" s="245">
        <v>-1.4412820032341456</v>
      </c>
      <c r="E271" s="245">
        <f t="shared" si="34"/>
        <v>5.7670121720064582</v>
      </c>
      <c r="F271" s="246">
        <f t="shared" si="28"/>
        <v>6.4628775128477534</v>
      </c>
      <c r="G271" s="241">
        <f t="shared" si="35"/>
        <v>1.0146073911540221</v>
      </c>
    </row>
    <row r="272" spans="1:7" ht="18" customHeight="1">
      <c r="A272" s="242">
        <f>2022</f>
        <v>2022</v>
      </c>
      <c r="B272" s="268" t="s">
        <v>66</v>
      </c>
      <c r="C272" s="244">
        <f t="shared" si="32"/>
        <v>718.24489913516834</v>
      </c>
      <c r="D272" s="245">
        <v>-0.942185179525723</v>
      </c>
      <c r="E272" s="245">
        <f t="shared" si="34"/>
        <v>4.7704910584946525</v>
      </c>
      <c r="F272" s="246">
        <f t="shared" si="28"/>
        <v>5.7634777247728808</v>
      </c>
      <c r="G272" s="241">
        <f t="shared" si="35"/>
        <v>1.0242577963110011</v>
      </c>
    </row>
    <row r="273" spans="1:7" ht="18" customHeight="1">
      <c r="A273" s="242">
        <f>2022</f>
        <v>2022</v>
      </c>
      <c r="B273" s="268" t="s">
        <v>55</v>
      </c>
      <c r="C273" s="244">
        <f t="shared" si="32"/>
        <v>721.63515160865279</v>
      </c>
      <c r="D273" s="245">
        <v>0.47201901156090909</v>
      </c>
      <c r="E273" s="245">
        <f t="shared" si="34"/>
        <v>5.2650276947964647</v>
      </c>
      <c r="F273" s="246">
        <f t="shared" si="28"/>
        <v>5.2650276947964647</v>
      </c>
      <c r="G273" s="241">
        <f t="shared" si="35"/>
        <v>1.0194458182363628</v>
      </c>
    </row>
    <row r="274" spans="1:7" ht="18" customHeight="1">
      <c r="A274" s="242">
        <f>2023</f>
        <v>2023</v>
      </c>
      <c r="B274" s="268" t="s">
        <v>56</v>
      </c>
      <c r="C274" s="244">
        <f t="shared" si="32"/>
        <v>722.37498230655615</v>
      </c>
      <c r="D274" s="245">
        <v>0.10252143292273086</v>
      </c>
      <c r="E274" s="245">
        <f t="shared" ref="E274:E285" si="36">100*((C274/$C$273)-1)</f>
        <v>0.10252143292273086</v>
      </c>
      <c r="F274" s="246">
        <f t="shared" si="28"/>
        <v>3.0003661912974877</v>
      </c>
      <c r="G274" s="241">
        <f t="shared" si="35"/>
        <v>1.0184017381814692</v>
      </c>
    </row>
    <row r="275" spans="1:7" ht="18" customHeight="1">
      <c r="A275" s="242">
        <f>2023</f>
        <v>2023</v>
      </c>
      <c r="B275" s="268" t="s">
        <v>57</v>
      </c>
      <c r="C275" s="244">
        <f t="shared" si="32"/>
        <v>720.90297961362614</v>
      </c>
      <c r="D275" s="245">
        <v>-0.20377265672045786</v>
      </c>
      <c r="E275" s="245">
        <f t="shared" si="36"/>
        <v>-0.101460134445297</v>
      </c>
      <c r="F275" s="246">
        <f t="shared" ref="F275:F298" si="37">100*((C275/C263)-1)</f>
        <v>0.42390692824667564</v>
      </c>
      <c r="G275" s="241">
        <f t="shared" si="35"/>
        <v>1.0204811998337031</v>
      </c>
    </row>
    <row r="276" spans="1:7" ht="18" customHeight="1">
      <c r="A276" s="242">
        <f>2023</f>
        <v>2023</v>
      </c>
      <c r="B276" s="268" t="s">
        <v>58</v>
      </c>
      <c r="C276" s="244">
        <f t="shared" si="32"/>
        <v>720.0717550613922</v>
      </c>
      <c r="D276" s="245">
        <v>-0.115303248251164</v>
      </c>
      <c r="E276" s="245">
        <f t="shared" si="36"/>
        <v>-0.21664639586576051</v>
      </c>
      <c r="F276" s="246">
        <f t="shared" si="37"/>
        <v>-1.7224859043677987</v>
      </c>
      <c r="G276" s="241">
        <f t="shared" si="35"/>
        <v>1.0216592060843754</v>
      </c>
    </row>
    <row r="277" spans="1:7" ht="18" customHeight="1">
      <c r="A277" s="242">
        <f>2023</f>
        <v>2023</v>
      </c>
      <c r="B277" s="268" t="s">
        <v>59</v>
      </c>
      <c r="C277" s="244">
        <f t="shared" si="32"/>
        <v>709.63447478082446</v>
      </c>
      <c r="D277" s="245">
        <v>-1.4494778065108127</v>
      </c>
      <c r="E277" s="245">
        <f t="shared" si="36"/>
        <v>-1.6629839609498931</v>
      </c>
      <c r="F277" s="246">
        <f t="shared" si="37"/>
        <v>-4.5270449427859631</v>
      </c>
      <c r="G277" s="241">
        <f t="shared" si="35"/>
        <v>1.0366857357472956</v>
      </c>
    </row>
    <row r="278" spans="1:7" ht="18" customHeight="1">
      <c r="A278" s="242">
        <f>2023</f>
        <v>2023</v>
      </c>
      <c r="B278" s="268" t="s">
        <v>60</v>
      </c>
      <c r="C278" s="244">
        <f t="shared" si="32"/>
        <v>690.32688482829201</v>
      </c>
      <c r="D278" s="245">
        <v>-2.7207795898720577</v>
      </c>
      <c r="E278" s="245">
        <f t="shared" si="36"/>
        <v>-4.3385174226295842</v>
      </c>
      <c r="F278" s="246">
        <f t="shared" si="37"/>
        <v>-7.5428745708097882</v>
      </c>
      <c r="G278" s="241">
        <f t="shared" si="35"/>
        <v>1.0656805547748449</v>
      </c>
    </row>
    <row r="279" spans="1:7" ht="18" customHeight="1">
      <c r="A279" s="242">
        <f>2023</f>
        <v>2023</v>
      </c>
      <c r="B279" s="268" t="s">
        <v>61</v>
      </c>
      <c r="C279" s="244">
        <f t="shared" si="32"/>
        <v>671.44869281705473</v>
      </c>
      <c r="D279" s="245">
        <v>-2.7346743153329411</v>
      </c>
      <c r="E279" s="245">
        <f t="shared" si="36"/>
        <v>-6.9545474163396186</v>
      </c>
      <c r="F279" s="246">
        <f t="shared" si="37"/>
        <v>-10.342392019465906</v>
      </c>
      <c r="G279" s="241">
        <f t="shared" si="35"/>
        <v>1.0956428174926054</v>
      </c>
    </row>
    <row r="280" spans="1:7" ht="18.75" customHeight="1">
      <c r="A280" s="242">
        <f>2023</f>
        <v>2023</v>
      </c>
      <c r="B280" s="268" t="s">
        <v>62</v>
      </c>
      <c r="C280" s="244">
        <f t="shared" si="32"/>
        <v>664.36643497673799</v>
      </c>
      <c r="D280" s="245">
        <v>-1.054772749739552</v>
      </c>
      <c r="E280" s="245">
        <f t="shared" si="36"/>
        <v>-7.9359654950639129</v>
      </c>
      <c r="F280" s="246">
        <f t="shared" si="37"/>
        <v>-11.473847277981985</v>
      </c>
      <c r="G280" s="241">
        <f t="shared" si="35"/>
        <v>1.1073225540443856</v>
      </c>
    </row>
    <row r="281" spans="1:7" ht="18.75" customHeight="1">
      <c r="A281" s="242">
        <f>2023</f>
        <v>2023</v>
      </c>
      <c r="B281" s="268" t="s">
        <v>63</v>
      </c>
      <c r="C281" s="244">
        <f t="shared" si="32"/>
        <v>663.21711896501904</v>
      </c>
      <c r="D281" s="245">
        <v>-0.1729942921874339</v>
      </c>
      <c r="E281" s="245">
        <f t="shared" si="36"/>
        <v>-8.0952310199149284</v>
      </c>
      <c r="F281" s="246">
        <f t="shared" si="37"/>
        <v>-10.997857422315294</v>
      </c>
      <c r="G281" s="241">
        <f t="shared" si="35"/>
        <v>1.1092414784887468</v>
      </c>
    </row>
    <row r="282" spans="1:7" ht="18.75" customHeight="1">
      <c r="A282" s="242">
        <f>2023</f>
        <v>2023</v>
      </c>
      <c r="B282" s="268" t="s">
        <v>64</v>
      </c>
      <c r="C282" s="244">
        <f t="shared" si="32"/>
        <v>665.9359584862998</v>
      </c>
      <c r="D282" s="245">
        <v>0.40994712644384368</v>
      </c>
      <c r="E282" s="245">
        <f t="shared" si="36"/>
        <v>-7.7184700604162053</v>
      </c>
      <c r="F282" s="246">
        <f t="shared" si="37"/>
        <v>-9.4801751719447491</v>
      </c>
      <c r="G282" s="241">
        <f t="shared" si="35"/>
        <v>1.1047127403542056</v>
      </c>
    </row>
    <row r="283" spans="1:7" ht="18.75" customHeight="1">
      <c r="A283" s="242">
        <f>2023</f>
        <v>2023</v>
      </c>
      <c r="B283" s="268" t="s">
        <v>65</v>
      </c>
      <c r="C283" s="244">
        <f t="shared" si="32"/>
        <v>669.94656589280896</v>
      </c>
      <c r="D283" s="245">
        <v>0.60225121581141128</v>
      </c>
      <c r="E283" s="245">
        <f t="shared" si="36"/>
        <v>-7.1627034243856862</v>
      </c>
      <c r="F283" s="246">
        <f t="shared" si="37"/>
        <v>-7.6033217308885686</v>
      </c>
      <c r="G283" s="241">
        <f t="shared" si="35"/>
        <v>1.0980994232270027</v>
      </c>
    </row>
    <row r="284" spans="1:7" ht="18.75" customHeight="1">
      <c r="A284" s="242">
        <f>2023</f>
        <v>2023</v>
      </c>
      <c r="B284" s="268" t="s">
        <v>66</v>
      </c>
      <c r="C284" s="244">
        <f t="shared" si="32"/>
        <v>674.68321833204334</v>
      </c>
      <c r="D284" s="245">
        <v>0.70701943712809801</v>
      </c>
      <c r="E284" s="245">
        <f t="shared" si="36"/>
        <v>-6.5063256926918385</v>
      </c>
      <c r="F284" s="246">
        <f t="shared" si="37"/>
        <v>-6.0650177753545087</v>
      </c>
      <c r="G284" s="241">
        <f t="shared" si="35"/>
        <v>1.0903901529054305</v>
      </c>
    </row>
    <row r="285" spans="1:7" ht="18.75" customHeight="1">
      <c r="A285" s="242">
        <f>2023</f>
        <v>2023</v>
      </c>
      <c r="B285" s="268" t="s">
        <v>55</v>
      </c>
      <c r="C285" s="244">
        <f t="shared" si="32"/>
        <v>681.21558130580252</v>
      </c>
      <c r="D285" s="245">
        <v>0.96821186540085868</v>
      </c>
      <c r="E285" s="245">
        <f t="shared" si="36"/>
        <v>-5.6011088446492501</v>
      </c>
      <c r="F285" s="246">
        <f t="shared" si="37"/>
        <v>-5.6011088446492501</v>
      </c>
      <c r="G285" s="241">
        <f t="shared" si="35"/>
        <v>1.0799341027837679</v>
      </c>
    </row>
    <row r="286" spans="1:7" ht="18.75" customHeight="1">
      <c r="A286" s="242">
        <f>2024</f>
        <v>2024</v>
      </c>
      <c r="B286" s="268" t="s">
        <v>56</v>
      </c>
      <c r="C286" s="244">
        <f t="shared" si="32"/>
        <v>680.61820248140839</v>
      </c>
      <c r="D286" s="245">
        <v>-8.7693065277372195E-2</v>
      </c>
      <c r="E286" s="245">
        <f t="shared" ref="E286:E297" si="38">100*((C286/$C$285)-1)</f>
        <v>-8.7693065277372195E-2</v>
      </c>
      <c r="F286" s="246">
        <f t="shared" si="37"/>
        <v>-5.7804853224315167</v>
      </c>
      <c r="G286" s="241">
        <f t="shared" si="35"/>
        <v>1.0808819613076688</v>
      </c>
    </row>
    <row r="287" spans="1:7" ht="18.75" customHeight="1">
      <c r="A287" s="242">
        <f>2024</f>
        <v>2024</v>
      </c>
      <c r="B287" s="268" t="s">
        <v>57</v>
      </c>
      <c r="C287" s="244">
        <f t="shared" si="32"/>
        <v>674.50859990645131</v>
      </c>
      <c r="D287" s="245">
        <v>-0.89765488972857188</v>
      </c>
      <c r="E287" s="245">
        <f t="shared" si="38"/>
        <v>-0.98456077391753105</v>
      </c>
      <c r="F287" s="246">
        <f t="shared" si="37"/>
        <v>-6.4355927245633326</v>
      </c>
      <c r="G287" s="241">
        <f t="shared" si="35"/>
        <v>1.0906724357581739</v>
      </c>
    </row>
    <row r="288" spans="1:7" ht="18.75" customHeight="1">
      <c r="A288" s="242">
        <f>2024</f>
        <v>2024</v>
      </c>
      <c r="B288" s="268" t="s">
        <v>58</v>
      </c>
      <c r="C288" s="244">
        <f t="shared" si="32"/>
        <v>669.30885123326357</v>
      </c>
      <c r="D288" s="245">
        <v>-0.77089434796071554</v>
      </c>
      <c r="E288" s="245">
        <f t="shared" si="38"/>
        <v>-1.7478651985198712</v>
      </c>
      <c r="F288" s="246">
        <f t="shared" si="37"/>
        <v>-7.0497007376439385</v>
      </c>
      <c r="G288" s="241">
        <f t="shared" si="35"/>
        <v>1.0991456877408217</v>
      </c>
    </row>
    <row r="289" spans="1:7" ht="18.75" customHeight="1">
      <c r="A289" s="242">
        <f>2024</f>
        <v>2024</v>
      </c>
      <c r="B289" s="268" t="s">
        <v>59</v>
      </c>
      <c r="C289" s="244">
        <f t="shared" si="32"/>
        <v>671.2674368489694</v>
      </c>
      <c r="D289" s="245">
        <v>0.29262807627554732</v>
      </c>
      <c r="E289" s="245">
        <f t="shared" si="38"/>
        <v>-1.4603518665506465</v>
      </c>
      <c r="F289" s="246">
        <f t="shared" si="37"/>
        <v>-5.4065916038964934</v>
      </c>
      <c r="G289" s="241">
        <f t="shared" si="35"/>
        <v>1.0959386635126247</v>
      </c>
    </row>
    <row r="290" spans="1:7" ht="18.75" customHeight="1">
      <c r="A290" s="242">
        <f>2024</f>
        <v>2024</v>
      </c>
      <c r="B290" s="268" t="s">
        <v>60</v>
      </c>
      <c r="C290" s="244">
        <f t="shared" si="32"/>
        <v>678.37369195830036</v>
      </c>
      <c r="D290" s="245">
        <v>1.0586324792825952</v>
      </c>
      <c r="E290" s="245">
        <f t="shared" si="38"/>
        <v>-0.41717914643917275</v>
      </c>
      <c r="F290" s="246">
        <f t="shared" si="37"/>
        <v>-1.7315264887828974</v>
      </c>
      <c r="G290" s="241">
        <f t="shared" si="35"/>
        <v>1.0844582363978619</v>
      </c>
    </row>
    <row r="291" spans="1:7" ht="18.75" customHeight="1">
      <c r="A291" s="242">
        <f>2024</f>
        <v>2024</v>
      </c>
      <c r="B291" s="268" t="s">
        <v>61</v>
      </c>
      <c r="C291" s="244">
        <f t="shared" si="32"/>
        <v>684.44244811791418</v>
      </c>
      <c r="D291" s="245">
        <v>0.89460370169940351</v>
      </c>
      <c r="E291" s="245">
        <f t="shared" si="38"/>
        <v>0.47369245517345782</v>
      </c>
      <c r="F291" s="246">
        <f t="shared" si="37"/>
        <v>1.9351821576037764</v>
      </c>
      <c r="G291" s="241">
        <f t="shared" si="35"/>
        <v>1.0748426542257146</v>
      </c>
    </row>
    <row r="292" spans="1:7" ht="18.75" customHeight="1">
      <c r="A292" s="242">
        <f>2024</f>
        <v>2024</v>
      </c>
      <c r="B292" s="268" t="s">
        <v>62</v>
      </c>
      <c r="C292" s="244">
        <f t="shared" si="32"/>
        <v>689.0902596037771</v>
      </c>
      <c r="D292" s="245">
        <v>0.67906534707826705</v>
      </c>
      <c r="E292" s="245">
        <f t="shared" si="38"/>
        <v>1.1559744835665464</v>
      </c>
      <c r="F292" s="246">
        <f t="shared" si="37"/>
        <v>3.7214138652120088</v>
      </c>
      <c r="G292" s="241">
        <f t="shared" si="35"/>
        <v>1.0675930001141063</v>
      </c>
    </row>
    <row r="293" spans="1:7" ht="18.75" customHeight="1">
      <c r="A293" s="242">
        <f>2024</f>
        <v>2024</v>
      </c>
      <c r="B293" s="268" t="s">
        <v>63</v>
      </c>
      <c r="C293" s="244">
        <f t="shared" si="32"/>
        <v>691.08050119137386</v>
      </c>
      <c r="D293" s="245">
        <v>0.28882161079175628</v>
      </c>
      <c r="E293" s="245">
        <f t="shared" si="38"/>
        <v>1.4481347984820925</v>
      </c>
      <c r="F293" s="246">
        <f t="shared" si="37"/>
        <v>4.2012459313228945</v>
      </c>
      <c r="G293" s="241">
        <f t="shared" si="35"/>
        <v>1.0645184408061945</v>
      </c>
    </row>
    <row r="294" spans="1:7" ht="18.75" customHeight="1">
      <c r="A294" s="242">
        <f>2024</f>
        <v>2024</v>
      </c>
      <c r="B294" s="268" t="s">
        <v>64</v>
      </c>
      <c r="C294" s="244">
        <f t="shared" si="32"/>
        <v>695.95143622104888</v>
      </c>
      <c r="D294" s="245">
        <v>0.70482889059637621</v>
      </c>
      <c r="E294" s="245">
        <f t="shared" si="38"/>
        <v>2.1631705615129393</v>
      </c>
      <c r="F294" s="246">
        <f t="shared" si="37"/>
        <v>4.5072618999243641</v>
      </c>
      <c r="G294" s="241">
        <f t="shared" si="35"/>
        <v>1.0570679207078195</v>
      </c>
    </row>
    <row r="295" spans="1:7" ht="18.75" customHeight="1">
      <c r="A295" s="242">
        <f>2024</f>
        <v>2024</v>
      </c>
      <c r="B295" s="268" t="s">
        <v>65</v>
      </c>
      <c r="C295" s="244">
        <f t="shared" si="32"/>
        <v>709.44045430794449</v>
      </c>
      <c r="D295" s="245">
        <v>1.9382125511716364</v>
      </c>
      <c r="E295" s="245">
        <f t="shared" si="38"/>
        <v>4.1433099560110653</v>
      </c>
      <c r="F295" s="246">
        <f t="shared" si="37"/>
        <v>5.8950803580138933</v>
      </c>
      <c r="G295" s="241">
        <f t="shared" si="35"/>
        <v>1.0369692525039964</v>
      </c>
    </row>
    <row r="296" spans="1:7" ht="18.75" customHeight="1">
      <c r="A296" s="242">
        <f>2024</f>
        <v>2024</v>
      </c>
      <c r="B296" s="268" t="s">
        <v>66</v>
      </c>
      <c r="C296" s="244">
        <f t="shared" si="32"/>
        <v>721.81487583616286</v>
      </c>
      <c r="D296" s="245">
        <v>1.7442509026764697</v>
      </c>
      <c r="E296" s="245">
        <f t="shared" si="38"/>
        <v>5.9598305799959395</v>
      </c>
      <c r="F296" s="246">
        <f t="shared" si="37"/>
        <v>6.9857462322300945</v>
      </c>
      <c r="G296" s="241">
        <f t="shared" si="35"/>
        <v>1.0191919870695298</v>
      </c>
    </row>
    <row r="297" spans="1:7" ht="18.75" customHeight="1">
      <c r="A297" s="242">
        <f>2024</f>
        <v>2024</v>
      </c>
      <c r="B297" s="268" t="s">
        <v>55</v>
      </c>
      <c r="C297" s="244">
        <f t="shared" si="32"/>
        <v>730.54069131385108</v>
      </c>
      <c r="D297" s="245">
        <v>1.2088716608368744</v>
      </c>
      <c r="E297" s="245">
        <f t="shared" si="38"/>
        <v>7.2407489437482653</v>
      </c>
      <c r="F297" s="246">
        <f t="shared" si="37"/>
        <v>7.2407489437482653</v>
      </c>
      <c r="G297" s="241">
        <f t="shared" si="35"/>
        <v>1.0070184266898707</v>
      </c>
    </row>
    <row r="298" spans="1:7" ht="18.75" customHeight="1">
      <c r="A298" s="242">
        <f>2025</f>
        <v>2025</v>
      </c>
      <c r="B298" s="268" t="s">
        <v>56</v>
      </c>
      <c r="C298" s="244">
        <f t="shared" si="32"/>
        <v>732.30678819725199</v>
      </c>
      <c r="D298" s="245">
        <v>0.24175202071559099</v>
      </c>
      <c r="E298" s="245">
        <f t="shared" ref="E298:E303" si="39">100*((C298/$C$297)-1)</f>
        <v>0.24175202071559099</v>
      </c>
      <c r="F298" s="246">
        <f t="shared" si="37"/>
        <v>7.5943584123076002</v>
      </c>
      <c r="G298" s="241">
        <f t="shared" si="35"/>
        <v>1.0045898105230282</v>
      </c>
    </row>
    <row r="299" spans="1:7" ht="18.75" customHeight="1">
      <c r="A299" s="242">
        <f>2025</f>
        <v>2025</v>
      </c>
      <c r="B299" s="268" t="s">
        <v>57</v>
      </c>
      <c r="C299" s="244">
        <f t="shared" ref="C299:C304" si="40">+C298*(1+D299/100)</f>
        <v>740.90240572603386</v>
      </c>
      <c r="D299" s="245">
        <v>1.1737727503444262</v>
      </c>
      <c r="E299" s="245">
        <f t="shared" si="39"/>
        <v>1.4183623904026055</v>
      </c>
      <c r="F299" s="246">
        <f t="shared" ref="F299:F304" si="41">100*((C299/C287)-1)</f>
        <v>9.8432852937369262</v>
      </c>
      <c r="G299" s="241">
        <f t="shared" si="35"/>
        <v>0.99293500994763317</v>
      </c>
    </row>
    <row r="300" spans="1:7" ht="18.75" customHeight="1">
      <c r="A300" s="242">
        <f>2025</f>
        <v>2025</v>
      </c>
      <c r="B300" s="268" t="s">
        <v>58</v>
      </c>
      <c r="C300" s="244">
        <f t="shared" si="40"/>
        <v>735.50914716015791</v>
      </c>
      <c r="D300" s="245">
        <v>-0.72793103709670737</v>
      </c>
      <c r="E300" s="245">
        <f t="shared" si="39"/>
        <v>0.68010665324764741</v>
      </c>
      <c r="F300" s="246">
        <f t="shared" si="41"/>
        <v>9.8908442350514427</v>
      </c>
      <c r="G300" s="241">
        <f t="shared" si="35"/>
        <v>1.0002158918624737</v>
      </c>
    </row>
    <row r="301" spans="1:7" ht="18.75" customHeight="1">
      <c r="A301" s="242">
        <f>2025</f>
        <v>2025</v>
      </c>
      <c r="B301" s="268" t="s">
        <v>59</v>
      </c>
      <c r="C301" s="244">
        <f t="shared" si="40"/>
        <v>736.46444269899655</v>
      </c>
      <c r="D301" s="245">
        <v>0.12988221051051241</v>
      </c>
      <c r="E301" s="245">
        <f t="shared" si="39"/>
        <v>0.81087220131321747</v>
      </c>
      <c r="F301" s="246">
        <f t="shared" si="41"/>
        <v>9.7125232464830624</v>
      </c>
      <c r="G301" s="241">
        <f t="shared" si="35"/>
        <v>0.99891847446663851</v>
      </c>
    </row>
    <row r="302" spans="1:7" ht="18.75" customHeight="1">
      <c r="A302" s="242">
        <f>2025</f>
        <v>2025</v>
      </c>
      <c r="B302" s="268" t="s">
        <v>60</v>
      </c>
      <c r="C302" s="244">
        <f t="shared" si="40"/>
        <v>730.4401070160684</v>
      </c>
      <c r="D302" s="245">
        <v>-0.81800767744470981</v>
      </c>
      <c r="E302" s="245">
        <f t="shared" si="39"/>
        <v>-1.3768472992492509E-2</v>
      </c>
      <c r="F302" s="246">
        <f t="shared" si="41"/>
        <v>7.6751819351167594</v>
      </c>
      <c r="G302" s="241">
        <f t="shared" si="35"/>
        <v>1.0071570968427415</v>
      </c>
    </row>
    <row r="303" spans="1:7" ht="18.75" customHeight="1">
      <c r="A303" s="242">
        <f>2025</f>
        <v>2025</v>
      </c>
      <c r="B303" s="268" t="s">
        <v>61</v>
      </c>
      <c r="C303" s="244">
        <f t="shared" si="40"/>
        <v>711.934127964646</v>
      </c>
      <c r="D303" s="245">
        <v>-2.5335381879592389</v>
      </c>
      <c r="E303" s="245">
        <f t="shared" si="39"/>
        <v>-2.546957831430563</v>
      </c>
      <c r="F303" s="246">
        <f t="shared" si="41"/>
        <v>4.0166532514645636</v>
      </c>
      <c r="G303" s="241">
        <f t="shared" si="35"/>
        <v>1.0333370865405926</v>
      </c>
    </row>
    <row r="304" spans="1:7" ht="18.75" customHeight="1">
      <c r="A304" s="242">
        <f>2025</f>
        <v>2025</v>
      </c>
      <c r="B304" s="268" t="s">
        <v>62</v>
      </c>
      <c r="C304" s="244">
        <f t="shared" si="40"/>
        <v>702.74674799357967</v>
      </c>
      <c r="D304" s="245">
        <v>-1.2904817468621932</v>
      </c>
      <c r="E304" s="245">
        <f t="shared" ref="E304" si="42">100*((C304/$C$297)-1)</f>
        <v>-3.8045715523778667</v>
      </c>
      <c r="F304" s="246">
        <f t="shared" si="41"/>
        <v>1.9818141672260703</v>
      </c>
      <c r="G304" s="241">
        <f t="shared" si="35"/>
        <v>1.046846448881078</v>
      </c>
    </row>
    <row r="305" spans="1:7" ht="18.75" customHeight="1">
      <c r="A305" s="663">
        <f>2025</f>
        <v>2025</v>
      </c>
      <c r="B305" s="664" t="s">
        <v>63</v>
      </c>
      <c r="C305" s="665">
        <f t="shared" ref="C305" si="43">+C304*(1+D305/100)</f>
        <v>705.73670559670097</v>
      </c>
      <c r="D305" s="666">
        <v>0.4254672983771135</v>
      </c>
      <c r="E305" s="666">
        <f t="shared" ref="E305" si="44">100*((C305/$C$297)-1)</f>
        <v>-3.3952914617994878</v>
      </c>
      <c r="F305" s="667">
        <f t="shared" ref="F305" si="45">100*((C305/C293)-1)</f>
        <v>2.120766593770318</v>
      </c>
      <c r="G305" s="241">
        <f t="shared" si="35"/>
        <v>1.0424113295592254</v>
      </c>
    </row>
    <row r="306" spans="1:7" ht="18.75" customHeight="1">
      <c r="A306" s="670">
        <f>2025</f>
        <v>2025</v>
      </c>
      <c r="B306" s="671" t="s">
        <v>64</v>
      </c>
      <c r="C306" s="239">
        <f t="shared" ref="C306" si="46">+C305*(1+D306/100)</f>
        <v>709.20660858010467</v>
      </c>
      <c r="D306" s="37">
        <v>0.49167103763858577</v>
      </c>
      <c r="E306" s="37">
        <f t="shared" ref="E306" si="47">100*((C306/$C$297)-1)</f>
        <v>-2.9203140889219825</v>
      </c>
      <c r="F306" s="240">
        <f t="shared" ref="F306" si="48">100*((C306/C294)-1)</f>
        <v>1.9046116825378157</v>
      </c>
      <c r="G306" s="241">
        <f t="shared" si="35"/>
        <v>1.0373111709614184</v>
      </c>
    </row>
    <row r="307" spans="1:7" ht="18.75" customHeight="1">
      <c r="A307" s="670">
        <f>2025</f>
        <v>2025</v>
      </c>
      <c r="B307" s="671" t="s">
        <v>65</v>
      </c>
      <c r="C307" s="239">
        <f t="shared" ref="C307:C308" si="49">+C306*(1+D307/100)</f>
        <v>705.0264885499214</v>
      </c>
      <c r="D307" s="37">
        <v>-0.58940793551716109</v>
      </c>
      <c r="E307" s="37">
        <f t="shared" ref="E307:E308" si="50">100*((C307/$C$297)-1)</f>
        <v>-3.4925094614570051</v>
      </c>
      <c r="F307" s="240">
        <f t="shared" ref="F307:F308" si="51">100*((C307/C295)-1)</f>
        <v>-0.62217565000982633</v>
      </c>
      <c r="G307" s="241">
        <f t="shared" si="35"/>
        <v>1.0434614153475366</v>
      </c>
    </row>
    <row r="308" spans="1:7" ht="18.75" customHeight="1">
      <c r="A308" s="663">
        <f>2025</f>
        <v>2025</v>
      </c>
      <c r="B308" s="673" t="s">
        <v>66</v>
      </c>
      <c r="C308" s="244">
        <f t="shared" si="49"/>
        <v>706.94524891066771</v>
      </c>
      <c r="D308" s="245">
        <v>0.27215436468106535</v>
      </c>
      <c r="E308" s="245">
        <f t="shared" si="50"/>
        <v>-3.2298601137121907</v>
      </c>
      <c r="F308" s="246">
        <f t="shared" si="51"/>
        <v>-2.0600333164746631</v>
      </c>
      <c r="G308" s="241">
        <f t="shared" si="35"/>
        <v>1.0406292972947988</v>
      </c>
    </row>
    <row r="309" spans="1:7" ht="18.75" customHeight="1">
      <c r="A309" s="663">
        <f>2025</f>
        <v>2025</v>
      </c>
      <c r="B309" s="673" t="s">
        <v>55</v>
      </c>
      <c r="C309" s="244">
        <f t="shared" ref="C309" si="52">+C308*(1+D309/100)</f>
        <v>706.10125985363914</v>
      </c>
      <c r="D309" s="245">
        <v>-0.11938534961923875</v>
      </c>
      <c r="E309" s="245">
        <f t="shared" ref="E309" si="53">100*((C309/$C$297)-1)</f>
        <v>-3.3453894835424602</v>
      </c>
      <c r="F309" s="246">
        <f t="shared" ref="F309" si="54">100*((C309/C297)-1)</f>
        <v>-3.3453894835424602</v>
      </c>
      <c r="G309" s="241">
        <f t="shared" si="35"/>
        <v>1.0418731411869937</v>
      </c>
    </row>
    <row r="310" spans="1:7" ht="18.75" customHeight="1">
      <c r="A310" s="663">
        <f>2026</f>
        <v>2026</v>
      </c>
      <c r="B310" s="673" t="s">
        <v>56</v>
      </c>
      <c r="C310" s="244">
        <f t="shared" ref="C310" si="55">+C309*(1+D310/100)</f>
        <v>708.53060040617515</v>
      </c>
      <c r="D310" s="245">
        <v>0.34404988217122678</v>
      </c>
      <c r="E310" s="245">
        <f>100*((C310/$C$309)-1)</f>
        <v>0.34404988217122678</v>
      </c>
      <c r="F310" s="246">
        <f t="shared" ref="F310" si="56">100*((C310/C298)-1)</f>
        <v>-3.2467523412704646</v>
      </c>
      <c r="G310" s="241">
        <f t="shared" si="35"/>
        <v>1.0383008682731172</v>
      </c>
    </row>
    <row r="311" spans="1:7" ht="18.75" customHeight="1">
      <c r="A311" s="670">
        <f>2026</f>
        <v>2026</v>
      </c>
      <c r="B311" s="671" t="s">
        <v>57</v>
      </c>
      <c r="C311" s="239">
        <f t="shared" ref="C311" si="57">+C310*(1+D311/100)</f>
        <v>700.19844225635688</v>
      </c>
      <c r="D311" s="37">
        <v>-1.1759771765738503</v>
      </c>
      <c r="E311" s="37">
        <f>100*((C311/$C$309)-1)</f>
        <v>-0.83597324249298222</v>
      </c>
      <c r="F311" s="240">
        <f t="shared" ref="F311" si="58">100*((C311/C299)-1)</f>
        <v>-5.4938360511584294</v>
      </c>
      <c r="G311" s="241">
        <f t="shared" si="35"/>
        <v>1.0506563471194668</v>
      </c>
    </row>
    <row r="312" spans="1:7" ht="18.75" customHeight="1">
      <c r="A312" s="670">
        <f>2026</f>
        <v>2026</v>
      </c>
      <c r="B312" s="671" t="s">
        <v>58</v>
      </c>
      <c r="C312" s="239">
        <f t="shared" ref="C312:C313" si="59">+C311*(1+D312/100)</f>
        <v>704.45004351339082</v>
      </c>
      <c r="D312" s="37">
        <v>0.60719947381393524</v>
      </c>
      <c r="E312" s="37">
        <f t="shared" ref="E312:E313" si="60">100*((C312/$C$309)-1)</f>
        <v>-0.23384979380869364</v>
      </c>
      <c r="F312" s="240">
        <f t="shared" ref="F312:F313" si="61">100*((C312/C300)-1)</f>
        <v>-4.222803178816747</v>
      </c>
      <c r="G312" s="241">
        <f t="shared" si="35"/>
        <v>1.0443152702932874</v>
      </c>
    </row>
    <row r="313" spans="1:7" ht="18.75" customHeight="1">
      <c r="A313" s="670">
        <f>2026</f>
        <v>2026</v>
      </c>
      <c r="B313" s="671" t="s">
        <v>59</v>
      </c>
      <c r="C313" s="239">
        <f t="shared" si="59"/>
        <v>729.01660944135858</v>
      </c>
      <c r="D313" s="37">
        <v>3.4873396849326443</v>
      </c>
      <c r="E313" s="37">
        <f t="shared" si="60"/>
        <v>3.2453347544613376</v>
      </c>
      <c r="F313" s="240">
        <f t="shared" si="61"/>
        <v>-1.011295702253201</v>
      </c>
      <c r="G313" s="241">
        <f t="shared" ref="G313:G314" si="62">+$C$314/C313</f>
        <v>1.0091236990657086</v>
      </c>
    </row>
    <row r="314" spans="1:7" ht="18.75" customHeight="1" thickBot="1">
      <c r="A314" s="657">
        <f>2026</f>
        <v>2026</v>
      </c>
      <c r="B314" s="668" t="s">
        <v>60</v>
      </c>
      <c r="C314" s="249">
        <f t="shared" ref="C314" si="63">+C313*(1+D314/100)</f>
        <v>735.66793759980476</v>
      </c>
      <c r="D314" s="42">
        <v>0.91236990657086459</v>
      </c>
      <c r="E314" s="42">
        <f t="shared" ref="E314" si="64">100*((C314/$C$309)-1)</f>
        <v>4.1873141186993701</v>
      </c>
      <c r="F314" s="250">
        <f t="shared" ref="F314" si="65">100*((C314/C302)-1)</f>
        <v>0.71570968427414616</v>
      </c>
      <c r="G314" s="251">
        <f t="shared" si="62"/>
        <v>1</v>
      </c>
    </row>
    <row r="315" spans="1:7" ht="18" customHeight="1">
      <c r="A315" s="256" t="s">
        <v>88</v>
      </c>
      <c r="G315" s="270"/>
    </row>
    <row r="316" spans="1:7" ht="18" customHeight="1">
      <c r="A316" s="256" t="s">
        <v>89</v>
      </c>
      <c r="E316" s="653"/>
      <c r="G316" s="270"/>
    </row>
    <row r="317" spans="1:7" ht="18" customHeight="1">
      <c r="A317" s="196" t="s">
        <v>90</v>
      </c>
      <c r="G317" s="270"/>
    </row>
    <row r="318" spans="1:7" ht="18" customHeight="1">
      <c r="A318" s="257"/>
      <c r="B318" s="271"/>
      <c r="C318" s="271"/>
      <c r="D318" s="271"/>
      <c r="E318" s="271"/>
      <c r="F318" s="271" t="s">
        <v>141</v>
      </c>
      <c r="G318" s="270"/>
    </row>
    <row r="319" spans="1:7" ht="18" customHeight="1">
      <c r="A319" s="257" t="s">
        <v>142</v>
      </c>
      <c r="G319" s="270"/>
    </row>
    <row r="320" spans="1:7" ht="18" customHeight="1">
      <c r="A320" s="272"/>
      <c r="B320" s="272"/>
      <c r="C320" s="272"/>
      <c r="D320" s="272"/>
      <c r="E320" s="272"/>
      <c r="G320" s="270"/>
    </row>
    <row r="321" spans="1:7" ht="18" customHeight="1">
      <c r="A321" s="272"/>
      <c r="B321" s="272"/>
      <c r="C321" s="272"/>
      <c r="D321" s="272"/>
      <c r="E321" s="272"/>
      <c r="G321" s="270"/>
    </row>
    <row r="322" spans="1:7" ht="18" customHeight="1">
      <c r="A322" s="272"/>
      <c r="B322" s="272"/>
      <c r="C322" s="272"/>
      <c r="D322" s="272"/>
      <c r="E322" s="272"/>
      <c r="G322" s="270"/>
    </row>
    <row r="323" spans="1:7" ht="18" customHeight="1">
      <c r="G323" s="270"/>
    </row>
    <row r="324" spans="1:7" ht="18" customHeight="1">
      <c r="G324" s="270"/>
    </row>
    <row r="325" spans="1:7" ht="18" customHeight="1">
      <c r="G325" s="270"/>
    </row>
    <row r="326" spans="1:7" ht="18" customHeight="1">
      <c r="G326" s="270"/>
    </row>
    <row r="327" spans="1:7" ht="18" customHeight="1">
      <c r="G327" s="270"/>
    </row>
    <row r="328" spans="1:7" ht="18" customHeight="1">
      <c r="G328" s="270"/>
    </row>
    <row r="329" spans="1:7" ht="18" customHeight="1">
      <c r="G329" s="270"/>
    </row>
    <row r="330" spans="1:7" ht="18" customHeight="1">
      <c r="G330" s="270"/>
    </row>
    <row r="331" spans="1:7" ht="18" customHeight="1">
      <c r="G331" s="270"/>
    </row>
    <row r="332" spans="1:7" ht="18" customHeight="1">
      <c r="G332" s="270"/>
    </row>
    <row r="333" spans="1:7" ht="18" customHeight="1">
      <c r="G333" s="270"/>
    </row>
    <row r="334" spans="1:7" ht="18" customHeight="1">
      <c r="G334" s="270"/>
    </row>
    <row r="335" spans="1:7" ht="18" customHeight="1">
      <c r="G335" s="270"/>
    </row>
    <row r="336" spans="1:7" ht="18" customHeight="1">
      <c r="G336" s="270"/>
    </row>
    <row r="337" spans="7:7" ht="18" customHeight="1">
      <c r="G337" s="270"/>
    </row>
    <row r="338" spans="7:7" ht="18" customHeight="1">
      <c r="G338" s="270"/>
    </row>
    <row r="339" spans="7:7" ht="18" customHeight="1">
      <c r="G339" s="270"/>
    </row>
    <row r="340" spans="7:7" ht="18" customHeight="1">
      <c r="G340" s="270"/>
    </row>
    <row r="341" spans="7:7" ht="18" customHeight="1">
      <c r="G341" s="270"/>
    </row>
    <row r="342" spans="7:7" ht="18" customHeight="1">
      <c r="G342" s="270"/>
    </row>
    <row r="343" spans="7:7" ht="18" customHeight="1">
      <c r="G343" s="270"/>
    </row>
    <row r="344" spans="7:7" ht="18" customHeight="1">
      <c r="G344" s="270"/>
    </row>
    <row r="345" spans="7:7" ht="18" customHeight="1">
      <c r="G345" s="270"/>
    </row>
    <row r="346" spans="7:7" ht="18" customHeight="1">
      <c r="G346" s="270"/>
    </row>
    <row r="347" spans="7:7" ht="18" customHeight="1">
      <c r="G347" s="270"/>
    </row>
    <row r="348" spans="7:7" ht="18" customHeight="1">
      <c r="G348" s="270"/>
    </row>
    <row r="349" spans="7:7" ht="18" customHeight="1">
      <c r="G349" s="270"/>
    </row>
    <row r="350" spans="7:7" ht="18" customHeight="1">
      <c r="G350" s="270"/>
    </row>
    <row r="351" spans="7:7" ht="18" customHeight="1">
      <c r="G351" s="270"/>
    </row>
    <row r="352" spans="7:7" ht="18" customHeight="1">
      <c r="G352" s="270"/>
    </row>
    <row r="353" spans="7:7" ht="18" customHeight="1">
      <c r="G353" s="270"/>
    </row>
    <row r="354" spans="7:7" ht="18" customHeight="1">
      <c r="G354" s="270"/>
    </row>
    <row r="355" spans="7:7" ht="18" customHeight="1">
      <c r="G355" s="270"/>
    </row>
    <row r="356" spans="7:7" ht="18" customHeight="1">
      <c r="G356" s="270"/>
    </row>
    <row r="357" spans="7:7" ht="18" customHeight="1">
      <c r="G357" s="270"/>
    </row>
    <row r="358" spans="7:7" ht="18" customHeight="1">
      <c r="G358" s="270"/>
    </row>
    <row r="359" spans="7:7" ht="18" customHeight="1">
      <c r="G359" s="270"/>
    </row>
    <row r="360" spans="7:7" ht="18" customHeight="1">
      <c r="G360" s="270"/>
    </row>
    <row r="361" spans="7:7" ht="18" customHeight="1">
      <c r="G361" s="270"/>
    </row>
    <row r="362" spans="7:7" ht="18" customHeight="1">
      <c r="G362" s="270"/>
    </row>
    <row r="363" spans="7:7" ht="18" customHeight="1">
      <c r="G363" s="270"/>
    </row>
    <row r="364" spans="7:7" ht="18" customHeight="1">
      <c r="G364" s="270"/>
    </row>
    <row r="365" spans="7:7" ht="18" customHeight="1">
      <c r="G365" s="270"/>
    </row>
    <row r="366" spans="7:7" ht="18" customHeight="1">
      <c r="G366" s="270"/>
    </row>
    <row r="367" spans="7:7" ht="18" customHeight="1">
      <c r="G367" s="270"/>
    </row>
    <row r="368" spans="7:7" ht="18" customHeight="1">
      <c r="G368" s="270"/>
    </row>
    <row r="369" spans="7:7" ht="18" customHeight="1">
      <c r="G369" s="270"/>
    </row>
    <row r="370" spans="7:7" ht="18" customHeight="1">
      <c r="G370" s="270"/>
    </row>
    <row r="371" spans="7:7" ht="18" customHeight="1">
      <c r="G371" s="270"/>
    </row>
    <row r="372" spans="7:7" ht="18" customHeight="1">
      <c r="G372" s="270"/>
    </row>
    <row r="373" spans="7:7" ht="18" customHeight="1">
      <c r="G373" s="270"/>
    </row>
    <row r="374" spans="7:7" ht="18" customHeight="1">
      <c r="G374" s="270"/>
    </row>
    <row r="375" spans="7:7" ht="18" customHeight="1">
      <c r="G375" s="270"/>
    </row>
    <row r="376" spans="7:7" ht="18" customHeight="1">
      <c r="G376" s="270"/>
    </row>
    <row r="377" spans="7:7" ht="18" customHeight="1">
      <c r="G377" s="270"/>
    </row>
    <row r="378" spans="7:7" ht="18" customHeight="1">
      <c r="G378" s="270"/>
    </row>
    <row r="379" spans="7:7" ht="18" customHeight="1">
      <c r="G379" s="270"/>
    </row>
    <row r="380" spans="7:7" ht="18" customHeight="1">
      <c r="G380" s="270"/>
    </row>
    <row r="381" spans="7:7" ht="18" customHeight="1">
      <c r="G381" s="270"/>
    </row>
    <row r="382" spans="7:7" ht="18" customHeight="1">
      <c r="G382" s="270"/>
    </row>
    <row r="383" spans="7:7" ht="18" customHeight="1">
      <c r="G383" s="270"/>
    </row>
    <row r="384" spans="7:7" ht="18" customHeight="1">
      <c r="G384" s="270"/>
    </row>
    <row r="385" spans="7:7" ht="18" customHeight="1">
      <c r="G385" s="270"/>
    </row>
    <row r="386" spans="7:7" ht="18" customHeight="1">
      <c r="G386" s="270"/>
    </row>
    <row r="387" spans="7:7" ht="18" customHeight="1">
      <c r="G387" s="270"/>
    </row>
    <row r="388" spans="7:7" ht="18" customHeight="1">
      <c r="G388" s="270"/>
    </row>
    <row r="389" spans="7:7" ht="18" customHeight="1">
      <c r="G389" s="270"/>
    </row>
    <row r="390" spans="7:7" ht="18" customHeight="1">
      <c r="G390" s="270"/>
    </row>
    <row r="391" spans="7:7" ht="18" customHeight="1">
      <c r="G391" s="270"/>
    </row>
    <row r="392" spans="7:7" ht="18" customHeight="1">
      <c r="G392" s="270"/>
    </row>
    <row r="393" spans="7:7" ht="18" customHeight="1">
      <c r="G393" s="270"/>
    </row>
    <row r="394" spans="7:7" ht="18" customHeight="1">
      <c r="G394" s="270"/>
    </row>
    <row r="395" spans="7:7" ht="18" customHeight="1">
      <c r="G395" s="270"/>
    </row>
    <row r="396" spans="7:7" ht="18" customHeight="1">
      <c r="G396" s="270"/>
    </row>
    <row r="397" spans="7:7" ht="18" customHeight="1">
      <c r="G397" s="273"/>
    </row>
  </sheetData>
  <mergeCells count="2">
    <mergeCell ref="A1:G3"/>
    <mergeCell ref="G5:G6"/>
  </mergeCells>
  <phoneticPr fontId="77" type="noConversion"/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3AF0E-A74B-4719-9A37-34BF5E80F00D}">
  <sheetPr>
    <tabColor rgb="FF92D050"/>
  </sheetPr>
  <dimension ref="A1:E254"/>
  <sheetViews>
    <sheetView showGridLines="0" workbookViewId="0">
      <pane ySplit="2460" topLeftCell="A245" activePane="bottomLeft"/>
      <selection pane="bottomLeft" activeCell="I258" sqref="I258"/>
      <selection activeCell="G1" sqref="G1:H1048576"/>
    </sheetView>
  </sheetViews>
  <sheetFormatPr defaultColWidth="11.42578125" defaultRowHeight="12.75"/>
  <cols>
    <col min="1" max="1" width="17.42578125" style="310" customWidth="1"/>
    <col min="2" max="2" width="19.28515625" style="280" customWidth="1"/>
    <col min="3" max="3" width="18.42578125" style="280" customWidth="1"/>
    <col min="4" max="4" width="21.28515625" style="309" customWidth="1"/>
    <col min="5" max="5" width="17.42578125" style="310" customWidth="1"/>
    <col min="6" max="16384" width="11.42578125" style="280"/>
  </cols>
  <sheetData>
    <row r="1" spans="1:5" s="55" customFormat="1" ht="21" customHeight="1">
      <c r="A1" s="738" t="s">
        <v>143</v>
      </c>
      <c r="B1" s="738"/>
      <c r="C1" s="738"/>
      <c r="D1" s="738"/>
      <c r="E1" s="738"/>
    </row>
    <row r="2" spans="1:5" s="55" customFormat="1" ht="15.75" customHeight="1">
      <c r="A2" s="738"/>
      <c r="B2" s="738"/>
      <c r="C2" s="738"/>
      <c r="D2" s="738"/>
      <c r="E2" s="738"/>
    </row>
    <row r="3" spans="1:5" s="55" customFormat="1" ht="15" customHeight="1" thickBot="1">
      <c r="A3" s="739"/>
      <c r="B3" s="739"/>
      <c r="C3" s="739"/>
      <c r="D3" s="739"/>
      <c r="E3" s="739"/>
    </row>
    <row r="4" spans="1:5" s="55" customFormat="1" ht="17.25" customHeight="1" thickBot="1">
      <c r="A4" s="750" t="s">
        <v>144</v>
      </c>
      <c r="B4" s="709"/>
      <c r="C4" s="711" t="s">
        <v>145</v>
      </c>
      <c r="D4" s="712"/>
      <c r="E4" s="712"/>
    </row>
    <row r="5" spans="1:5" s="55" customFormat="1" ht="15" customHeight="1" thickBot="1">
      <c r="A5" s="713" t="s">
        <v>46</v>
      </c>
      <c r="B5" s="714"/>
      <c r="C5" s="751" t="s">
        <v>47</v>
      </c>
      <c r="D5" s="717"/>
      <c r="E5" s="717"/>
    </row>
    <row r="6" spans="1:5" s="55" customFormat="1" ht="15.75" customHeight="1" thickBot="1">
      <c r="A6" s="65" t="s">
        <v>49</v>
      </c>
      <c r="B6" s="66" t="s">
        <v>51</v>
      </c>
      <c r="C6" s="66" t="s">
        <v>146</v>
      </c>
      <c r="D6" s="66" t="s">
        <v>147</v>
      </c>
      <c r="E6" s="274" t="s">
        <v>148</v>
      </c>
    </row>
    <row r="7" spans="1:5" ht="18" hidden="1" customHeight="1">
      <c r="A7" s="275">
        <v>38718</v>
      </c>
      <c r="B7" s="276">
        <v>328.04199999999997</v>
      </c>
      <c r="C7" s="277">
        <v>0.34</v>
      </c>
      <c r="D7" s="278">
        <v>0.34</v>
      </c>
      <c r="E7" s="279">
        <v>6.41</v>
      </c>
    </row>
    <row r="8" spans="1:5" ht="18" hidden="1" customHeight="1">
      <c r="A8" s="281">
        <v>38749</v>
      </c>
      <c r="B8" s="282">
        <v>328.65100000000001</v>
      </c>
      <c r="C8" s="283">
        <f>(B8/B7-1)*100</f>
        <v>0.18564695984051305</v>
      </c>
      <c r="D8" s="284">
        <v>0.53102488414420446</v>
      </c>
      <c r="E8" s="285">
        <v>6.1376539661419871</v>
      </c>
    </row>
    <row r="9" spans="1:5" ht="18" hidden="1" customHeight="1">
      <c r="A9" s="281">
        <v>38777</v>
      </c>
      <c r="B9" s="282">
        <v>329.32</v>
      </c>
      <c r="C9" s="283">
        <f t="shared" ref="C9:C20" si="0">(B9/B8-1)*100</f>
        <v>0.2035593988759965</v>
      </c>
      <c r="D9" s="284">
        <v>0.73566523408223894</v>
      </c>
      <c r="E9" s="285">
        <v>5.6416869564659411</v>
      </c>
    </row>
    <row r="10" spans="1:5" ht="18" hidden="1" customHeight="1">
      <c r="A10" s="281">
        <v>38808</v>
      </c>
      <c r="B10" s="282">
        <v>330.50099999999998</v>
      </c>
      <c r="C10" s="283">
        <f t="shared" si="0"/>
        <v>0.35861775780394733</v>
      </c>
      <c r="D10" s="284">
        <v>1.0969212180536037</v>
      </c>
      <c r="E10" s="285">
        <v>5.2628058743156458</v>
      </c>
    </row>
    <row r="11" spans="1:5" ht="18" hidden="1" customHeight="1">
      <c r="A11" s="281">
        <v>38838</v>
      </c>
      <c r="B11" s="282">
        <v>334.86700000000002</v>
      </c>
      <c r="C11" s="283">
        <f t="shared" si="0"/>
        <v>1.3210247472776215</v>
      </c>
      <c r="D11" s="284">
        <v>2.4324365660798763</v>
      </c>
      <c r="E11" s="285">
        <v>4.4748599168860981</v>
      </c>
    </row>
    <row r="12" spans="1:5" ht="18" hidden="1" customHeight="1">
      <c r="A12" s="281">
        <v>38869</v>
      </c>
      <c r="B12" s="282">
        <v>337.892</v>
      </c>
      <c r="C12" s="283">
        <f t="shared" si="0"/>
        <v>0.90334371556468618</v>
      </c>
      <c r="D12" s="284">
        <v>3.3577535444993201</v>
      </c>
      <c r="E12" s="285">
        <v>4.6189476552292108</v>
      </c>
    </row>
    <row r="13" spans="1:5" ht="18" hidden="1" customHeight="1">
      <c r="A13" s="281">
        <v>38899</v>
      </c>
      <c r="B13" s="282">
        <v>339.48399999999998</v>
      </c>
      <c r="C13" s="283">
        <f t="shared" si="0"/>
        <v>0.47115646419566559</v>
      </c>
      <c r="D13" s="284">
        <v>3.84473028157164</v>
      </c>
      <c r="E13" s="285">
        <v>4.9954845174619233</v>
      </c>
    </row>
    <row r="14" spans="1:5" ht="18" hidden="1" customHeight="1">
      <c r="A14" s="281">
        <v>38930</v>
      </c>
      <c r="B14" s="282">
        <v>340.28300000000002</v>
      </c>
      <c r="C14" s="283">
        <f t="shared" si="0"/>
        <v>0.23535718914589054</v>
      </c>
      <c r="D14" s="284">
        <v>4.0891363198384933</v>
      </c>
      <c r="E14" s="285">
        <v>5.2263267590651363</v>
      </c>
    </row>
    <row r="15" spans="1:5" ht="18" hidden="1" customHeight="1">
      <c r="A15" s="281">
        <v>38961</v>
      </c>
      <c r="B15" s="282">
        <v>340.67</v>
      </c>
      <c r="C15" s="283">
        <f t="shared" si="0"/>
        <v>0.11372886685494521</v>
      </c>
      <c r="D15" s="284">
        <v>4.2075157150941456</v>
      </c>
      <c r="E15" s="285">
        <v>5.0918670796263665</v>
      </c>
    </row>
    <row r="16" spans="1:5" ht="18" hidden="1" customHeight="1">
      <c r="A16" s="281">
        <v>38991</v>
      </c>
      <c r="B16" s="282">
        <v>341.36900000000003</v>
      </c>
      <c r="C16" s="283">
        <f t="shared" si="0"/>
        <v>0.20518390231014649</v>
      </c>
      <c r="D16" s="284">
        <v>4.4213327623388254</v>
      </c>
      <c r="E16" s="285">
        <v>5.1071180053081866</v>
      </c>
    </row>
    <row r="17" spans="1:5" ht="18" hidden="1" customHeight="1">
      <c r="A17" s="281">
        <v>39022</v>
      </c>
      <c r="B17" s="282">
        <v>342.15899999999999</v>
      </c>
      <c r="C17" s="283">
        <f t="shared" si="0"/>
        <v>0.23142113079979154</v>
      </c>
      <c r="D17" s="284">
        <v>4.6629857914136652</v>
      </c>
      <c r="E17" s="285">
        <v>5.0524557649146651</v>
      </c>
    </row>
    <row r="18" spans="1:5" ht="18" hidden="1" customHeight="1">
      <c r="A18" s="281">
        <v>39052</v>
      </c>
      <c r="B18" s="282">
        <v>343.40100000000001</v>
      </c>
      <c r="C18" s="283">
        <f t="shared" si="0"/>
        <v>0.36298913662946575</v>
      </c>
      <c r="D18" s="284">
        <v>5.0429010599085444</v>
      </c>
      <c r="E18" s="285">
        <v>5.0429010599085444</v>
      </c>
    </row>
    <row r="19" spans="1:5" ht="18" hidden="1" customHeight="1">
      <c r="A19" s="281">
        <v>39083</v>
      </c>
      <c r="B19" s="282">
        <v>344.94299999999998</v>
      </c>
      <c r="C19" s="283">
        <f>(B19/B18-1)*100</f>
        <v>0.44903771392628133</v>
      </c>
      <c r="D19" s="284">
        <f>(B19/$B$18-1)*100</f>
        <v>0.44903771392628133</v>
      </c>
      <c r="E19" s="285">
        <f>(B19/B7-1)*100</f>
        <v>5.1520841843422538</v>
      </c>
    </row>
    <row r="20" spans="1:5" ht="18" hidden="1" customHeight="1">
      <c r="A20" s="281">
        <v>39114</v>
      </c>
      <c r="B20" s="282">
        <v>345.68200000000002</v>
      </c>
      <c r="C20" s="283">
        <f t="shared" si="0"/>
        <v>0.21423829444287001</v>
      </c>
      <c r="D20" s="284">
        <f>(B20/$B$18-1)*100</f>
        <v>0.66423801910886482</v>
      </c>
      <c r="E20" s="285">
        <f>(B20/B8-1)*100</f>
        <v>5.1820928583816928</v>
      </c>
    </row>
    <row r="21" spans="1:5" ht="18" hidden="1" customHeight="1">
      <c r="A21" s="281">
        <v>39114</v>
      </c>
      <c r="B21" s="286">
        <v>100</v>
      </c>
      <c r="C21" s="283"/>
      <c r="D21" s="284"/>
      <c r="E21" s="287"/>
    </row>
    <row r="22" spans="1:5" ht="18" hidden="1" customHeight="1">
      <c r="A22" s="281">
        <v>39142</v>
      </c>
      <c r="B22" s="282">
        <f t="shared" ref="B22:B85" si="1">B21*(1+C22)</f>
        <v>100.15</v>
      </c>
      <c r="C22" s="288">
        <v>1.5E-3</v>
      </c>
      <c r="D22" s="284">
        <f t="shared" ref="D22:D27" si="2">(B22/$B$21-1)*100</f>
        <v>0.15000000000000568</v>
      </c>
      <c r="E22" s="287" t="s">
        <v>149</v>
      </c>
    </row>
    <row r="23" spans="1:5" ht="18" hidden="1" customHeight="1">
      <c r="A23" s="281">
        <v>39173</v>
      </c>
      <c r="B23" s="282">
        <f t="shared" si="1"/>
        <v>100.86106500000001</v>
      </c>
      <c r="C23" s="288">
        <v>7.1000000000000004E-3</v>
      </c>
      <c r="D23" s="284">
        <f t="shared" si="2"/>
        <v>0.8610650000000053</v>
      </c>
      <c r="E23" s="285" t="s">
        <v>150</v>
      </c>
    </row>
    <row r="24" spans="1:5" ht="18" hidden="1" customHeight="1">
      <c r="A24" s="281">
        <v>39203</v>
      </c>
      <c r="B24" s="282">
        <f t="shared" si="1"/>
        <v>102.08148388650001</v>
      </c>
      <c r="C24" s="288">
        <v>1.21E-2</v>
      </c>
      <c r="D24" s="284">
        <f t="shared" si="2"/>
        <v>2.0814838865000018</v>
      </c>
      <c r="E24" s="285" t="s">
        <v>150</v>
      </c>
    </row>
    <row r="25" spans="1:5" ht="18" hidden="1" customHeight="1">
      <c r="A25" s="281">
        <v>39234</v>
      </c>
      <c r="B25" s="282">
        <f t="shared" si="1"/>
        <v>103.54124910607696</v>
      </c>
      <c r="C25" s="288">
        <v>1.43E-2</v>
      </c>
      <c r="D25" s="284">
        <f t="shared" si="2"/>
        <v>3.5412491060769602</v>
      </c>
      <c r="E25" s="285" t="s">
        <v>150</v>
      </c>
    </row>
    <row r="26" spans="1:5" ht="18" hidden="1" customHeight="1">
      <c r="A26" s="281">
        <v>39264</v>
      </c>
      <c r="B26" s="282">
        <f t="shared" si="1"/>
        <v>104.14178835089221</v>
      </c>
      <c r="C26" s="288">
        <v>5.7999999999999996E-3</v>
      </c>
      <c r="D26" s="284">
        <f t="shared" si="2"/>
        <v>4.141788350892206</v>
      </c>
      <c r="E26" s="285" t="s">
        <v>150</v>
      </c>
    </row>
    <row r="27" spans="1:5" ht="18" hidden="1" customHeight="1">
      <c r="A27" s="281">
        <v>39295</v>
      </c>
      <c r="B27" s="282">
        <f t="shared" si="1"/>
        <v>104.66249729264666</v>
      </c>
      <c r="C27" s="288">
        <v>5.0000000000000001E-3</v>
      </c>
      <c r="D27" s="284">
        <f t="shared" si="2"/>
        <v>4.6624972926466723</v>
      </c>
      <c r="E27" s="285" t="s">
        <v>150</v>
      </c>
    </row>
    <row r="28" spans="1:5" ht="18" hidden="1" customHeight="1">
      <c r="A28" s="281">
        <v>39326</v>
      </c>
      <c r="B28" s="282">
        <f t="shared" si="1"/>
        <v>104.93461978560754</v>
      </c>
      <c r="C28" s="288">
        <v>2.5999999999999999E-3</v>
      </c>
      <c r="D28" s="284">
        <f>(B28/$B$21-1)*100</f>
        <v>4.9346197856075413</v>
      </c>
      <c r="E28" s="285" t="s">
        <v>150</v>
      </c>
    </row>
    <row r="29" spans="1:5" ht="18" hidden="1" customHeight="1">
      <c r="A29" s="281">
        <v>39356</v>
      </c>
      <c r="B29" s="282">
        <f t="shared" si="1"/>
        <v>105.75310981993528</v>
      </c>
      <c r="C29" s="288">
        <v>7.7999999999999996E-3</v>
      </c>
      <c r="D29" s="284">
        <f>(B29/$B$21-1)*100</f>
        <v>5.7531098199352648</v>
      </c>
      <c r="E29" s="285" t="s">
        <v>150</v>
      </c>
    </row>
    <row r="30" spans="1:5" ht="18" hidden="1" customHeight="1">
      <c r="A30" s="281">
        <v>39387</v>
      </c>
      <c r="B30" s="282">
        <f t="shared" si="1"/>
        <v>106.47223096671082</v>
      </c>
      <c r="C30" s="288">
        <v>6.7999999999999996E-3</v>
      </c>
      <c r="D30" s="284">
        <f>(B30/$B$21-1)*100</f>
        <v>6.4722309667108346</v>
      </c>
      <c r="E30" s="285" t="s">
        <v>150</v>
      </c>
    </row>
    <row r="31" spans="1:5" ht="18" hidden="1" customHeight="1">
      <c r="A31" s="281">
        <v>39417</v>
      </c>
      <c r="B31" s="282">
        <f t="shared" si="1"/>
        <v>107.08976990631776</v>
      </c>
      <c r="C31" s="288">
        <v>5.7999999999999996E-3</v>
      </c>
      <c r="D31" s="284">
        <f>(B31/$B$21-1)*100</f>
        <v>7.0897699063177555</v>
      </c>
      <c r="E31" s="285" t="s">
        <v>150</v>
      </c>
    </row>
    <row r="32" spans="1:5" ht="18" hidden="1" customHeight="1">
      <c r="A32" s="281">
        <v>39448</v>
      </c>
      <c r="B32" s="282">
        <f t="shared" si="1"/>
        <v>107.16473274525217</v>
      </c>
      <c r="C32" s="288">
        <v>6.9999999999999999E-4</v>
      </c>
      <c r="D32" s="284">
        <f t="shared" ref="D32:D43" si="3">(B32/$B$31-1)*100</f>
        <v>6.9999999999992291E-2</v>
      </c>
      <c r="E32" s="285" t="s">
        <v>150</v>
      </c>
    </row>
    <row r="33" spans="1:5" ht="18" hidden="1" customHeight="1">
      <c r="A33" s="281">
        <v>39479</v>
      </c>
      <c r="B33" s="282">
        <f t="shared" si="1"/>
        <v>107.57195872968413</v>
      </c>
      <c r="C33" s="288">
        <v>3.8E-3</v>
      </c>
      <c r="D33" s="284">
        <f t="shared" si="3"/>
        <v>0.45026599999999917</v>
      </c>
      <c r="E33" s="285">
        <f t="shared" ref="E33:E96" si="4">(B33/B21-1)*100</f>
        <v>7.5719587296841251</v>
      </c>
    </row>
    <row r="34" spans="1:5" ht="18" hidden="1" customHeight="1">
      <c r="A34" s="281">
        <v>39508</v>
      </c>
      <c r="B34" s="282">
        <f t="shared" si="1"/>
        <v>107.7871026471435</v>
      </c>
      <c r="C34" s="288">
        <v>2E-3</v>
      </c>
      <c r="D34" s="284">
        <f t="shared" si="3"/>
        <v>0.65116653199999153</v>
      </c>
      <c r="E34" s="285">
        <f t="shared" si="4"/>
        <v>7.6256641509171219</v>
      </c>
    </row>
    <row r="35" spans="1:5" ht="18" hidden="1" customHeight="1">
      <c r="A35" s="281">
        <v>39539</v>
      </c>
      <c r="B35" s="282">
        <f t="shared" si="1"/>
        <v>108.22902976799679</v>
      </c>
      <c r="C35" s="288">
        <v>4.1000000000000003E-3</v>
      </c>
      <c r="D35" s="284">
        <f t="shared" si="3"/>
        <v>1.0638363147811969</v>
      </c>
      <c r="E35" s="285">
        <f t="shared" si="4"/>
        <v>7.3050634236281109</v>
      </c>
    </row>
    <row r="36" spans="1:5" ht="18" hidden="1" customHeight="1">
      <c r="A36" s="281">
        <v>39569</v>
      </c>
      <c r="B36" s="282">
        <f t="shared" si="1"/>
        <v>111.17285937768629</v>
      </c>
      <c r="C36" s="288">
        <v>2.7199999999999998E-2</v>
      </c>
      <c r="D36" s="284">
        <f t="shared" si="3"/>
        <v>3.812772662543229</v>
      </c>
      <c r="E36" s="285">
        <f t="shared" si="4"/>
        <v>8.9059985661009691</v>
      </c>
    </row>
    <row r="37" spans="1:5" ht="18" hidden="1" customHeight="1">
      <c r="A37" s="281">
        <v>39600</v>
      </c>
      <c r="B37" s="282">
        <f t="shared" si="1"/>
        <v>113.55195856836879</v>
      </c>
      <c r="C37" s="288">
        <v>2.1399999999999999E-2</v>
      </c>
      <c r="D37" s="284">
        <f t="shared" si="3"/>
        <v>6.0343659975216735</v>
      </c>
      <c r="E37" s="285">
        <f t="shared" si="4"/>
        <v>9.6683298190037839</v>
      </c>
    </row>
    <row r="38" spans="1:5" ht="18" hidden="1" customHeight="1">
      <c r="A38" s="281">
        <v>39630</v>
      </c>
      <c r="B38" s="282">
        <f t="shared" si="1"/>
        <v>114.24462551563583</v>
      </c>
      <c r="C38" s="288">
        <v>6.1000000000000004E-3</v>
      </c>
      <c r="D38" s="284">
        <f t="shared" si="3"/>
        <v>6.6811756301065506</v>
      </c>
      <c r="E38" s="285">
        <f t="shared" si="4"/>
        <v>9.7010405954460985</v>
      </c>
    </row>
    <row r="39" spans="1:5" ht="18" hidden="1" customHeight="1">
      <c r="A39" s="281">
        <v>39661</v>
      </c>
      <c r="B39" s="282">
        <f t="shared" si="1"/>
        <v>115.79835242264849</v>
      </c>
      <c r="C39" s="288">
        <v>1.3599999999999999E-2</v>
      </c>
      <c r="D39" s="284">
        <f t="shared" si="3"/>
        <v>8.1320396186760124</v>
      </c>
      <c r="E39" s="285">
        <f t="shared" si="4"/>
        <v>10.639775868203172</v>
      </c>
    </row>
    <row r="40" spans="1:5" ht="18" hidden="1" customHeight="1">
      <c r="A40" s="281">
        <v>39692</v>
      </c>
      <c r="B40" s="282">
        <f t="shared" si="1"/>
        <v>116.64599636238228</v>
      </c>
      <c r="C40" s="288">
        <v>7.3200000000000001E-3</v>
      </c>
      <c r="D40" s="284">
        <f t="shared" si="3"/>
        <v>8.9235661486847242</v>
      </c>
      <c r="E40" s="285">
        <f t="shared" si="4"/>
        <v>11.160641360022371</v>
      </c>
    </row>
    <row r="41" spans="1:5" ht="18" hidden="1" customHeight="1">
      <c r="A41" s="281">
        <v>39722</v>
      </c>
      <c r="B41" s="282">
        <f t="shared" si="1"/>
        <v>118.62314600072466</v>
      </c>
      <c r="C41" s="288">
        <v>1.695E-2</v>
      </c>
      <c r="D41" s="284">
        <f t="shared" si="3"/>
        <v>10.769820594904921</v>
      </c>
      <c r="E41" s="285">
        <f t="shared" si="4"/>
        <v>12.169889096124976</v>
      </c>
    </row>
    <row r="42" spans="1:5" ht="18" hidden="1" customHeight="1">
      <c r="A42" s="281">
        <v>39753</v>
      </c>
      <c r="B42" s="282">
        <f t="shared" si="1"/>
        <v>118.87225460732618</v>
      </c>
      <c r="C42" s="288">
        <v>2.0999999999999999E-3</v>
      </c>
      <c r="D42" s="284">
        <f t="shared" si="3"/>
        <v>11.002437218154215</v>
      </c>
      <c r="E42" s="285">
        <f t="shared" si="4"/>
        <v>11.646251354019533</v>
      </c>
    </row>
    <row r="43" spans="1:5" ht="18" hidden="1" customHeight="1">
      <c r="A43" s="281">
        <v>39783</v>
      </c>
      <c r="B43" s="282">
        <f t="shared" si="1"/>
        <v>118.82470570548325</v>
      </c>
      <c r="C43" s="288">
        <v>-4.0000000000000002E-4</v>
      </c>
      <c r="D43" s="284">
        <f t="shared" si="3"/>
        <v>10.958036243266967</v>
      </c>
      <c r="E43" s="285">
        <f t="shared" si="4"/>
        <v>10.958036243266967</v>
      </c>
    </row>
    <row r="44" spans="1:5" ht="18" hidden="1" customHeight="1">
      <c r="A44" s="281">
        <v>39814</v>
      </c>
      <c r="B44" s="282">
        <f t="shared" si="1"/>
        <v>119.07423758746476</v>
      </c>
      <c r="C44" s="288">
        <v>2.0999999999999999E-3</v>
      </c>
      <c r="D44" s="284">
        <f t="shared" ref="D44:D55" si="5">(B44/$B$43-1)*100</f>
        <v>0.20999999999999908</v>
      </c>
      <c r="E44" s="285">
        <f t="shared" si="4"/>
        <v>11.113268831195988</v>
      </c>
    </row>
    <row r="45" spans="1:5" ht="18" hidden="1" customHeight="1">
      <c r="A45" s="281">
        <v>39845</v>
      </c>
      <c r="B45" s="282">
        <f t="shared" si="1"/>
        <v>119.57434938533211</v>
      </c>
      <c r="C45" s="288">
        <v>4.1999999999999997E-3</v>
      </c>
      <c r="D45" s="284">
        <f t="shared" si="5"/>
        <v>0.63088199999998817</v>
      </c>
      <c r="E45" s="285">
        <f t="shared" si="4"/>
        <v>11.157545885920506</v>
      </c>
    </row>
    <row r="46" spans="1:5" ht="18" hidden="1" customHeight="1">
      <c r="A46" s="281">
        <v>39873</v>
      </c>
      <c r="B46" s="282">
        <f t="shared" si="1"/>
        <v>119.45477503594678</v>
      </c>
      <c r="C46" s="288">
        <v>-1E-3</v>
      </c>
      <c r="D46" s="284">
        <f t="shared" si="5"/>
        <v>0.53025111800000246</v>
      </c>
      <c r="E46" s="285">
        <f t="shared" si="4"/>
        <v>10.824738862309967</v>
      </c>
    </row>
    <row r="47" spans="1:5" ht="18" hidden="1" customHeight="1">
      <c r="A47" s="281">
        <v>39904</v>
      </c>
      <c r="B47" s="282">
        <f t="shared" si="1"/>
        <v>119.31142930590364</v>
      </c>
      <c r="C47" s="288">
        <v>-1.1999999999999999E-3</v>
      </c>
      <c r="D47" s="284">
        <f t="shared" si="5"/>
        <v>0.40961481665839905</v>
      </c>
      <c r="E47" s="285">
        <f t="shared" si="4"/>
        <v>10.239766134523641</v>
      </c>
    </row>
    <row r="48" spans="1:5" ht="18" hidden="1" customHeight="1">
      <c r="A48" s="281">
        <v>39934</v>
      </c>
      <c r="B48" s="282">
        <f t="shared" si="1"/>
        <v>121.14882531721457</v>
      </c>
      <c r="C48" s="288">
        <v>1.54E-2</v>
      </c>
      <c r="D48" s="284">
        <f t="shared" si="5"/>
        <v>1.9559228848349486</v>
      </c>
      <c r="E48" s="285">
        <f t="shared" si="4"/>
        <v>8.9733825282275461</v>
      </c>
    </row>
    <row r="49" spans="1:5" ht="18" hidden="1" customHeight="1">
      <c r="A49" s="281">
        <v>39965</v>
      </c>
      <c r="B49" s="282">
        <f t="shared" si="1"/>
        <v>122.4087731005136</v>
      </c>
      <c r="C49" s="288">
        <v>1.04E-2</v>
      </c>
      <c r="D49" s="284">
        <f t="shared" si="5"/>
        <v>3.0162644828372276</v>
      </c>
      <c r="E49" s="285">
        <f t="shared" si="4"/>
        <v>7.7997901963198446</v>
      </c>
    </row>
    <row r="50" spans="1:5" ht="18" hidden="1" customHeight="1">
      <c r="A50" s="281">
        <v>39995</v>
      </c>
      <c r="B50" s="282">
        <f t="shared" si="1"/>
        <v>122.86168556098551</v>
      </c>
      <c r="C50" s="288">
        <v>3.7000000000000002E-3</v>
      </c>
      <c r="D50" s="284">
        <f t="shared" si="5"/>
        <v>3.3974246614237202</v>
      </c>
      <c r="E50" s="285">
        <f t="shared" si="4"/>
        <v>7.5426393201930786</v>
      </c>
    </row>
    <row r="51" spans="1:5" ht="18" hidden="1" customHeight="1">
      <c r="A51" s="281">
        <v>40026</v>
      </c>
      <c r="B51" s="282">
        <f t="shared" si="1"/>
        <v>122.72653770686843</v>
      </c>
      <c r="C51" s="288">
        <v>-1.1000000000000001E-3</v>
      </c>
      <c r="D51" s="284">
        <f t="shared" si="5"/>
        <v>3.2836874942961725</v>
      </c>
      <c r="E51" s="285">
        <f t="shared" si="4"/>
        <v>5.9829739709361229</v>
      </c>
    </row>
    <row r="52" spans="1:5" ht="18" hidden="1" customHeight="1">
      <c r="A52" s="281">
        <v>40057</v>
      </c>
      <c r="B52" s="282">
        <f t="shared" si="1"/>
        <v>122.92290016719942</v>
      </c>
      <c r="C52" s="288">
        <v>1.6000000000000001E-3</v>
      </c>
      <c r="D52" s="284">
        <f t="shared" si="5"/>
        <v>3.4489413942870417</v>
      </c>
      <c r="E52" s="285">
        <f t="shared" si="4"/>
        <v>5.3811566625199703</v>
      </c>
    </row>
    <row r="53" spans="1:5" ht="18" hidden="1" customHeight="1">
      <c r="A53" s="281">
        <v>40087</v>
      </c>
      <c r="B53" s="282">
        <f t="shared" si="1"/>
        <v>122.89831558716598</v>
      </c>
      <c r="C53" s="288">
        <v>-2.0000000000000001E-4</v>
      </c>
      <c r="D53" s="284">
        <f t="shared" si="5"/>
        <v>3.4282516060081925</v>
      </c>
      <c r="E53" s="285">
        <f t="shared" si="4"/>
        <v>3.603992754007046</v>
      </c>
    </row>
    <row r="54" spans="1:5" ht="18" hidden="1" customHeight="1">
      <c r="A54" s="281">
        <v>40118</v>
      </c>
      <c r="B54" s="282">
        <f t="shared" si="1"/>
        <v>123.03350373431188</v>
      </c>
      <c r="C54" s="288">
        <v>1.1000000000000001E-3</v>
      </c>
      <c r="D54" s="284">
        <f t="shared" si="5"/>
        <v>3.5420226827748147</v>
      </c>
      <c r="E54" s="285">
        <f t="shared" si="4"/>
        <v>3.5006058737016899</v>
      </c>
    </row>
    <row r="55" spans="1:5" ht="18" hidden="1" customHeight="1">
      <c r="A55" s="281">
        <v>40148</v>
      </c>
      <c r="B55" s="282">
        <f t="shared" si="1"/>
        <v>123.03350373431188</v>
      </c>
      <c r="C55" s="288">
        <v>0</v>
      </c>
      <c r="D55" s="284">
        <f t="shared" si="5"/>
        <v>3.5420226827748147</v>
      </c>
      <c r="E55" s="285">
        <f t="shared" si="4"/>
        <v>3.5420226827748147</v>
      </c>
    </row>
    <row r="56" spans="1:5" ht="18" hidden="1" customHeight="1">
      <c r="A56" s="281">
        <v>40179</v>
      </c>
      <c r="B56" s="282">
        <f t="shared" si="1"/>
        <v>123.21805398991336</v>
      </c>
      <c r="C56" s="288">
        <v>1.5E-3</v>
      </c>
      <c r="D56" s="284">
        <f t="shared" ref="D56:D67" si="6">(B56/$B$55-1)*100</f>
        <v>0.15000000000000568</v>
      </c>
      <c r="E56" s="285">
        <f t="shared" si="4"/>
        <v>3.4800276587156675</v>
      </c>
    </row>
    <row r="57" spans="1:5" ht="18" hidden="1" customHeight="1">
      <c r="A57" s="281">
        <v>40210</v>
      </c>
      <c r="B57" s="282">
        <f t="shared" si="1"/>
        <v>123.39055926549925</v>
      </c>
      <c r="C57" s="288">
        <v>1.4E-3</v>
      </c>
      <c r="D57" s="284">
        <f t="shared" si="6"/>
        <v>0.29021000000002406</v>
      </c>
      <c r="E57" s="285">
        <f t="shared" si="4"/>
        <v>3.1914954166877951</v>
      </c>
    </row>
    <row r="58" spans="1:5" ht="18" hidden="1" customHeight="1">
      <c r="A58" s="281">
        <v>40238</v>
      </c>
      <c r="B58" s="282">
        <f t="shared" si="1"/>
        <v>123.62500132810369</v>
      </c>
      <c r="C58" s="288">
        <v>1.9E-3</v>
      </c>
      <c r="D58" s="284">
        <f t="shared" si="6"/>
        <v>0.48076139900001813</v>
      </c>
      <c r="E58" s="285">
        <f t="shared" si="4"/>
        <v>3.4910503082878019</v>
      </c>
    </row>
    <row r="59" spans="1:5" ht="18" hidden="1" customHeight="1">
      <c r="A59" s="281">
        <v>40269</v>
      </c>
      <c r="B59" s="282">
        <f t="shared" si="1"/>
        <v>123.83516383036147</v>
      </c>
      <c r="C59" s="288">
        <v>1.6999999999999999E-3</v>
      </c>
      <c r="D59" s="284">
        <f t="shared" si="6"/>
        <v>0.65157869337830743</v>
      </c>
      <c r="E59" s="285">
        <f t="shared" si="4"/>
        <v>3.7915349357347639</v>
      </c>
    </row>
    <row r="60" spans="1:5" ht="18" hidden="1" customHeight="1">
      <c r="A60" s="281">
        <v>40299</v>
      </c>
      <c r="B60" s="282">
        <f t="shared" si="1"/>
        <v>126.84435831143925</v>
      </c>
      <c r="C60" s="288">
        <v>2.4299999999999999E-2</v>
      </c>
      <c r="D60" s="284">
        <f t="shared" si="6"/>
        <v>3.0974120556274132</v>
      </c>
      <c r="E60" s="285">
        <f t="shared" si="4"/>
        <v>4.7012696815768251</v>
      </c>
    </row>
    <row r="61" spans="1:5" ht="18" hidden="1" customHeight="1">
      <c r="A61" s="281">
        <v>40330</v>
      </c>
      <c r="B61" s="282">
        <f t="shared" si="1"/>
        <v>129.44466765682375</v>
      </c>
      <c r="C61" s="288">
        <v>2.0500000000000001E-2</v>
      </c>
      <c r="D61" s="284">
        <f t="shared" si="6"/>
        <v>5.2109090027677718</v>
      </c>
      <c r="E61" s="285">
        <f t="shared" si="4"/>
        <v>5.7478678840549913</v>
      </c>
    </row>
    <row r="62" spans="1:5" ht="18" hidden="1" customHeight="1">
      <c r="A62" s="281">
        <v>40360</v>
      </c>
      <c r="B62" s="282">
        <f t="shared" si="1"/>
        <v>130.13072439540494</v>
      </c>
      <c r="C62" s="288">
        <v>5.3E-3</v>
      </c>
      <c r="D62" s="284">
        <f t="shared" si="6"/>
        <v>5.7685268204824558</v>
      </c>
      <c r="E62" s="285">
        <f t="shared" si="4"/>
        <v>5.9164407530541752</v>
      </c>
    </row>
    <row r="63" spans="1:5" ht="18" hidden="1" customHeight="1">
      <c r="A63" s="281">
        <v>40391</v>
      </c>
      <c r="B63" s="282">
        <f t="shared" si="1"/>
        <v>130.29989433711899</v>
      </c>
      <c r="C63" s="288">
        <v>1.2999999999999999E-3</v>
      </c>
      <c r="D63" s="284">
        <f t="shared" si="6"/>
        <v>5.9060259053490993</v>
      </c>
      <c r="E63" s="285">
        <f t="shared" si="4"/>
        <v>6.1709201381851653</v>
      </c>
    </row>
    <row r="64" spans="1:5" ht="18" hidden="1" customHeight="1">
      <c r="A64" s="281">
        <v>40422</v>
      </c>
      <c r="B64" s="282">
        <f t="shared" si="1"/>
        <v>130.10444449561331</v>
      </c>
      <c r="C64" s="288">
        <v>-1.5E-3</v>
      </c>
      <c r="D64" s="284">
        <f t="shared" si="6"/>
        <v>5.7471668664910824</v>
      </c>
      <c r="E64" s="285">
        <f t="shared" si="4"/>
        <v>5.8423160522942164</v>
      </c>
    </row>
    <row r="65" spans="1:5" ht="18" hidden="1" customHeight="1">
      <c r="A65" s="281">
        <v>40452</v>
      </c>
      <c r="B65" s="282">
        <f t="shared" si="1"/>
        <v>129.94831916221858</v>
      </c>
      <c r="C65" s="288">
        <v>-1.1999999999999999E-3</v>
      </c>
      <c r="D65" s="284">
        <f t="shared" si="6"/>
        <v>5.6202702662512927</v>
      </c>
      <c r="E65" s="285">
        <f t="shared" si="4"/>
        <v>5.736452563544181</v>
      </c>
    </row>
    <row r="66" spans="1:5" ht="18" hidden="1" customHeight="1">
      <c r="A66" s="281">
        <v>40483</v>
      </c>
      <c r="B66" s="282">
        <f t="shared" si="1"/>
        <v>129.77938634730771</v>
      </c>
      <c r="C66" s="288">
        <v>-1.2999999999999999E-3</v>
      </c>
      <c r="D66" s="284">
        <f t="shared" si="6"/>
        <v>5.4829639149051701</v>
      </c>
      <c r="E66" s="285">
        <f t="shared" si="4"/>
        <v>5.4829639149051701</v>
      </c>
    </row>
    <row r="67" spans="1:5" ht="18" hidden="1" customHeight="1">
      <c r="A67" s="281">
        <v>40513</v>
      </c>
      <c r="B67" s="282">
        <f t="shared" si="1"/>
        <v>129.77938634730771</v>
      </c>
      <c r="C67" s="288">
        <v>0</v>
      </c>
      <c r="D67" s="284">
        <f t="shared" si="6"/>
        <v>5.4829639149051701</v>
      </c>
      <c r="E67" s="285">
        <f t="shared" si="4"/>
        <v>5.4829639149051701</v>
      </c>
    </row>
    <row r="68" spans="1:5" ht="18" customHeight="1">
      <c r="A68" s="289">
        <v>40544</v>
      </c>
      <c r="B68" s="290">
        <f t="shared" si="1"/>
        <v>130.14276862908017</v>
      </c>
      <c r="C68" s="291">
        <v>2.8E-3</v>
      </c>
      <c r="D68" s="292">
        <f t="shared" ref="D68:D79" si="7">(B68/$B$67-1)*100</f>
        <v>0.27999999999999137</v>
      </c>
      <c r="E68" s="34">
        <f t="shared" si="4"/>
        <v>5.6198863842904512</v>
      </c>
    </row>
    <row r="69" spans="1:5" ht="18" customHeight="1">
      <c r="A69" s="293">
        <v>40575</v>
      </c>
      <c r="B69" s="294">
        <f t="shared" si="1"/>
        <v>130.35099705888669</v>
      </c>
      <c r="C69" s="295">
        <v>1.6000000000000001E-3</v>
      </c>
      <c r="D69" s="296">
        <f t="shared" si="7"/>
        <v>0.44044800000000439</v>
      </c>
      <c r="E69" s="36">
        <f t="shared" si="4"/>
        <v>5.6409808293442332</v>
      </c>
    </row>
    <row r="70" spans="1:5" ht="18" customHeight="1">
      <c r="A70" s="293">
        <v>40603</v>
      </c>
      <c r="B70" s="294">
        <f t="shared" si="1"/>
        <v>130.48134805594557</v>
      </c>
      <c r="C70" s="295">
        <v>1E-3</v>
      </c>
      <c r="D70" s="296">
        <f t="shared" si="7"/>
        <v>0.54088844799999869</v>
      </c>
      <c r="E70" s="36">
        <f t="shared" si="4"/>
        <v>5.5460842500983931</v>
      </c>
    </row>
    <row r="71" spans="1:5" ht="18" customHeight="1">
      <c r="A71" s="293">
        <v>40634</v>
      </c>
      <c r="B71" s="294">
        <f t="shared" si="1"/>
        <v>130.76840702166865</v>
      </c>
      <c r="C71" s="295">
        <v>2.2000000000000001E-3</v>
      </c>
      <c r="D71" s="296">
        <f t="shared" si="7"/>
        <v>0.76207840258559756</v>
      </c>
      <c r="E71" s="36">
        <f t="shared" si="4"/>
        <v>5.5987677303070749</v>
      </c>
    </row>
    <row r="72" spans="1:5" ht="18" customHeight="1">
      <c r="A72" s="293">
        <v>40664</v>
      </c>
      <c r="B72" s="294">
        <f t="shared" si="1"/>
        <v>135.12299497549023</v>
      </c>
      <c r="C72" s="295">
        <v>3.3300000000000003E-2</v>
      </c>
      <c r="D72" s="296">
        <f t="shared" si="7"/>
        <v>4.1174556133916962</v>
      </c>
      <c r="E72" s="36">
        <f t="shared" si="4"/>
        <v>6.5266100710009933</v>
      </c>
    </row>
    <row r="73" spans="1:5" ht="18" customHeight="1">
      <c r="A73" s="293">
        <v>40695</v>
      </c>
      <c r="B73" s="294">
        <f t="shared" si="1"/>
        <v>136.8255447121814</v>
      </c>
      <c r="C73" s="295">
        <v>1.26E-2</v>
      </c>
      <c r="D73" s="296">
        <f t="shared" si="7"/>
        <v>5.429335554120418</v>
      </c>
      <c r="E73" s="36">
        <f t="shared" si="4"/>
        <v>5.7019552747629598</v>
      </c>
    </row>
    <row r="74" spans="1:5" ht="18" customHeight="1">
      <c r="A74" s="293">
        <v>40725</v>
      </c>
      <c r="B74" s="294">
        <f t="shared" si="1"/>
        <v>136.9076400390087</v>
      </c>
      <c r="C74" s="295">
        <v>5.9999999999999995E-4</v>
      </c>
      <c r="D74" s="296">
        <f t="shared" si="7"/>
        <v>5.4925931554528962</v>
      </c>
      <c r="E74" s="36">
        <f t="shared" si="4"/>
        <v>5.2077752391602505</v>
      </c>
    </row>
    <row r="75" spans="1:5" ht="18" customHeight="1">
      <c r="A75" s="293">
        <v>40756</v>
      </c>
      <c r="B75" s="294">
        <f t="shared" si="1"/>
        <v>136.98978462303208</v>
      </c>
      <c r="C75" s="295">
        <v>5.9999999999999995E-4</v>
      </c>
      <c r="D75" s="296">
        <f t="shared" si="7"/>
        <v>5.5558887113461575</v>
      </c>
      <c r="E75" s="36">
        <f t="shared" si="4"/>
        <v>5.1342254112690666</v>
      </c>
    </row>
    <row r="76" spans="1:5" ht="18" customHeight="1">
      <c r="A76" s="293">
        <v>40787</v>
      </c>
      <c r="B76" s="294">
        <f t="shared" si="1"/>
        <v>137.18157032150432</v>
      </c>
      <c r="C76" s="295">
        <v>1.4E-3</v>
      </c>
      <c r="D76" s="296">
        <f t="shared" si="7"/>
        <v>5.7036669555420305</v>
      </c>
      <c r="E76" s="36">
        <f t="shared" si="4"/>
        <v>5.4395726858736504</v>
      </c>
    </row>
    <row r="77" spans="1:5" ht="18" customHeight="1">
      <c r="A77" s="293">
        <v>40817</v>
      </c>
      <c r="B77" s="294">
        <f t="shared" si="1"/>
        <v>137.25016110666508</v>
      </c>
      <c r="C77" s="295">
        <v>5.0000000000000001E-4</v>
      </c>
      <c r="D77" s="296">
        <f t="shared" si="7"/>
        <v>5.7565187890197933</v>
      </c>
      <c r="E77" s="36">
        <f t="shared" si="4"/>
        <v>5.6190353145940897</v>
      </c>
    </row>
    <row r="78" spans="1:5" ht="18" customHeight="1">
      <c r="A78" s="293">
        <v>40848</v>
      </c>
      <c r="B78" s="294">
        <f t="shared" si="1"/>
        <v>137.3599612355504</v>
      </c>
      <c r="C78" s="295">
        <v>8.0000000000000004E-4</v>
      </c>
      <c r="D78" s="296">
        <f t="shared" si="7"/>
        <v>5.8411240040510126</v>
      </c>
      <c r="E78" s="36">
        <f t="shared" si="4"/>
        <v>5.8411240040510126</v>
      </c>
    </row>
    <row r="79" spans="1:5" ht="18" customHeight="1">
      <c r="A79" s="293">
        <v>40878</v>
      </c>
      <c r="B79" s="294">
        <f t="shared" si="1"/>
        <v>137.37369723167396</v>
      </c>
      <c r="C79" s="295">
        <v>1E-4</v>
      </c>
      <c r="D79" s="296">
        <f t="shared" si="7"/>
        <v>5.8517081164514151</v>
      </c>
      <c r="E79" s="36">
        <f t="shared" si="4"/>
        <v>5.8517081164514151</v>
      </c>
    </row>
    <row r="80" spans="1:5" ht="18" customHeight="1">
      <c r="A80" s="293">
        <v>40909</v>
      </c>
      <c r="B80" s="294">
        <f t="shared" si="1"/>
        <v>137.51107092890561</v>
      </c>
      <c r="C80" s="295">
        <v>1E-3</v>
      </c>
      <c r="D80" s="296">
        <f t="shared" ref="D80:D91" si="8">(B80/$B$79-1)*100</f>
        <v>9.9999999999988987E-2</v>
      </c>
      <c r="E80" s="36">
        <f t="shared" si="4"/>
        <v>5.6617070448423013</v>
      </c>
    </row>
    <row r="81" spans="1:5" ht="18" customHeight="1">
      <c r="A81" s="293">
        <v>40940</v>
      </c>
      <c r="B81" s="294">
        <f t="shared" si="1"/>
        <v>137.9923596771568</v>
      </c>
      <c r="C81" s="295">
        <v>3.5000000000000001E-3</v>
      </c>
      <c r="D81" s="296">
        <f t="shared" si="8"/>
        <v>0.45034999999999936</v>
      </c>
      <c r="E81" s="36">
        <f t="shared" si="4"/>
        <v>5.8621435897556529</v>
      </c>
    </row>
    <row r="82" spans="1:5" ht="18" customHeight="1">
      <c r="A82" s="293">
        <v>40969</v>
      </c>
      <c r="B82" s="294">
        <f t="shared" si="1"/>
        <v>138.54432911586542</v>
      </c>
      <c r="C82" s="295">
        <v>4.0000000000000001E-3</v>
      </c>
      <c r="D82" s="296">
        <f t="shared" si="8"/>
        <v>0.85215139999998968</v>
      </c>
      <c r="E82" s="36">
        <f t="shared" si="4"/>
        <v>6.1794127513633113</v>
      </c>
    </row>
    <row r="83" spans="1:5" ht="18" customHeight="1">
      <c r="A83" s="293">
        <v>41000</v>
      </c>
      <c r="B83" s="294">
        <f t="shared" si="1"/>
        <v>138.73829117662765</v>
      </c>
      <c r="C83" s="295">
        <v>1.4E-3</v>
      </c>
      <c r="D83" s="296">
        <f t="shared" si="8"/>
        <v>0.99334441196001766</v>
      </c>
      <c r="E83" s="36">
        <f t="shared" si="4"/>
        <v>6.0946556867044865</v>
      </c>
    </row>
    <row r="84" spans="1:5" ht="18" customHeight="1">
      <c r="A84" s="293">
        <v>41030</v>
      </c>
      <c r="B84" s="294">
        <f t="shared" si="1"/>
        <v>143.28890712722102</v>
      </c>
      <c r="C84" s="295">
        <v>3.2800000000000003E-2</v>
      </c>
      <c r="D84" s="296">
        <f t="shared" si="8"/>
        <v>4.3059261086722866</v>
      </c>
      <c r="E84" s="36">
        <f t="shared" si="4"/>
        <v>6.0433179069276921</v>
      </c>
    </row>
    <row r="85" spans="1:5" ht="18" customHeight="1">
      <c r="A85" s="293">
        <v>41061</v>
      </c>
      <c r="B85" s="294">
        <f t="shared" si="1"/>
        <v>145.76780522052195</v>
      </c>
      <c r="C85" s="295">
        <v>1.7299999999999999E-2</v>
      </c>
      <c r="D85" s="296">
        <f t="shared" si="8"/>
        <v>6.11041863035231</v>
      </c>
      <c r="E85" s="36">
        <f t="shared" si="4"/>
        <v>6.5355197577696478</v>
      </c>
    </row>
    <row r="86" spans="1:5" ht="18" customHeight="1">
      <c r="A86" s="293">
        <v>41091</v>
      </c>
      <c r="B86" s="294">
        <f t="shared" ref="B86:B149" si="9">B85*(1+C86)</f>
        <v>146.46749068558043</v>
      </c>
      <c r="C86" s="295">
        <v>4.7999999999999996E-3</v>
      </c>
      <c r="D86" s="296">
        <f t="shared" si="8"/>
        <v>6.6197486397779892</v>
      </c>
      <c r="E86" s="36">
        <f t="shared" si="4"/>
        <v>6.9827006322275897</v>
      </c>
    </row>
    <row r="87" spans="1:5" ht="18" customHeight="1">
      <c r="A87" s="293">
        <v>41122</v>
      </c>
      <c r="B87" s="294">
        <f t="shared" si="9"/>
        <v>146.67254517254025</v>
      </c>
      <c r="C87" s="295">
        <v>1.4E-3</v>
      </c>
      <c r="D87" s="296">
        <f t="shared" si="8"/>
        <v>6.769016287873697</v>
      </c>
      <c r="E87" s="36">
        <f t="shared" si="4"/>
        <v>7.0682354718296425</v>
      </c>
    </row>
    <row r="88" spans="1:5" ht="18" customHeight="1">
      <c r="A88" s="293">
        <v>41153</v>
      </c>
      <c r="B88" s="294">
        <f t="shared" si="9"/>
        <v>146.77521595416101</v>
      </c>
      <c r="C88" s="295">
        <v>6.9999999999999999E-4</v>
      </c>
      <c r="D88" s="296">
        <f t="shared" si="8"/>
        <v>6.8437545992751758</v>
      </c>
      <c r="E88" s="36">
        <f t="shared" si="4"/>
        <v>6.9933924871778519</v>
      </c>
    </row>
    <row r="89" spans="1:5" ht="18" customHeight="1">
      <c r="A89" s="293">
        <v>41183</v>
      </c>
      <c r="B89" s="294">
        <f t="shared" si="9"/>
        <v>147.06876638606934</v>
      </c>
      <c r="C89" s="295">
        <v>2E-3</v>
      </c>
      <c r="D89" s="296">
        <f t="shared" si="8"/>
        <v>7.0574421084737438</v>
      </c>
      <c r="E89" s="36">
        <f t="shared" si="4"/>
        <v>7.153802370966722</v>
      </c>
    </row>
    <row r="90" spans="1:5" ht="18" customHeight="1">
      <c r="A90" s="293">
        <v>41214</v>
      </c>
      <c r="B90" s="294">
        <f t="shared" si="9"/>
        <v>147.33349016556426</v>
      </c>
      <c r="C90" s="295">
        <v>1.8E-3</v>
      </c>
      <c r="D90" s="296">
        <f t="shared" si="8"/>
        <v>7.25014550426899</v>
      </c>
      <c r="E90" s="36">
        <f t="shared" si="4"/>
        <v>7.2608705188194067</v>
      </c>
    </row>
    <row r="91" spans="1:5" ht="18" customHeight="1">
      <c r="A91" s="293">
        <v>41244</v>
      </c>
      <c r="B91" s="294">
        <f t="shared" si="9"/>
        <v>147.39242356163047</v>
      </c>
      <c r="C91" s="295">
        <v>4.0000000000000002E-4</v>
      </c>
      <c r="D91" s="296">
        <f t="shared" si="8"/>
        <v>7.2930455624706791</v>
      </c>
      <c r="E91" s="36">
        <f t="shared" si="4"/>
        <v>7.2930455624706791</v>
      </c>
    </row>
    <row r="92" spans="1:5" ht="18" customHeight="1">
      <c r="A92" s="293">
        <v>41275</v>
      </c>
      <c r="B92" s="294">
        <f t="shared" si="9"/>
        <v>147.37768431927429</v>
      </c>
      <c r="C92" s="295">
        <v>-1E-4</v>
      </c>
      <c r="D92" s="296">
        <f>(B92/$B$91-1)*100</f>
        <v>-1.0000000000010001E-2</v>
      </c>
      <c r="E92" s="36">
        <f t="shared" si="4"/>
        <v>7.1751411167976453</v>
      </c>
    </row>
    <row r="93" spans="1:5" ht="18" customHeight="1">
      <c r="A93" s="293">
        <v>41306</v>
      </c>
      <c r="B93" s="294">
        <f t="shared" si="9"/>
        <v>147.36294655084237</v>
      </c>
      <c r="C93" s="295">
        <v>-1E-4</v>
      </c>
      <c r="D93" s="296">
        <f t="shared" ref="D93:D103" si="10">(B93/$B$91-1)*100</f>
        <v>-1.9999000000003875E-2</v>
      </c>
      <c r="E93" s="36">
        <f t="shared" si="4"/>
        <v>6.790656305616305</v>
      </c>
    </row>
    <row r="94" spans="1:5" ht="18" customHeight="1">
      <c r="A94" s="293">
        <v>41334</v>
      </c>
      <c r="B94" s="294">
        <f t="shared" si="9"/>
        <v>147.71661762256437</v>
      </c>
      <c r="C94" s="295">
        <v>2.3999999999999998E-3</v>
      </c>
      <c r="D94" s="296">
        <f t="shared" si="10"/>
        <v>0.21995300239998627</v>
      </c>
      <c r="E94" s="36">
        <f t="shared" si="4"/>
        <v>6.6204719927786426</v>
      </c>
    </row>
    <row r="95" spans="1:5" ht="18" customHeight="1">
      <c r="A95" s="293">
        <v>41365</v>
      </c>
      <c r="B95" s="294">
        <f t="shared" si="9"/>
        <v>147.98250753428499</v>
      </c>
      <c r="C95" s="295">
        <v>1.8E-3</v>
      </c>
      <c r="D95" s="296">
        <f t="shared" si="10"/>
        <v>0.40034891780431625</v>
      </c>
      <c r="E95" s="36">
        <f t="shared" si="4"/>
        <v>6.6630605575850099</v>
      </c>
    </row>
    <row r="96" spans="1:5" ht="18" customHeight="1">
      <c r="A96" s="293">
        <v>41395</v>
      </c>
      <c r="B96" s="294">
        <f t="shared" si="9"/>
        <v>154.55293086880724</v>
      </c>
      <c r="C96" s="295">
        <v>4.4400000000000002E-2</v>
      </c>
      <c r="D96" s="296">
        <f t="shared" si="10"/>
        <v>4.858124409754816</v>
      </c>
      <c r="E96" s="36">
        <f t="shared" si="4"/>
        <v>7.8610577520737746</v>
      </c>
    </row>
    <row r="97" spans="1:5" ht="18" customHeight="1">
      <c r="A97" s="293">
        <v>41426</v>
      </c>
      <c r="B97" s="294">
        <f t="shared" si="9"/>
        <v>156.70121660788365</v>
      </c>
      <c r="C97" s="295">
        <v>1.3899999999999999E-2</v>
      </c>
      <c r="D97" s="296">
        <f t="shared" si="10"/>
        <v>6.3156523390504038</v>
      </c>
      <c r="E97" s="36">
        <f t="shared" ref="E97:E160" si="11">(B97/B85-1)*100</f>
        <v>7.500566651752294</v>
      </c>
    </row>
    <row r="98" spans="1:5" ht="18" customHeight="1">
      <c r="A98" s="293">
        <v>41456</v>
      </c>
      <c r="B98" s="294">
        <f t="shared" si="9"/>
        <v>157.2026605010289</v>
      </c>
      <c r="C98" s="295">
        <v>3.2000000000000002E-3</v>
      </c>
      <c r="D98" s="296">
        <f t="shared" si="10"/>
        <v>6.655862426535375</v>
      </c>
      <c r="E98" s="36">
        <f t="shared" si="11"/>
        <v>7.3293874054915609</v>
      </c>
    </row>
    <row r="99" spans="1:5" ht="18" customHeight="1">
      <c r="A99" s="293">
        <v>41487</v>
      </c>
      <c r="B99" s="294">
        <f t="shared" si="9"/>
        <v>157.45418475783055</v>
      </c>
      <c r="C99" s="295">
        <v>1.6000000000000001E-3</v>
      </c>
      <c r="D99" s="296">
        <f t="shared" si="10"/>
        <v>6.8265118064178232</v>
      </c>
      <c r="E99" s="36">
        <f t="shared" si="11"/>
        <v>7.3508232727584888</v>
      </c>
    </row>
    <row r="100" spans="1:5" ht="18" customHeight="1">
      <c r="A100" s="293">
        <v>41518</v>
      </c>
      <c r="B100" s="294">
        <f t="shared" si="9"/>
        <v>157.64312977953995</v>
      </c>
      <c r="C100" s="295">
        <v>1.1999999999999999E-3</v>
      </c>
      <c r="D100" s="296">
        <f t="shared" si="10"/>
        <v>6.954703620585545</v>
      </c>
      <c r="E100" s="36">
        <f t="shared" si="11"/>
        <v>7.4044611378892844</v>
      </c>
    </row>
    <row r="101" spans="1:5" ht="18" customHeight="1">
      <c r="A101" s="293">
        <v>41548</v>
      </c>
      <c r="B101" s="294">
        <f t="shared" si="9"/>
        <v>157.91112310016518</v>
      </c>
      <c r="C101" s="295">
        <v>1.6999999999999999E-3</v>
      </c>
      <c r="D101" s="296">
        <f t="shared" si="10"/>
        <v>7.136526616740535</v>
      </c>
      <c r="E101" s="36">
        <f t="shared" si="11"/>
        <v>7.3723041135965284</v>
      </c>
    </row>
    <row r="102" spans="1:5" ht="18" customHeight="1">
      <c r="A102" s="293">
        <v>41579</v>
      </c>
      <c r="B102" s="294">
        <f t="shared" si="9"/>
        <v>158.05324311095532</v>
      </c>
      <c r="C102" s="295">
        <v>8.9999999999999998E-4</v>
      </c>
      <c r="D102" s="296">
        <f t="shared" si="10"/>
        <v>7.2329494906955949</v>
      </c>
      <c r="E102" s="36">
        <f t="shared" si="11"/>
        <v>7.2758426704918611</v>
      </c>
    </row>
    <row r="103" spans="1:5" ht="18" customHeight="1">
      <c r="A103" s="293">
        <v>41609</v>
      </c>
      <c r="B103" s="294">
        <f t="shared" si="9"/>
        <v>158.14807505682188</v>
      </c>
      <c r="C103" s="295">
        <v>5.9999999999999995E-4</v>
      </c>
      <c r="D103" s="296">
        <f t="shared" si="10"/>
        <v>7.2972892603900164</v>
      </c>
      <c r="E103" s="36">
        <f t="shared" si="11"/>
        <v>7.2972892603900164</v>
      </c>
    </row>
    <row r="104" spans="1:5" ht="18" customHeight="1">
      <c r="A104" s="293">
        <v>41640</v>
      </c>
      <c r="B104" s="294">
        <f t="shared" si="9"/>
        <v>158.2271490943503</v>
      </c>
      <c r="C104" s="295">
        <v>5.0000000000000001E-4</v>
      </c>
      <c r="D104" s="296">
        <f t="shared" ref="D104:D115" si="12">(B104/$B$103-1)*100</f>
        <v>4.9999999999994493E-2</v>
      </c>
      <c r="E104" s="36">
        <f t="shared" si="11"/>
        <v>7.3616740724274488</v>
      </c>
    </row>
    <row r="105" spans="1:5" ht="18" customHeight="1">
      <c r="A105" s="293">
        <v>41671</v>
      </c>
      <c r="B105" s="294">
        <f t="shared" si="9"/>
        <v>158.59107153726728</v>
      </c>
      <c r="C105" s="295">
        <v>2.3E-3</v>
      </c>
      <c r="D105" s="296">
        <f t="shared" si="12"/>
        <v>0.2801149999999808</v>
      </c>
      <c r="E105" s="36">
        <f t="shared" si="11"/>
        <v>7.6193678595799952</v>
      </c>
    </row>
    <row r="106" spans="1:5" ht="18" customHeight="1">
      <c r="A106" s="293">
        <v>41699</v>
      </c>
      <c r="B106" s="294">
        <f t="shared" si="9"/>
        <v>158.7179443944971</v>
      </c>
      <c r="C106" s="295">
        <v>8.0000000000000004E-4</v>
      </c>
      <c r="D106" s="296">
        <f t="shared" si="12"/>
        <v>0.36033909199999492</v>
      </c>
      <c r="E106" s="36">
        <f t="shared" si="11"/>
        <v>7.4475891399318206</v>
      </c>
    </row>
    <row r="107" spans="1:5" ht="18" customHeight="1">
      <c r="A107" s="293">
        <v>41730</v>
      </c>
      <c r="B107" s="294">
        <f t="shared" si="9"/>
        <v>158.95602131108885</v>
      </c>
      <c r="C107" s="295">
        <v>1.5E-3</v>
      </c>
      <c r="D107" s="296">
        <f t="shared" si="12"/>
        <v>0.51087960063800342</v>
      </c>
      <c r="E107" s="36">
        <f t="shared" si="11"/>
        <v>7.4154127806365766</v>
      </c>
    </row>
    <row r="108" spans="1:5" ht="18" customHeight="1">
      <c r="A108" s="293">
        <v>41760</v>
      </c>
      <c r="B108" s="294">
        <f t="shared" si="9"/>
        <v>161.67416927550846</v>
      </c>
      <c r="C108" s="295">
        <v>1.7100000000000001E-2</v>
      </c>
      <c r="D108" s="296">
        <f t="shared" si="12"/>
        <v>2.2296156418089019</v>
      </c>
      <c r="E108" s="36">
        <f t="shared" si="11"/>
        <v>4.607637245485896</v>
      </c>
    </row>
    <row r="109" spans="1:5" ht="18" customHeight="1">
      <c r="A109" s="293">
        <v>41791</v>
      </c>
      <c r="B109" s="294">
        <f t="shared" si="9"/>
        <v>166.15254376444005</v>
      </c>
      <c r="C109" s="295">
        <v>2.7699999999999999E-2</v>
      </c>
      <c r="D109" s="296">
        <f t="shared" si="12"/>
        <v>5.061375995087003</v>
      </c>
      <c r="E109" s="36">
        <f t="shared" si="11"/>
        <v>6.0314318938611944</v>
      </c>
    </row>
    <row r="110" spans="1:5" ht="18" customHeight="1">
      <c r="A110" s="293">
        <v>41821</v>
      </c>
      <c r="B110" s="294">
        <f t="shared" si="9"/>
        <v>167.13284377265026</v>
      </c>
      <c r="C110" s="295">
        <v>5.8999999999999999E-3</v>
      </c>
      <c r="D110" s="296">
        <f t="shared" si="12"/>
        <v>5.6812381134580425</v>
      </c>
      <c r="E110" s="36">
        <f t="shared" si="11"/>
        <v>6.3168035706090198</v>
      </c>
    </row>
    <row r="111" spans="1:5" ht="18" customHeight="1">
      <c r="A111" s="293">
        <v>41852</v>
      </c>
      <c r="B111" s="294">
        <f t="shared" si="9"/>
        <v>167.91836813838171</v>
      </c>
      <c r="C111" s="295">
        <v>4.7000000000000002E-3</v>
      </c>
      <c r="D111" s="296">
        <f t="shared" si="12"/>
        <v>6.1779399325912809</v>
      </c>
      <c r="E111" s="36">
        <f t="shared" si="11"/>
        <v>6.6458591727145189</v>
      </c>
    </row>
    <row r="112" spans="1:5" ht="18" customHeight="1">
      <c r="A112" s="293">
        <v>41883</v>
      </c>
      <c r="B112" s="294">
        <f t="shared" si="9"/>
        <v>167.93515997519555</v>
      </c>
      <c r="C112" s="295">
        <v>1E-4</v>
      </c>
      <c r="D112" s="296">
        <f t="shared" si="12"/>
        <v>6.1885577265845315</v>
      </c>
      <c r="E112" s="36">
        <f t="shared" si="11"/>
        <v>6.5286893314340677</v>
      </c>
    </row>
    <row r="113" spans="1:5" ht="18" customHeight="1">
      <c r="A113" s="293">
        <v>41913</v>
      </c>
      <c r="B113" s="294">
        <f t="shared" si="9"/>
        <v>168.13668216716579</v>
      </c>
      <c r="C113" s="295">
        <v>1.1999999999999999E-3</v>
      </c>
      <c r="D113" s="296">
        <f t="shared" si="12"/>
        <v>6.3159839958564445</v>
      </c>
      <c r="E113" s="36">
        <f t="shared" si="11"/>
        <v>6.475515382481567</v>
      </c>
    </row>
    <row r="114" spans="1:5" ht="18" customHeight="1">
      <c r="A114" s="293">
        <v>41944</v>
      </c>
      <c r="B114" s="294">
        <f t="shared" si="9"/>
        <v>168.17030950359921</v>
      </c>
      <c r="C114" s="295">
        <v>2.0000000000000001E-4</v>
      </c>
      <c r="D114" s="296">
        <f t="shared" si="12"/>
        <v>6.337247192655604</v>
      </c>
      <c r="E114" s="36">
        <f t="shared" si="11"/>
        <v>6.4010495409712043</v>
      </c>
    </row>
    <row r="115" spans="1:5" ht="18" customHeight="1">
      <c r="A115" s="293">
        <v>41974</v>
      </c>
      <c r="B115" s="294">
        <f t="shared" si="9"/>
        <v>168.22076059645028</v>
      </c>
      <c r="C115" s="295">
        <v>2.9999999999999997E-4</v>
      </c>
      <c r="D115" s="296">
        <f t="shared" si="12"/>
        <v>6.369148366813393</v>
      </c>
      <c r="E115" s="36">
        <f t="shared" si="11"/>
        <v>6.369148366813393</v>
      </c>
    </row>
    <row r="116" spans="1:5" ht="18" customHeight="1">
      <c r="A116" s="293">
        <v>42005</v>
      </c>
      <c r="B116" s="294">
        <f t="shared" si="9"/>
        <v>168.77056698061983</v>
      </c>
      <c r="C116" s="295">
        <v>3.2683622533873401E-3</v>
      </c>
      <c r="D116" s="296">
        <f t="shared" ref="D116:D127" si="13">(B116/$B$115-1)*100</f>
        <v>0.32683622533873358</v>
      </c>
      <c r="E116" s="36">
        <f t="shared" si="11"/>
        <v>6.6634695414897083</v>
      </c>
    </row>
    <row r="117" spans="1:5" ht="18" customHeight="1">
      <c r="A117" s="293">
        <v>42036</v>
      </c>
      <c r="B117" s="294">
        <f t="shared" si="9"/>
        <v>168.94172513189554</v>
      </c>
      <c r="C117" s="295">
        <v>1.0141469234701272E-3</v>
      </c>
      <c r="D117" s="296">
        <f t="shared" si="13"/>
        <v>0.42858237763816476</v>
      </c>
      <c r="E117" s="36">
        <f t="shared" si="11"/>
        <v>6.5266307203151408</v>
      </c>
    </row>
    <row r="118" spans="1:5" ht="18" customHeight="1">
      <c r="A118" s="293">
        <v>42064</v>
      </c>
      <c r="B118" s="294">
        <f t="shared" si="9"/>
        <v>169.03665318218293</v>
      </c>
      <c r="C118" s="295">
        <v>5.6189819426366583E-4</v>
      </c>
      <c r="D118" s="296">
        <f t="shared" si="13"/>
        <v>0.48501301672860819</v>
      </c>
      <c r="E118" s="36">
        <f t="shared" si="11"/>
        <v>6.5012868123080381</v>
      </c>
    </row>
    <row r="119" spans="1:5" ht="18" customHeight="1">
      <c r="A119" s="293">
        <v>42095</v>
      </c>
      <c r="B119" s="294">
        <f t="shared" si="9"/>
        <v>169.60334487632272</v>
      </c>
      <c r="C119" s="295">
        <v>3.3524781961284944E-3</v>
      </c>
      <c r="D119" s="296">
        <f t="shared" si="13"/>
        <v>0.82188683190487222</v>
      </c>
      <c r="E119" s="36">
        <f t="shared" si="11"/>
        <v>6.6982826302605103</v>
      </c>
    </row>
    <row r="120" spans="1:5" ht="18" customHeight="1">
      <c r="A120" s="293">
        <v>42125</v>
      </c>
      <c r="B120" s="294">
        <f t="shared" si="9"/>
        <v>173.35444116646636</v>
      </c>
      <c r="C120" s="295">
        <v>2.2116876839186173E-2</v>
      </c>
      <c r="D120" s="296">
        <f t="shared" si="13"/>
        <v>3.0517520856604641</v>
      </c>
      <c r="E120" s="36">
        <f t="shared" si="11"/>
        <v>7.2245751707272321</v>
      </c>
    </row>
    <row r="121" spans="1:5" ht="18" customHeight="1">
      <c r="A121" s="293">
        <v>42156</v>
      </c>
      <c r="B121" s="294">
        <f t="shared" si="9"/>
        <v>175.45867961450324</v>
      </c>
      <c r="C121" s="295">
        <v>1.213835903988314E-2</v>
      </c>
      <c r="D121" s="296">
        <f t="shared" si="13"/>
        <v>4.3026312521652565</v>
      </c>
      <c r="E121" s="36">
        <f t="shared" si="11"/>
        <v>5.6009589978091467</v>
      </c>
    </row>
    <row r="122" spans="1:5" ht="18" customHeight="1">
      <c r="A122" s="293">
        <v>42186</v>
      </c>
      <c r="B122" s="294">
        <f t="shared" si="9"/>
        <v>175.94194968869354</v>
      </c>
      <c r="C122" s="295">
        <v>2.7543241249283756E-3</v>
      </c>
      <c r="D122" s="296">
        <f t="shared" si="13"/>
        <v>4.5899145057165969</v>
      </c>
      <c r="E122" s="36">
        <f t="shared" si="11"/>
        <v>5.2707210128167592</v>
      </c>
    </row>
    <row r="123" spans="1:5" ht="18" customHeight="1">
      <c r="A123" s="293">
        <v>42217</v>
      </c>
      <c r="B123" s="294">
        <f t="shared" si="9"/>
        <v>175.87434941045859</v>
      </c>
      <c r="C123" s="295">
        <v>-3.842192175007586E-4</v>
      </c>
      <c r="D123" s="296">
        <f t="shared" si="13"/>
        <v>4.5497290506067323</v>
      </c>
      <c r="E123" s="36">
        <f t="shared" si="11"/>
        <v>4.7380053536015598</v>
      </c>
    </row>
    <row r="124" spans="1:5" ht="18" customHeight="1">
      <c r="A124" s="293">
        <v>42248</v>
      </c>
      <c r="B124" s="294">
        <f t="shared" si="9"/>
        <v>176.2022826750877</v>
      </c>
      <c r="C124" s="295">
        <v>1.8645883594075041E-3</v>
      </c>
      <c r="D124" s="296">
        <f t="shared" si="13"/>
        <v>4.7446712583737005</v>
      </c>
      <c r="E124" s="36">
        <f t="shared" si="11"/>
        <v>4.9228063385375886</v>
      </c>
    </row>
    <row r="125" spans="1:5" ht="18" customHeight="1">
      <c r="A125" s="293">
        <v>42278</v>
      </c>
      <c r="B125" s="294">
        <f t="shared" si="9"/>
        <v>176.17063999165856</v>
      </c>
      <c r="C125" s="295">
        <v>-1.7958157493047633E-4</v>
      </c>
      <c r="D125" s="296">
        <f t="shared" si="13"/>
        <v>4.7258610453435601</v>
      </c>
      <c r="E125" s="36">
        <f t="shared" si="11"/>
        <v>4.7782302594178816</v>
      </c>
    </row>
    <row r="126" spans="1:5" ht="18" customHeight="1">
      <c r="A126" s="293">
        <v>42309</v>
      </c>
      <c r="B126" s="294">
        <f t="shared" si="9"/>
        <v>176.20947419404885</v>
      </c>
      <c r="C126" s="295">
        <v>2.2043515532521596E-4</v>
      </c>
      <c r="D126" s="296">
        <f t="shared" si="13"/>
        <v>4.7489463067896365</v>
      </c>
      <c r="E126" s="36">
        <f t="shared" si="11"/>
        <v>4.7803709906816705</v>
      </c>
    </row>
    <row r="127" spans="1:5" ht="18" customHeight="1">
      <c r="A127" s="293">
        <v>42339</v>
      </c>
      <c r="B127" s="294">
        <f t="shared" si="9"/>
        <v>176.50432664766615</v>
      </c>
      <c r="C127" s="295">
        <v>1.67330647211719E-3</v>
      </c>
      <c r="D127" s="296">
        <f t="shared" si="13"/>
        <v>4.9242233965922644</v>
      </c>
      <c r="E127" s="36">
        <f t="shared" si="11"/>
        <v>4.9242233965922644</v>
      </c>
    </row>
    <row r="128" spans="1:5" ht="18" customHeight="1">
      <c r="A128" s="293">
        <v>42370</v>
      </c>
      <c r="B128" s="294">
        <f t="shared" si="9"/>
        <v>177.21916363311959</v>
      </c>
      <c r="C128" s="295">
        <v>4.0499686270036861E-3</v>
      </c>
      <c r="D128" s="296">
        <f t="shared" ref="D128:D139" si="14">(B128/$B$127-1)*100</f>
        <v>0.40499686270036861</v>
      </c>
      <c r="E128" s="36">
        <f t="shared" si="11"/>
        <v>5.0059656749686265</v>
      </c>
    </row>
    <row r="129" spans="1:5" ht="18" customHeight="1">
      <c r="A129" s="293">
        <v>42401</v>
      </c>
      <c r="B129" s="294">
        <f t="shared" si="9"/>
        <v>177.29970864556506</v>
      </c>
      <c r="C129" s="295">
        <v>4.5449380752193846E-4</v>
      </c>
      <c r="D129" s="296">
        <f t="shared" si="14"/>
        <v>0.45063031201870718</v>
      </c>
      <c r="E129" s="36">
        <f t="shared" si="11"/>
        <v>4.9472582969922296</v>
      </c>
    </row>
    <row r="130" spans="1:5" ht="18" customHeight="1">
      <c r="A130" s="293">
        <v>42430</v>
      </c>
      <c r="B130" s="294">
        <f t="shared" si="9"/>
        <v>177.3227215062638</v>
      </c>
      <c r="C130" s="295">
        <v>1.2979638192600618E-4</v>
      </c>
      <c r="D130" s="296">
        <f t="shared" si="14"/>
        <v>0.46366844039540389</v>
      </c>
      <c r="E130" s="36">
        <f t="shared" si="11"/>
        <v>4.9019358630760346</v>
      </c>
    </row>
    <row r="131" spans="1:5" ht="18" customHeight="1">
      <c r="A131" s="293">
        <v>42461</v>
      </c>
      <c r="B131" s="294">
        <f t="shared" si="9"/>
        <v>177.54134368290147</v>
      </c>
      <c r="C131" s="295">
        <v>1.2329056016091577E-3</v>
      </c>
      <c r="D131" s="296">
        <f t="shared" si="14"/>
        <v>0.5875306599737895</v>
      </c>
      <c r="E131" s="36">
        <f t="shared" si="11"/>
        <v>4.6803315184422045</v>
      </c>
    </row>
    <row r="132" spans="1:5" ht="18" customHeight="1">
      <c r="A132" s="293">
        <v>42491</v>
      </c>
      <c r="B132" s="294">
        <f t="shared" si="9"/>
        <v>177.58305449291785</v>
      </c>
      <c r="C132" s="295">
        <v>2.3493575722222104E-4</v>
      </c>
      <c r="D132" s="296">
        <f t="shared" si="14"/>
        <v>0.61116226765649539</v>
      </c>
      <c r="E132" s="36">
        <f t="shared" si="11"/>
        <v>2.439287564828474</v>
      </c>
    </row>
    <row r="133" spans="1:5" ht="18" customHeight="1">
      <c r="A133" s="293">
        <v>42522</v>
      </c>
      <c r="B133" s="294">
        <f t="shared" si="9"/>
        <v>183.6253687301209</v>
      </c>
      <c r="C133" s="295">
        <v>3.4025286108838815E-2</v>
      </c>
      <c r="D133" s="296">
        <f t="shared" si="14"/>
        <v>4.0344858495563241</v>
      </c>
      <c r="E133" s="36">
        <f t="shared" si="11"/>
        <v>4.6544799798793335</v>
      </c>
    </row>
    <row r="134" spans="1:5" ht="18" customHeight="1">
      <c r="A134" s="293">
        <v>42552</v>
      </c>
      <c r="B134" s="294">
        <f t="shared" si="9"/>
        <v>185.85473961030769</v>
      </c>
      <c r="C134" s="295">
        <v>1.2140865369552278E-2</v>
      </c>
      <c r="D134" s="296">
        <f t="shared" si="14"/>
        <v>5.2975545360463672</v>
      </c>
      <c r="E134" s="36">
        <f t="shared" si="11"/>
        <v>5.6341253118733503</v>
      </c>
    </row>
    <row r="135" spans="1:5" ht="18" customHeight="1">
      <c r="A135" s="293">
        <v>42583</v>
      </c>
      <c r="B135" s="294">
        <f t="shared" si="9"/>
        <v>185.86768434445068</v>
      </c>
      <c r="C135" s="295">
        <v>6.9649739200317029E-5</v>
      </c>
      <c r="D135" s="296">
        <f t="shared" si="14"/>
        <v>5.3048884832582299</v>
      </c>
      <c r="E135" s="36">
        <f t="shared" si="11"/>
        <v>5.6820877902265643</v>
      </c>
    </row>
    <row r="136" spans="1:5" ht="18" customHeight="1">
      <c r="A136" s="293">
        <v>42614</v>
      </c>
      <c r="B136" s="294">
        <f t="shared" si="9"/>
        <v>186.27184771047166</v>
      </c>
      <c r="C136" s="295">
        <v>2.174468183893552E-3</v>
      </c>
      <c r="D136" s="296">
        <f t="shared" si="14"/>
        <v>5.5338706128735371</v>
      </c>
      <c r="E136" s="36">
        <f t="shared" si="11"/>
        <v>5.7147755877555717</v>
      </c>
    </row>
    <row r="137" spans="1:5" ht="18" customHeight="1">
      <c r="A137" s="293">
        <v>42644</v>
      </c>
      <c r="B137" s="294">
        <f t="shared" si="9"/>
        <v>186.35239272291713</v>
      </c>
      <c r="C137" s="295">
        <v>4.3240572010994072E-4</v>
      </c>
      <c r="D137" s="296">
        <f t="shared" si="14"/>
        <v>5.5795040621918979</v>
      </c>
      <c r="E137" s="36">
        <f t="shared" si="11"/>
        <v>5.7794833076275642</v>
      </c>
    </row>
    <row r="138" spans="1:5" ht="18" customHeight="1">
      <c r="A138" s="293">
        <v>42675</v>
      </c>
      <c r="B138" s="294">
        <f t="shared" si="9"/>
        <v>186.35095441912347</v>
      </c>
      <c r="C138" s="295">
        <v>-7.7181933253456236E-6</v>
      </c>
      <c r="D138" s="296">
        <f t="shared" si="14"/>
        <v>5.5786891791683502</v>
      </c>
      <c r="E138" s="36">
        <f t="shared" si="11"/>
        <v>5.7553546830895197</v>
      </c>
    </row>
    <row r="139" spans="1:5" ht="18" customHeight="1">
      <c r="A139" s="293">
        <v>42705</v>
      </c>
      <c r="B139" s="294">
        <f t="shared" si="9"/>
        <v>186.29629887496404</v>
      </c>
      <c r="C139" s="295">
        <v>-2.9329361005847598E-4</v>
      </c>
      <c r="D139" s="296">
        <f t="shared" si="14"/>
        <v>5.5477236242737593</v>
      </c>
      <c r="E139" s="36">
        <f t="shared" si="11"/>
        <v>5.5477236242737593</v>
      </c>
    </row>
    <row r="140" spans="1:5" ht="18" customHeight="1">
      <c r="A140" s="293">
        <v>42736</v>
      </c>
      <c r="B140" s="294">
        <f t="shared" si="9"/>
        <v>186.39698014052087</v>
      </c>
      <c r="C140" s="295">
        <v>5.4043620922605839E-4</v>
      </c>
      <c r="D140" s="296">
        <f t="shared" ref="D140:D151" si="15">(B140/$B$139-1)*100</f>
        <v>5.4043620922605839E-2</v>
      </c>
      <c r="E140" s="36">
        <f t="shared" si="11"/>
        <v>5.1787946174947752</v>
      </c>
    </row>
    <row r="141" spans="1:5" ht="18" customHeight="1">
      <c r="A141" s="293">
        <v>42767</v>
      </c>
      <c r="B141" s="294">
        <f t="shared" si="9"/>
        <v>186.46026550744233</v>
      </c>
      <c r="C141" s="295">
        <v>3.3951927157693795E-4</v>
      </c>
      <c r="D141" s="296">
        <f t="shared" si="15"/>
        <v>8.8013896931116165E-2</v>
      </c>
      <c r="E141" s="36">
        <f t="shared" si="11"/>
        <v>5.1667072280360493</v>
      </c>
    </row>
    <row r="142" spans="1:5" ht="18" customHeight="1">
      <c r="A142" s="293">
        <v>42795</v>
      </c>
      <c r="B142" s="294">
        <f t="shared" si="9"/>
        <v>186.56957659576119</v>
      </c>
      <c r="C142" s="295">
        <v>5.862433372674225E-4</v>
      </c>
      <c r="D142" s="296">
        <f t="shared" si="15"/>
        <v>0.14668982821852694</v>
      </c>
      <c r="E142" s="36">
        <f t="shared" si="11"/>
        <v>5.2147040215434259</v>
      </c>
    </row>
    <row r="143" spans="1:5" ht="18" customHeight="1">
      <c r="A143" s="293">
        <v>42826</v>
      </c>
      <c r="B143" s="294">
        <f t="shared" si="9"/>
        <v>186.34088629256786</v>
      </c>
      <c r="C143" s="295">
        <v>-1.2257641753072868E-3</v>
      </c>
      <c r="D143" s="296">
        <f t="shared" si="15"/>
        <v>2.3933603551484772E-2</v>
      </c>
      <c r="E143" s="36">
        <f t="shared" si="11"/>
        <v>4.9563343540887317</v>
      </c>
    </row>
    <row r="144" spans="1:5" ht="18" customHeight="1">
      <c r="A144" s="293">
        <v>42856</v>
      </c>
      <c r="B144" s="294">
        <f t="shared" si="9"/>
        <v>188.26389846470317</v>
      </c>
      <c r="C144" s="295">
        <v>1.0319861681435061E-2</v>
      </c>
      <c r="D144" s="296">
        <f t="shared" si="15"/>
        <v>1.0561667631731719</v>
      </c>
      <c r="E144" s="36">
        <f t="shared" si="11"/>
        <v>6.0145625956733895</v>
      </c>
    </row>
    <row r="145" spans="1:5" ht="18" customHeight="1">
      <c r="A145" s="293">
        <v>42887</v>
      </c>
      <c r="B145" s="294">
        <f t="shared" si="9"/>
        <v>189.43036284136863</v>
      </c>
      <c r="C145" s="295">
        <v>6.1959004683214136E-3</v>
      </c>
      <c r="D145" s="296">
        <f t="shared" si="15"/>
        <v>1.6823007141478774</v>
      </c>
      <c r="E145" s="36">
        <f t="shared" si="11"/>
        <v>3.1613246859040878</v>
      </c>
    </row>
    <row r="146" spans="1:5" ht="18" customHeight="1">
      <c r="A146" s="293">
        <v>42917</v>
      </c>
      <c r="B146" s="294">
        <f t="shared" si="9"/>
        <v>189.49364820829007</v>
      </c>
      <c r="C146" s="295">
        <v>3.3408248800337326E-4</v>
      </c>
      <c r="D146" s="296">
        <f t="shared" si="15"/>
        <v>1.7162709901563877</v>
      </c>
      <c r="E146" s="36">
        <f t="shared" si="11"/>
        <v>1.9579315575229739</v>
      </c>
    </row>
    <row r="147" spans="1:5" ht="18" customHeight="1">
      <c r="A147" s="293">
        <v>42948</v>
      </c>
      <c r="B147" s="294">
        <f t="shared" si="9"/>
        <v>189.73096833424546</v>
      </c>
      <c r="C147" s="295">
        <v>1.2523909281356715E-3</v>
      </c>
      <c r="D147" s="296">
        <f t="shared" si="15"/>
        <v>1.8436595251882348</v>
      </c>
      <c r="E147" s="36">
        <f t="shared" si="11"/>
        <v>2.0785130042483946</v>
      </c>
    </row>
    <row r="148" spans="1:5" ht="18" customHeight="1">
      <c r="A148" s="293">
        <v>42979</v>
      </c>
      <c r="B148" s="294">
        <f t="shared" si="9"/>
        <v>190.22574483926752</v>
      </c>
      <c r="C148" s="295">
        <v>2.6077793697358853E-3</v>
      </c>
      <c r="D148" s="296">
        <f t="shared" si="15"/>
        <v>2.1092453194364369</v>
      </c>
      <c r="E148" s="36">
        <f t="shared" si="11"/>
        <v>2.1226487938969418</v>
      </c>
    </row>
    <row r="149" spans="1:5" ht="18" customHeight="1">
      <c r="A149" s="293">
        <v>43009</v>
      </c>
      <c r="B149" s="294">
        <f t="shared" si="9"/>
        <v>190.59107400285944</v>
      </c>
      <c r="C149" s="295">
        <v>1.9205032625873031E-3</v>
      </c>
      <c r="D149" s="296">
        <f t="shared" si="15"/>
        <v>2.3053464582127425</v>
      </c>
      <c r="E149" s="36">
        <f t="shared" si="11"/>
        <v>2.2745515729678312</v>
      </c>
    </row>
    <row r="150" spans="1:5" ht="18" customHeight="1">
      <c r="A150" s="293">
        <v>43040</v>
      </c>
      <c r="B150" s="294">
        <f t="shared" ref="B150:B213" si="16">B149*(1+C150)</f>
        <v>190.66442749633657</v>
      </c>
      <c r="C150" s="295">
        <v>3.8487370859785486E-4</v>
      </c>
      <c r="D150" s="296">
        <f t="shared" si="15"/>
        <v>2.3447210963134957</v>
      </c>
      <c r="E150" s="36">
        <f t="shared" si="11"/>
        <v>2.3147040435927302</v>
      </c>
    </row>
    <row r="151" spans="1:5" ht="18" customHeight="1">
      <c r="A151" s="293">
        <v>43070</v>
      </c>
      <c r="B151" s="294">
        <f t="shared" si="16"/>
        <v>191.18509346964476</v>
      </c>
      <c r="C151" s="295">
        <v>2.7307976644892484E-3</v>
      </c>
      <c r="D151" s="296">
        <f t="shared" si="15"/>
        <v>2.6242038216561125</v>
      </c>
      <c r="E151" s="36">
        <f t="shared" si="11"/>
        <v>2.6242038216561125</v>
      </c>
    </row>
    <row r="152" spans="1:5" ht="18" customHeight="1">
      <c r="A152" s="293">
        <v>43101</v>
      </c>
      <c r="B152" s="294">
        <f t="shared" si="16"/>
        <v>191.93444974614627</v>
      </c>
      <c r="C152" s="295">
        <v>3.919532966206285E-3</v>
      </c>
      <c r="D152" s="296">
        <f t="shared" ref="D152:D163" si="17">(B152/$B$151-1)*100</f>
        <v>0.3919532966206285</v>
      </c>
      <c r="E152" s="36">
        <f t="shared" si="11"/>
        <v>2.9707936262973966</v>
      </c>
    </row>
    <row r="153" spans="1:5" ht="18" customHeight="1">
      <c r="A153" s="293">
        <v>43132</v>
      </c>
      <c r="B153" s="294">
        <f t="shared" si="16"/>
        <v>192.47956688394677</v>
      </c>
      <c r="C153" s="295">
        <v>2.8401213983288986E-3</v>
      </c>
      <c r="D153" s="296">
        <f t="shared" si="17"/>
        <v>0.67707863139840896</v>
      </c>
      <c r="E153" s="36">
        <f t="shared" si="11"/>
        <v>3.2281952190313712</v>
      </c>
    </row>
    <row r="154" spans="1:5" ht="18" customHeight="1">
      <c r="A154" s="293">
        <v>43160</v>
      </c>
      <c r="B154" s="294">
        <f t="shared" si="16"/>
        <v>192.44217098531138</v>
      </c>
      <c r="C154" s="295">
        <v>-1.9428503108565032E-4</v>
      </c>
      <c r="D154" s="296">
        <f t="shared" si="17"/>
        <v>0.65751858204687874</v>
      </c>
      <c r="E154" s="36">
        <f t="shared" si="11"/>
        <v>3.1476698916856671</v>
      </c>
    </row>
    <row r="155" spans="1:5" ht="18" customHeight="1">
      <c r="A155" s="293">
        <v>43191</v>
      </c>
      <c r="B155" s="294">
        <f t="shared" si="16"/>
        <v>192.87222381961837</v>
      </c>
      <c r="C155" s="295">
        <v>2.2347120285803879E-3</v>
      </c>
      <c r="D155" s="296">
        <f t="shared" si="17"/>
        <v>0.8824591495892431</v>
      </c>
      <c r="E155" s="36">
        <f t="shared" si="11"/>
        <v>3.505048010126921</v>
      </c>
    </row>
    <row r="156" spans="1:5" ht="18" customHeight="1">
      <c r="A156" s="293">
        <v>43221</v>
      </c>
      <c r="B156" s="294">
        <f t="shared" si="16"/>
        <v>193.94232184210804</v>
      </c>
      <c r="C156" s="295">
        <v>5.5482225553145081E-3</v>
      </c>
      <c r="D156" s="296">
        <f t="shared" si="17"/>
        <v>1.4421774848785818</v>
      </c>
      <c r="E156" s="36">
        <f t="shared" si="11"/>
        <v>3.01620407508425</v>
      </c>
    </row>
    <row r="157" spans="1:5" ht="18" customHeight="1">
      <c r="A157" s="293">
        <v>43252</v>
      </c>
      <c r="B157" s="294">
        <f t="shared" si="16"/>
        <v>195.16919497810761</v>
      </c>
      <c r="C157" s="295">
        <v>6.325969104352458E-3</v>
      </c>
      <c r="D157" s="296">
        <f t="shared" si="17"/>
        <v>2.0838975655261605</v>
      </c>
      <c r="E157" s="36">
        <f t="shared" si="11"/>
        <v>3.0295207434854365</v>
      </c>
    </row>
    <row r="158" spans="1:5" ht="18" customHeight="1">
      <c r="A158" s="293">
        <v>43282</v>
      </c>
      <c r="B158" s="294">
        <f t="shared" si="16"/>
        <v>195.83369133078261</v>
      </c>
      <c r="C158" s="295">
        <v>3.4047194422743843E-3</v>
      </c>
      <c r="D158" s="296">
        <f t="shared" si="17"/>
        <v>2.4314645963106507</v>
      </c>
      <c r="E158" s="36">
        <f t="shared" si="11"/>
        <v>3.3457813401342129</v>
      </c>
    </row>
    <row r="159" spans="1:5" ht="18" customHeight="1">
      <c r="A159" s="293">
        <v>43313</v>
      </c>
      <c r="B159" s="294">
        <f t="shared" si="16"/>
        <v>196.4636683924096</v>
      </c>
      <c r="C159" s="295">
        <v>3.2168982637563737E-3</v>
      </c>
      <c r="D159" s="296">
        <f t="shared" si="17"/>
        <v>2.7609761969245472</v>
      </c>
      <c r="E159" s="36">
        <f t="shared" si="11"/>
        <v>3.5485509388764047</v>
      </c>
    </row>
    <row r="160" spans="1:5" ht="18" customHeight="1">
      <c r="A160" s="293">
        <v>43344</v>
      </c>
      <c r="B160" s="294">
        <f t="shared" si="16"/>
        <v>196.40901284825017</v>
      </c>
      <c r="C160" s="295">
        <v>-2.7819669970874372E-4</v>
      </c>
      <c r="D160" s="296">
        <f t="shared" si="17"/>
        <v>2.7323884324877312</v>
      </c>
      <c r="E160" s="36">
        <f t="shared" si="11"/>
        <v>3.2504895771112707</v>
      </c>
    </row>
    <row r="161" spans="1:5" ht="18" customHeight="1">
      <c r="A161" s="293">
        <v>43374</v>
      </c>
      <c r="B161" s="294">
        <f t="shared" si="16"/>
        <v>196.70098851836494</v>
      </c>
      <c r="C161" s="295">
        <v>1.4865696124666261E-3</v>
      </c>
      <c r="D161" s="296">
        <f t="shared" si="17"/>
        <v>2.8851072793475652</v>
      </c>
      <c r="E161" s="36">
        <f t="shared" ref="E161:E224" si="18">(B161/B149-1)*100</f>
        <v>3.2057715963203171</v>
      </c>
    </row>
    <row r="162" spans="1:5" ht="18" customHeight="1">
      <c r="A162" s="293">
        <v>43405</v>
      </c>
      <c r="B162" s="294">
        <f t="shared" si="16"/>
        <v>197.25617378272113</v>
      </c>
      <c r="C162" s="295">
        <v>2.8224833466170551E-3</v>
      </c>
      <c r="D162" s="296">
        <f t="shared" si="17"/>
        <v>3.1754987812584456</v>
      </c>
      <c r="E162" s="36">
        <f t="shared" si="18"/>
        <v>3.4572501923628263</v>
      </c>
    </row>
    <row r="163" spans="1:5" ht="18" customHeight="1">
      <c r="A163" s="293">
        <v>43435</v>
      </c>
      <c r="B163" s="294">
        <f t="shared" si="16"/>
        <v>197.41151059243742</v>
      </c>
      <c r="C163" s="295">
        <v>7.8748769550496256E-4</v>
      </c>
      <c r="D163" s="296">
        <f t="shared" si="17"/>
        <v>3.2567482170262618</v>
      </c>
      <c r="E163" s="36">
        <f t="shared" si="18"/>
        <v>3.2567482170262618</v>
      </c>
    </row>
    <row r="164" spans="1:5" ht="18" customHeight="1">
      <c r="A164" s="293">
        <v>43466</v>
      </c>
      <c r="B164" s="294">
        <f t="shared" si="16"/>
        <v>198.48160861492707</v>
      </c>
      <c r="C164" s="295">
        <v>5.4206465432449225E-3</v>
      </c>
      <c r="D164" s="296">
        <f t="shared" ref="D164:D175" si="19">(B164/$B$163-1)*100</f>
        <v>0.54206465432449225</v>
      </c>
      <c r="E164" s="36">
        <f t="shared" si="18"/>
        <v>3.4111431675971193</v>
      </c>
    </row>
    <row r="165" spans="1:5" ht="18" customHeight="1">
      <c r="A165" s="297">
        <v>43497</v>
      </c>
      <c r="B165" s="298">
        <f t="shared" si="16"/>
        <v>199.04686200583896</v>
      </c>
      <c r="C165" s="299">
        <v>2.8478879975653015E-3</v>
      </c>
      <c r="D165" s="300">
        <f t="shared" si="19"/>
        <v>0.82839719350396024</v>
      </c>
      <c r="E165" s="301">
        <f t="shared" si="18"/>
        <v>3.4119440459110528</v>
      </c>
    </row>
    <row r="166" spans="1:5" ht="18" customHeight="1">
      <c r="A166" s="297">
        <v>43525</v>
      </c>
      <c r="B166" s="298">
        <f t="shared" si="16"/>
        <v>199.37048035941447</v>
      </c>
      <c r="C166" s="299">
        <v>1.6258400173423393E-3</v>
      </c>
      <c r="D166" s="300">
        <f t="shared" si="19"/>
        <v>0.99232803654565327</v>
      </c>
      <c r="E166" s="301">
        <f t="shared" si="18"/>
        <v>3.6002032915290139</v>
      </c>
    </row>
    <row r="167" spans="1:5" ht="18" customHeight="1">
      <c r="A167" s="297">
        <v>43556</v>
      </c>
      <c r="B167" s="298">
        <f t="shared" si="16"/>
        <v>199.80340980130882</v>
      </c>
      <c r="C167" s="299">
        <v>2.1714821628251446E-3</v>
      </c>
      <c r="D167" s="300">
        <f t="shared" si="19"/>
        <v>1.2116310754591852</v>
      </c>
      <c r="E167" s="301">
        <f t="shared" si="18"/>
        <v>3.5936672707070461</v>
      </c>
    </row>
    <row r="168" spans="1:5" ht="18" customHeight="1">
      <c r="A168" s="297">
        <v>43586</v>
      </c>
      <c r="B168" s="298">
        <f t="shared" si="16"/>
        <v>199.92854223135802</v>
      </c>
      <c r="C168" s="299">
        <v>6.2627775058321511E-4</v>
      </c>
      <c r="D168" s="300">
        <f t="shared" si="19"/>
        <v>1.2750176681019854</v>
      </c>
      <c r="E168" s="301">
        <f t="shared" si="18"/>
        <v>3.0865982898376609</v>
      </c>
    </row>
    <row r="169" spans="1:5" ht="18" customHeight="1">
      <c r="A169" s="297">
        <v>43617</v>
      </c>
      <c r="B169" s="298">
        <f t="shared" si="16"/>
        <v>203.54156136105431</v>
      </c>
      <c r="C169" s="299">
        <v>1.8071552412537883E-2</v>
      </c>
      <c r="D169" s="300">
        <f t="shared" si="19"/>
        <v>3.1052144579717833</v>
      </c>
      <c r="E169" s="301">
        <f t="shared" si="18"/>
        <v>4.2897991068138852</v>
      </c>
    </row>
    <row r="170" spans="1:5" ht="18" customHeight="1">
      <c r="A170" s="297">
        <v>43647</v>
      </c>
      <c r="B170" s="298">
        <f t="shared" si="16"/>
        <v>205.32074315382272</v>
      </c>
      <c r="C170" s="299">
        <v>8.7411228491678372E-3</v>
      </c>
      <c r="D170" s="300">
        <f t="shared" si="19"/>
        <v>4.0064698039387281</v>
      </c>
      <c r="E170" s="301">
        <f t="shared" si="18"/>
        <v>4.8444431387526299</v>
      </c>
    </row>
    <row r="171" spans="1:5" ht="18" customHeight="1">
      <c r="A171" s="297">
        <v>43678</v>
      </c>
      <c r="B171" s="298">
        <f t="shared" si="16"/>
        <v>205.46025862180861</v>
      </c>
      <c r="C171" s="299">
        <v>6.7950011208250949E-4</v>
      </c>
      <c r="D171" s="300">
        <f t="shared" si="19"/>
        <v>4.0771422118278</v>
      </c>
      <c r="E171" s="301">
        <f t="shared" si="18"/>
        <v>4.5792640965196307</v>
      </c>
    </row>
    <row r="172" spans="1:5" ht="18" customHeight="1">
      <c r="A172" s="297">
        <v>43709</v>
      </c>
      <c r="B172" s="298">
        <f t="shared" si="16"/>
        <v>205.68319570982729</v>
      </c>
      <c r="C172" s="299">
        <v>1.0850618485254149E-3</v>
      </c>
      <c r="D172" s="300">
        <f t="shared" si="19"/>
        <v>4.1900723481454127</v>
      </c>
      <c r="E172" s="301">
        <f t="shared" si="18"/>
        <v>4.7218723454114375</v>
      </c>
    </row>
    <row r="173" spans="1:5" ht="18" customHeight="1">
      <c r="A173" s="297">
        <v>43739</v>
      </c>
      <c r="B173" s="298">
        <f t="shared" si="16"/>
        <v>205.89750297508394</v>
      </c>
      <c r="C173" s="299">
        <v>1.0419288970937579E-3</v>
      </c>
      <c r="D173" s="300">
        <f t="shared" si="19"/>
        <v>4.2986309953152224</v>
      </c>
      <c r="E173" s="301">
        <f t="shared" si="18"/>
        <v>4.675377854473961</v>
      </c>
    </row>
    <row r="174" spans="1:5" ht="18" customHeight="1">
      <c r="A174" s="297">
        <v>43770</v>
      </c>
      <c r="B174" s="298">
        <f t="shared" si="16"/>
        <v>206.09742720240394</v>
      </c>
      <c r="C174" s="299">
        <v>9.7098908161208364E-4</v>
      </c>
      <c r="D174" s="300">
        <f t="shared" si="19"/>
        <v>4.3999038272387603</v>
      </c>
      <c r="E174" s="301">
        <f t="shared" si="18"/>
        <v>4.4821174669146258</v>
      </c>
    </row>
    <row r="175" spans="1:5" ht="18" customHeight="1">
      <c r="A175" s="293">
        <v>43800</v>
      </c>
      <c r="B175" s="294">
        <f t="shared" si="16"/>
        <v>206.10893363275326</v>
      </c>
      <c r="C175" s="295">
        <v>5.5830053317578203E-5</v>
      </c>
      <c r="D175" s="296">
        <f t="shared" si="19"/>
        <v>4.4057324794357866</v>
      </c>
      <c r="E175" s="36">
        <f t="shared" si="18"/>
        <v>4.4057324794357866</v>
      </c>
    </row>
    <row r="176" spans="1:5" ht="18" customHeight="1">
      <c r="A176" s="297">
        <v>43831</v>
      </c>
      <c r="B176" s="298">
        <f t="shared" si="16"/>
        <v>206.76767677025362</v>
      </c>
      <c r="C176" s="302">
        <v>3.1960921144451601E-3</v>
      </c>
      <c r="D176" s="300">
        <f t="shared" ref="D176:D187" si="20">(B176/$B$175-1)*100</f>
        <v>0.31960921144451593</v>
      </c>
      <c r="E176" s="301">
        <f t="shared" si="18"/>
        <v>4.17472843612543</v>
      </c>
    </row>
    <row r="177" spans="1:5" ht="18" customHeight="1">
      <c r="A177" s="297">
        <v>43862</v>
      </c>
      <c r="B177" s="298">
        <f t="shared" si="16"/>
        <v>206.74610221334856</v>
      </c>
      <c r="C177" s="302">
        <v>-1.0434201922682185E-4</v>
      </c>
      <c r="D177" s="300">
        <f t="shared" si="20"/>
        <v>0.30914166085134198</v>
      </c>
      <c r="E177" s="301">
        <f t="shared" si="18"/>
        <v>3.8680540501481175</v>
      </c>
    </row>
    <row r="178" spans="1:5" ht="18" customHeight="1">
      <c r="A178" s="297">
        <v>43891</v>
      </c>
      <c r="B178" s="298">
        <f t="shared" si="16"/>
        <v>206.92445188376351</v>
      </c>
      <c r="C178" s="302">
        <v>8.6265070299074154E-4</v>
      </c>
      <c r="D178" s="300">
        <f t="shared" si="20"/>
        <v>0.39567341242148224</v>
      </c>
      <c r="E178" s="301">
        <f t="shared" si="18"/>
        <v>3.7889117339393152</v>
      </c>
    </row>
    <row r="179" spans="1:5" ht="18" customHeight="1">
      <c r="A179" s="297">
        <v>43922</v>
      </c>
      <c r="B179" s="298">
        <f t="shared" si="16"/>
        <v>206.14632953138863</v>
      </c>
      <c r="C179" s="302">
        <v>-3.7604176079295559E-3</v>
      </c>
      <c r="D179" s="300">
        <f t="shared" si="20"/>
        <v>1.814375436146598E-2</v>
      </c>
      <c r="E179" s="301">
        <f t="shared" si="18"/>
        <v>3.1745803219211499</v>
      </c>
    </row>
    <row r="180" spans="1:5" ht="18" customHeight="1">
      <c r="A180" s="297">
        <v>43952</v>
      </c>
      <c r="B180" s="298">
        <f t="shared" si="16"/>
        <v>206.46994788496414</v>
      </c>
      <c r="C180" s="302">
        <v>1.5698477596528537E-3</v>
      </c>
      <c r="D180" s="300">
        <f t="shared" si="20"/>
        <v>0.17515701325889754</v>
      </c>
      <c r="E180" s="301">
        <f t="shared" si="18"/>
        <v>3.2718718301043781</v>
      </c>
    </row>
    <row r="181" spans="1:5" ht="18" customHeight="1">
      <c r="A181" s="297">
        <v>43983</v>
      </c>
      <c r="B181" s="298">
        <f t="shared" si="16"/>
        <v>209.19265696637942</v>
      </c>
      <c r="C181" s="302">
        <v>1.3186950979094725E-2</v>
      </c>
      <c r="D181" s="300">
        <f t="shared" si="20"/>
        <v>1.4961618981158553</v>
      </c>
      <c r="E181" s="301">
        <f t="shared" si="18"/>
        <v>2.7763841288909408</v>
      </c>
    </row>
    <row r="182" spans="1:5" ht="18" customHeight="1">
      <c r="A182" s="297">
        <v>44013</v>
      </c>
      <c r="B182" s="298">
        <f t="shared" si="16"/>
        <v>211.16457146749946</v>
      </c>
      <c r="C182" s="302">
        <v>9.4263084073593628E-3</v>
      </c>
      <c r="D182" s="300">
        <f t="shared" si="20"/>
        <v>2.4528960223307861</v>
      </c>
      <c r="E182" s="301">
        <f t="shared" si="18"/>
        <v>2.8461947993723369</v>
      </c>
    </row>
    <row r="183" spans="1:5" ht="18" customHeight="1">
      <c r="A183" s="297">
        <v>44044</v>
      </c>
      <c r="B183" s="298">
        <f t="shared" si="16"/>
        <v>212.44753845145212</v>
      </c>
      <c r="C183" s="302">
        <v>6.0756734666076451E-3</v>
      </c>
      <c r="D183" s="300">
        <f t="shared" si="20"/>
        <v>3.0753663642707707</v>
      </c>
      <c r="E183" s="301">
        <f t="shared" si="18"/>
        <v>3.4007938452491837</v>
      </c>
    </row>
    <row r="184" spans="1:5" ht="18" customHeight="1">
      <c r="A184" s="297">
        <v>44075</v>
      </c>
      <c r="B184" s="298">
        <f t="shared" si="16"/>
        <v>215.85488013865373</v>
      </c>
      <c r="C184" s="302">
        <v>1.6038508669189655E-2</v>
      </c>
      <c r="D184" s="300">
        <f t="shared" si="20"/>
        <v>4.7285415212840132</v>
      </c>
      <c r="E184" s="301">
        <f t="shared" si="18"/>
        <v>4.9453162149310392</v>
      </c>
    </row>
    <row r="185" spans="1:5" ht="18" customHeight="1">
      <c r="A185" s="297">
        <v>44105</v>
      </c>
      <c r="B185" s="298">
        <f t="shared" si="16"/>
        <v>218.28417524616049</v>
      </c>
      <c r="C185" s="302">
        <v>1.1254297822436587E-2</v>
      </c>
      <c r="D185" s="300">
        <f t="shared" si="20"/>
        <v>5.9071877180739696</v>
      </c>
      <c r="E185" s="301">
        <f t="shared" si="18"/>
        <v>6.0159409862175384</v>
      </c>
    </row>
    <row r="186" spans="1:5" ht="18" customHeight="1">
      <c r="A186" s="297">
        <v>44136</v>
      </c>
      <c r="B186" s="298">
        <f t="shared" si="16"/>
        <v>220.21581724105786</v>
      </c>
      <c r="C186" s="302">
        <v>8.849207656574487E-3</v>
      </c>
      <c r="D186" s="300">
        <f t="shared" si="20"/>
        <v>6.8443824145150156</v>
      </c>
      <c r="E186" s="301">
        <f t="shared" si="18"/>
        <v>6.8503475420819138</v>
      </c>
    </row>
    <row r="187" spans="1:5" ht="18" customHeight="1">
      <c r="A187" s="297">
        <v>44166</v>
      </c>
      <c r="B187" s="298">
        <f t="shared" si="16"/>
        <v>221.28160035216649</v>
      </c>
      <c r="C187" s="302">
        <v>4.8397209812680586E-3</v>
      </c>
      <c r="D187" s="300">
        <f t="shared" si="20"/>
        <v>7.3614794138171735</v>
      </c>
      <c r="E187" s="301">
        <f t="shared" si="18"/>
        <v>7.3614794138171735</v>
      </c>
    </row>
    <row r="188" spans="1:5" ht="18" customHeight="1">
      <c r="A188" s="297">
        <v>44197</v>
      </c>
      <c r="B188" s="298">
        <f t="shared" si="16"/>
        <v>223.59007794100506</v>
      </c>
      <c r="C188" s="302">
        <v>1.0432307002320451E-2</v>
      </c>
      <c r="D188" s="300">
        <f t="shared" ref="D188:D199" si="21">(B188/$B$187-1)*100</f>
        <v>1.0432307002320451</v>
      </c>
      <c r="E188" s="301">
        <f t="shared" si="18"/>
        <v>8.135895045840936</v>
      </c>
    </row>
    <row r="189" spans="1:5" ht="18" customHeight="1">
      <c r="A189" s="297">
        <v>44228</v>
      </c>
      <c r="B189" s="298">
        <f t="shared" si="16"/>
        <v>226.55442205975666</v>
      </c>
      <c r="C189" s="302">
        <v>1.3257941255934158E-2</v>
      </c>
      <c r="D189" s="300">
        <f t="shared" si="21"/>
        <v>2.3828559171655161</v>
      </c>
      <c r="E189" s="301">
        <f t="shared" si="18"/>
        <v>9.5809882916037648</v>
      </c>
    </row>
    <row r="190" spans="1:5" ht="18" customHeight="1">
      <c r="A190" s="297">
        <v>44256</v>
      </c>
      <c r="B190" s="298">
        <f t="shared" si="16"/>
        <v>230.06819822768981</v>
      </c>
      <c r="C190" s="302">
        <v>1.5509634003110895E-2</v>
      </c>
      <c r="D190" s="300">
        <f t="shared" si="21"/>
        <v>3.9707765406340023</v>
      </c>
      <c r="E190" s="301">
        <f t="shared" si="18"/>
        <v>11.184635809462918</v>
      </c>
    </row>
    <row r="191" spans="1:5" ht="18" customHeight="1">
      <c r="A191" s="297">
        <v>44287</v>
      </c>
      <c r="B191" s="298">
        <f t="shared" si="16"/>
        <v>233.32307971276251</v>
      </c>
      <c r="C191" s="302">
        <v>1.4147463709223596E-2</v>
      </c>
      <c r="D191" s="300">
        <f t="shared" si="21"/>
        <v>5.4416993285624216</v>
      </c>
      <c r="E191" s="301">
        <f t="shared" si="18"/>
        <v>13.183232630506691</v>
      </c>
    </row>
    <row r="192" spans="1:5" ht="18" customHeight="1">
      <c r="A192" s="297">
        <v>44317</v>
      </c>
      <c r="B192" s="298">
        <f t="shared" si="16"/>
        <v>238.53261605343124</v>
      </c>
      <c r="C192" s="302">
        <v>2.2327565481657707E-2</v>
      </c>
      <c r="D192" s="300">
        <f t="shared" si="21"/>
        <v>7.7959557748181529</v>
      </c>
      <c r="E192" s="301">
        <f t="shared" si="18"/>
        <v>15.528975764710795</v>
      </c>
    </row>
    <row r="193" spans="1:5" ht="18" customHeight="1">
      <c r="A193" s="297">
        <v>44348</v>
      </c>
      <c r="B193" s="298">
        <f t="shared" si="16"/>
        <v>245.679547604172</v>
      </c>
      <c r="C193" s="302">
        <v>2.9962072562604414E-2</v>
      </c>
      <c r="D193" s="300">
        <f t="shared" si="21"/>
        <v>11.025746023698545</v>
      </c>
      <c r="E193" s="301">
        <f t="shared" si="18"/>
        <v>17.44176452792825</v>
      </c>
    </row>
    <row r="194" spans="1:5" ht="18" customHeight="1">
      <c r="A194" s="297">
        <v>44378</v>
      </c>
      <c r="B194" s="298">
        <f t="shared" si="16"/>
        <v>248.03836582578899</v>
      </c>
      <c r="C194" s="302">
        <v>9.601198978994363E-3</v>
      </c>
      <c r="D194" s="300">
        <f t="shared" si="21"/>
        <v>12.091726303063366</v>
      </c>
      <c r="E194" s="301">
        <f t="shared" si="18"/>
        <v>17.462112181997735</v>
      </c>
    </row>
    <row r="195" spans="1:5" ht="18" customHeight="1">
      <c r="A195" s="297">
        <v>44409</v>
      </c>
      <c r="B195" s="298">
        <f t="shared" si="16"/>
        <v>249.35297549320236</v>
      </c>
      <c r="C195" s="302">
        <v>5.3000255143460517E-3</v>
      </c>
      <c r="D195" s="300">
        <f t="shared" si="21"/>
        <v>12.685815312416704</v>
      </c>
      <c r="E195" s="301">
        <f t="shared" si="18"/>
        <v>17.371553142369667</v>
      </c>
    </row>
    <row r="196" spans="1:5" ht="18" customHeight="1">
      <c r="A196" s="297">
        <v>44440</v>
      </c>
      <c r="B196" s="298">
        <f t="shared" si="16"/>
        <v>251.10051460251003</v>
      </c>
      <c r="C196" s="302">
        <v>7.0082945906346783E-3</v>
      </c>
      <c r="D196" s="300">
        <f t="shared" si="21"/>
        <v>13.475550702311967</v>
      </c>
      <c r="E196" s="301">
        <f t="shared" si="18"/>
        <v>16.328393613902257</v>
      </c>
    </row>
    <row r="197" spans="1:5" ht="18" customHeight="1">
      <c r="A197" s="297">
        <v>44470</v>
      </c>
      <c r="B197" s="298">
        <f t="shared" si="16"/>
        <v>251.09763799492271</v>
      </c>
      <c r="C197" s="302">
        <v>-1.1456000366560914E-5</v>
      </c>
      <c r="D197" s="300">
        <f t="shared" si="21"/>
        <v>13.474250726361525</v>
      </c>
      <c r="E197" s="301">
        <f t="shared" si="18"/>
        <v>15.0324514874971</v>
      </c>
    </row>
    <row r="198" spans="1:5" ht="18" customHeight="1">
      <c r="A198" s="297">
        <v>44501</v>
      </c>
      <c r="B198" s="298">
        <f t="shared" si="16"/>
        <v>251.70172558826366</v>
      </c>
      <c r="C198" s="302">
        <v>2.4057876376883947E-3</v>
      </c>
      <c r="D198" s="300">
        <f t="shared" si="21"/>
        <v>13.747245675954979</v>
      </c>
      <c r="E198" s="301">
        <f t="shared" si="18"/>
        <v>14.29775060741434</v>
      </c>
    </row>
    <row r="199" spans="1:5" ht="18" customHeight="1">
      <c r="A199" s="297">
        <v>44531</v>
      </c>
      <c r="B199" s="298">
        <f t="shared" si="16"/>
        <v>252.2511576374452</v>
      </c>
      <c r="C199" s="302">
        <v>2.1828696163979089E-3</v>
      </c>
      <c r="D199" s="300">
        <f t="shared" si="21"/>
        <v>13.995541082489972</v>
      </c>
      <c r="E199" s="301">
        <f t="shared" si="18"/>
        <v>13.995541082489972</v>
      </c>
    </row>
    <row r="200" spans="1:5" ht="18" customHeight="1">
      <c r="A200" s="297">
        <v>44562</v>
      </c>
      <c r="B200" s="298">
        <f t="shared" si="16"/>
        <v>253.13859107813889</v>
      </c>
      <c r="C200" s="302">
        <v>3.5180549774489478E-3</v>
      </c>
      <c r="D200" s="300">
        <f t="shared" ref="D200:D211" si="22">(B200/$B$199-1)*100</f>
        <v>0.35180549774489478</v>
      </c>
      <c r="E200" s="301">
        <f t="shared" si="18"/>
        <v>13.215484966613889</v>
      </c>
    </row>
    <row r="201" spans="1:5" ht="18" customHeight="1">
      <c r="A201" s="297">
        <v>44593</v>
      </c>
      <c r="B201" s="298">
        <f t="shared" si="16"/>
        <v>253.5815886465889</v>
      </c>
      <c r="C201" s="302">
        <v>1.7500198865896266E-3</v>
      </c>
      <c r="D201" s="300">
        <f t="shared" si="22"/>
        <v>0.52742315302112264</v>
      </c>
      <c r="E201" s="301">
        <f t="shared" si="18"/>
        <v>11.929657492937151</v>
      </c>
    </row>
    <row r="202" spans="1:5" ht="18" customHeight="1">
      <c r="A202" s="297">
        <v>44621</v>
      </c>
      <c r="B202" s="298">
        <f t="shared" si="16"/>
        <v>254.21444231580318</v>
      </c>
      <c r="C202" s="302">
        <v>2.4956609531154861E-3</v>
      </c>
      <c r="D202" s="300">
        <f t="shared" si="22"/>
        <v>0.77830551770143863</v>
      </c>
      <c r="E202" s="301">
        <f t="shared" si="18"/>
        <v>10.495255004438619</v>
      </c>
    </row>
    <row r="203" spans="1:5" ht="18" customHeight="1">
      <c r="A203" s="297">
        <v>44652</v>
      </c>
      <c r="B203" s="298">
        <f t="shared" si="16"/>
        <v>256.01519866547665</v>
      </c>
      <c r="C203" s="302">
        <v>7.0836115103030117E-3</v>
      </c>
      <c r="D203" s="300">
        <f t="shared" si="22"/>
        <v>1.4921798826554422</v>
      </c>
      <c r="E203" s="301">
        <f t="shared" si="18"/>
        <v>9.7256212204338119</v>
      </c>
    </row>
    <row r="204" spans="1:5" ht="18" customHeight="1">
      <c r="A204" s="297">
        <v>44682</v>
      </c>
      <c r="B204" s="298">
        <f t="shared" si="16"/>
        <v>266.57666342238736</v>
      </c>
      <c r="C204" s="302">
        <v>4.1253272508679828E-2</v>
      </c>
      <c r="D204" s="300">
        <f t="shared" si="22"/>
        <v>5.6790644368545973</v>
      </c>
      <c r="E204" s="301">
        <f t="shared" si="18"/>
        <v>11.756902612711983</v>
      </c>
    </row>
    <row r="205" spans="1:5" ht="18" customHeight="1">
      <c r="A205" s="297">
        <v>44713</v>
      </c>
      <c r="B205" s="298">
        <f t="shared" si="16"/>
        <v>272.48521540677916</v>
      </c>
      <c r="C205" s="302">
        <v>2.216455074700141E-2</v>
      </c>
      <c r="D205" s="300">
        <f t="shared" si="22"/>
        <v>8.0213934234608875</v>
      </c>
      <c r="E205" s="301">
        <f t="shared" si="18"/>
        <v>10.910825937287738</v>
      </c>
    </row>
    <row r="206" spans="1:5" ht="18" customHeight="1">
      <c r="A206" s="297">
        <v>44743</v>
      </c>
      <c r="B206" s="298">
        <f t="shared" si="16"/>
        <v>274.47610034243229</v>
      </c>
      <c r="C206" s="302">
        <v>7.3063961752238499E-3</v>
      </c>
      <c r="D206" s="300">
        <f t="shared" si="22"/>
        <v>8.810640519212388</v>
      </c>
      <c r="E206" s="301">
        <f t="shared" si="18"/>
        <v>10.658727906315901</v>
      </c>
    </row>
    <row r="207" spans="1:5" ht="18" customHeight="1">
      <c r="A207" s="297">
        <v>44774</v>
      </c>
      <c r="B207" s="298">
        <f t="shared" si="16"/>
        <v>274.44877254322301</v>
      </c>
      <c r="C207" s="302">
        <v>-9.9563492687249067E-5</v>
      </c>
      <c r="D207" s="300">
        <f t="shared" si="22"/>
        <v>8.7998069518007593</v>
      </c>
      <c r="E207" s="301">
        <f t="shared" si="18"/>
        <v>10.064366386798863</v>
      </c>
    </row>
    <row r="208" spans="1:5" ht="18" customHeight="1">
      <c r="A208" s="297">
        <v>44805</v>
      </c>
      <c r="B208" s="298">
        <f t="shared" si="16"/>
        <v>274.27617591663807</v>
      </c>
      <c r="C208" s="302">
        <v>-6.288846730323483E-4</v>
      </c>
      <c r="D208" s="300">
        <f t="shared" si="22"/>
        <v>8.7313844207799196</v>
      </c>
      <c r="E208" s="301">
        <f t="shared" si="18"/>
        <v>9.2296351326937476</v>
      </c>
    </row>
    <row r="209" spans="1:5" ht="18" customHeight="1">
      <c r="A209" s="297">
        <v>44835</v>
      </c>
      <c r="B209" s="298">
        <f t="shared" si="16"/>
        <v>274.38692541869676</v>
      </c>
      <c r="C209" s="302">
        <v>4.0378826811537927E-4</v>
      </c>
      <c r="D209" s="300">
        <f t="shared" si="22"/>
        <v>8.7752888781849734</v>
      </c>
      <c r="E209" s="301">
        <f t="shared" si="18"/>
        <v>9.2749926322464926</v>
      </c>
    </row>
    <row r="210" spans="1:5" ht="18" customHeight="1">
      <c r="A210" s="297">
        <v>44866</v>
      </c>
      <c r="B210" s="298">
        <f t="shared" si="16"/>
        <v>274.7896508807284</v>
      </c>
      <c r="C210" s="302">
        <v>1.467728323487405E-3</v>
      </c>
      <c r="D210" s="300">
        <f t="shared" si="22"/>
        <v>8.934941450566992</v>
      </c>
      <c r="E210" s="301">
        <f t="shared" si="18"/>
        <v>9.172732224423541</v>
      </c>
    </row>
    <row r="211" spans="1:5" ht="18" customHeight="1">
      <c r="A211" s="297">
        <v>44896</v>
      </c>
      <c r="B211" s="298">
        <f t="shared" si="16"/>
        <v>275.25134685684327</v>
      </c>
      <c r="C211" s="302">
        <v>1.680179637897794E-3</v>
      </c>
      <c r="D211" s="300">
        <f t="shared" si="22"/>
        <v>9.1179717210478461</v>
      </c>
      <c r="E211" s="301">
        <f t="shared" si="18"/>
        <v>9.1179717210478461</v>
      </c>
    </row>
    <row r="212" spans="1:5" ht="18" customHeight="1">
      <c r="A212" s="297">
        <v>44927</v>
      </c>
      <c r="B212" s="298">
        <f t="shared" si="16"/>
        <v>275.08018853547981</v>
      </c>
      <c r="C212" s="299">
        <v>-6.2182555441758769E-4</v>
      </c>
      <c r="D212" s="300">
        <f t="shared" ref="D212:D223" si="23">(B212/$B$211-1)*100</f>
        <v>-6.2182555441769871E-2</v>
      </c>
      <c r="E212" s="301">
        <f t="shared" si="18"/>
        <v>8.6678200127012559</v>
      </c>
    </row>
    <row r="213" spans="1:5" ht="18" customHeight="1">
      <c r="A213" s="297">
        <v>44958</v>
      </c>
      <c r="B213" s="298">
        <f t="shared" si="16"/>
        <v>275.09025667203059</v>
      </c>
      <c r="C213" s="299">
        <v>3.6600733060332402E-5</v>
      </c>
      <c r="D213" s="300">
        <f t="shared" si="23"/>
        <v>-5.8524758062838966E-2</v>
      </c>
      <c r="E213" s="301">
        <f t="shared" si="18"/>
        <v>8.4819517616548481</v>
      </c>
    </row>
    <row r="214" spans="1:5" ht="18" customHeight="1">
      <c r="A214" s="297">
        <v>44986</v>
      </c>
      <c r="B214" s="298">
        <f t="shared" ref="B214:B236" si="24">B213*(1+C214)</f>
        <v>274.59260306537726</v>
      </c>
      <c r="C214" s="299">
        <v>-1.8090557356477133E-3</v>
      </c>
      <c r="D214" s="300">
        <f t="shared" si="23"/>
        <v>-0.23932445707836036</v>
      </c>
      <c r="E214" s="301">
        <f t="shared" si="18"/>
        <v>8.0161302260942655</v>
      </c>
    </row>
    <row r="215" spans="1:5" ht="18" customHeight="1">
      <c r="A215" s="297">
        <v>45017</v>
      </c>
      <c r="B215" s="298">
        <f t="shared" si="24"/>
        <v>275.3894241581113</v>
      </c>
      <c r="C215" s="299">
        <v>2.9018301434153848E-3</v>
      </c>
      <c r="D215" s="300">
        <f t="shared" si="23"/>
        <v>5.0164078339576257E-2</v>
      </c>
      <c r="E215" s="301">
        <f t="shared" si="18"/>
        <v>7.5676075458121828</v>
      </c>
    </row>
    <row r="216" spans="1:5" ht="18" customHeight="1">
      <c r="A216" s="297">
        <v>45047</v>
      </c>
      <c r="B216" s="298">
        <f t="shared" si="24"/>
        <v>279.3577082643443</v>
      </c>
      <c r="C216" s="299">
        <v>1.440971859527429E-2</v>
      </c>
      <c r="D216" s="300">
        <f t="shared" si="23"/>
        <v>1.4918587881194822</v>
      </c>
      <c r="E216" s="301">
        <f t="shared" si="18"/>
        <v>4.794510021196241</v>
      </c>
    </row>
    <row r="217" spans="1:5" ht="18" customHeight="1">
      <c r="A217" s="297">
        <v>45078</v>
      </c>
      <c r="B217" s="298">
        <f t="shared" si="24"/>
        <v>281.13833012861272</v>
      </c>
      <c r="C217" s="299">
        <v>6.3739850793145258E-3</v>
      </c>
      <c r="D217" s="300">
        <f t="shared" si="23"/>
        <v>2.138766381706847</v>
      </c>
      <c r="E217" s="301">
        <f t="shared" si="18"/>
        <v>3.1756272386800122</v>
      </c>
    </row>
    <row r="218" spans="1:5" ht="18" customHeight="1">
      <c r="A218" s="297">
        <v>45108</v>
      </c>
      <c r="B218" s="298">
        <f t="shared" si="24"/>
        <v>281.40297828937639</v>
      </c>
      <c r="C218" s="299">
        <v>9.4134499782572156E-4</v>
      </c>
      <c r="D218" s="300">
        <f t="shared" si="23"/>
        <v>2.2349141985243515</v>
      </c>
      <c r="E218" s="301">
        <f t="shared" si="18"/>
        <v>2.5236725304324192</v>
      </c>
    </row>
    <row r="219" spans="1:5" ht="18" customHeight="1">
      <c r="A219" s="297">
        <v>45139</v>
      </c>
      <c r="B219" s="298">
        <f t="shared" si="24"/>
        <v>281.55400033763823</v>
      </c>
      <c r="C219" s="299">
        <v>5.3667537273383026E-4</v>
      </c>
      <c r="D219" s="300">
        <f t="shared" si="23"/>
        <v>2.2897811592082595</v>
      </c>
      <c r="E219" s="301">
        <f t="shared" si="18"/>
        <v>2.5889085706499948</v>
      </c>
    </row>
    <row r="220" spans="1:5" ht="18" customHeight="1">
      <c r="A220" s="297">
        <v>45170</v>
      </c>
      <c r="B220" s="298">
        <f t="shared" si="24"/>
        <v>281.41592303637026</v>
      </c>
      <c r="C220" s="299">
        <v>-4.9041143475991866E-4</v>
      </c>
      <c r="D220" s="300">
        <f t="shared" si="23"/>
        <v>2.2396170808686833</v>
      </c>
      <c r="E220" s="301">
        <f t="shared" si="18"/>
        <v>2.6031233284739219</v>
      </c>
    </row>
    <row r="221" spans="1:5" ht="18" customHeight="1">
      <c r="A221" s="297">
        <v>45200</v>
      </c>
      <c r="B221" s="298">
        <f t="shared" si="24"/>
        <v>281.27496912465921</v>
      </c>
      <c r="C221" s="299">
        <v>-5.0087397397502453E-4</v>
      </c>
      <c r="D221" s="300">
        <f t="shared" si="23"/>
        <v>2.1884079175637172</v>
      </c>
      <c r="E221" s="301">
        <f t="shared" si="18"/>
        <v>2.5103396218503216</v>
      </c>
    </row>
    <row r="222" spans="1:5" ht="18" customHeight="1">
      <c r="A222" s="297">
        <v>45231</v>
      </c>
      <c r="B222" s="298">
        <f t="shared" si="24"/>
        <v>281.61009424127838</v>
      </c>
      <c r="C222" s="299">
        <v>1.1914501943137701E-3</v>
      </c>
      <c r="D222" s="300">
        <f t="shared" si="23"/>
        <v>2.3101603160337048</v>
      </c>
      <c r="E222" s="301">
        <f t="shared" si="18"/>
        <v>2.4820597641467712</v>
      </c>
    </row>
    <row r="223" spans="1:5" ht="18" customHeight="1">
      <c r="A223" s="297">
        <v>45261</v>
      </c>
      <c r="B223" s="298">
        <f t="shared" si="24"/>
        <v>281.61297085172146</v>
      </c>
      <c r="C223" s="299">
        <v>1.0214869786029368E-5</v>
      </c>
      <c r="D223" s="300">
        <f t="shared" si="23"/>
        <v>2.3112054009991168</v>
      </c>
      <c r="E223" s="301">
        <f t="shared" si="18"/>
        <v>2.3112054009991168</v>
      </c>
    </row>
    <row r="224" spans="1:5" ht="18" customHeight="1">
      <c r="A224" s="297">
        <v>45292</v>
      </c>
      <c r="B224" s="298">
        <f t="shared" si="24"/>
        <v>281.60434102039221</v>
      </c>
      <c r="C224" s="299">
        <v>-3.0644296330262222E-5</v>
      </c>
      <c r="D224" s="300">
        <f t="shared" ref="D224:D235" si="25">(B224/$B$223-1)*100</f>
        <v>-3.0644296330373244E-3</v>
      </c>
      <c r="E224" s="301">
        <f t="shared" si="18"/>
        <v>2.3717275023137141</v>
      </c>
    </row>
    <row r="225" spans="1:5" ht="18" customHeight="1">
      <c r="A225" s="297">
        <v>45323</v>
      </c>
      <c r="B225" s="298">
        <f t="shared" si="24"/>
        <v>281.8891254542574</v>
      </c>
      <c r="C225" s="299">
        <v>1.0112927692564888E-3</v>
      </c>
      <c r="D225" s="300">
        <f t="shared" si="25"/>
        <v>9.8061748257083359E-2</v>
      </c>
      <c r="E225" s="301">
        <f t="shared" ref="E225:E236" si="26">(B225/B213-1)*100</f>
        <v>2.4715047579211724</v>
      </c>
    </row>
    <row r="226" spans="1:5" ht="18" customHeight="1">
      <c r="A226" s="297">
        <v>45352</v>
      </c>
      <c r="B226" s="298">
        <f t="shared" si="24"/>
        <v>282.16384175157185</v>
      </c>
      <c r="C226" s="299">
        <v>9.7455443473304371E-4</v>
      </c>
      <c r="D226" s="300">
        <f t="shared" si="25"/>
        <v>0.19561275824204749</v>
      </c>
      <c r="E226" s="301">
        <f t="shared" si="26"/>
        <v>2.7572624322993677</v>
      </c>
    </row>
    <row r="227" spans="1:5" ht="18" customHeight="1">
      <c r="A227" s="297">
        <v>45383</v>
      </c>
      <c r="B227" s="298">
        <f t="shared" si="24"/>
        <v>282.29472752673212</v>
      </c>
      <c r="C227" s="299">
        <v>4.638644496324229E-4</v>
      </c>
      <c r="D227" s="300">
        <f t="shared" si="25"/>
        <v>0.24208994100971548</v>
      </c>
      <c r="E227" s="301">
        <f t="shared" si="26"/>
        <v>2.5074686109428201</v>
      </c>
    </row>
    <row r="228" spans="1:5" ht="18" customHeight="1">
      <c r="A228" s="297">
        <v>45413</v>
      </c>
      <c r="B228" s="298">
        <f t="shared" si="24"/>
        <v>285.75241327931792</v>
      </c>
      <c r="C228" s="299">
        <v>1.2248495687041672E-2</v>
      </c>
      <c r="D228" s="300">
        <f t="shared" si="25"/>
        <v>1.469904747312234</v>
      </c>
      <c r="E228" s="301">
        <f t="shared" si="26"/>
        <v>2.2890741246067936</v>
      </c>
    </row>
    <row r="229" spans="1:5" ht="18" customHeight="1">
      <c r="A229" s="297">
        <v>45444</v>
      </c>
      <c r="B229" s="298">
        <f t="shared" si="24"/>
        <v>288.01918230846729</v>
      </c>
      <c r="C229" s="299">
        <v>7.9326330200881756E-3</v>
      </c>
      <c r="D229" s="300">
        <f t="shared" si="25"/>
        <v>2.274828264255957</v>
      </c>
      <c r="E229" s="301">
        <f t="shared" si="26"/>
        <v>2.4474969943467872</v>
      </c>
    </row>
    <row r="230" spans="1:5" ht="18" customHeight="1">
      <c r="A230" s="297">
        <v>45474</v>
      </c>
      <c r="B230" s="298">
        <f t="shared" si="24"/>
        <v>289.21297564234675</v>
      </c>
      <c r="C230" s="299">
        <v>4.1448396746051053E-3</v>
      </c>
      <c r="D230" s="300">
        <f t="shared" si="25"/>
        <v>2.6987410301590575</v>
      </c>
      <c r="E230" s="301">
        <f t="shared" si="26"/>
        <v>2.7753783561377476</v>
      </c>
    </row>
    <row r="231" spans="1:5" ht="18" customHeight="1">
      <c r="A231" s="297">
        <v>45505</v>
      </c>
      <c r="B231" s="298">
        <f t="shared" si="24"/>
        <v>290.2341723496412</v>
      </c>
      <c r="C231" s="299">
        <v>3.5309505219340842E-3</v>
      </c>
      <c r="D231" s="300">
        <f t="shared" si="25"/>
        <v>3.0613652034014782</v>
      </c>
      <c r="E231" s="301">
        <f t="shared" si="26"/>
        <v>3.0829510508086466</v>
      </c>
    </row>
    <row r="232" spans="1:5" ht="18" customHeight="1">
      <c r="A232" s="297">
        <v>45536</v>
      </c>
      <c r="B232" s="298">
        <f t="shared" si="24"/>
        <v>291.18489210108015</v>
      </c>
      <c r="C232" s="299">
        <v>3.2756988735758164E-3</v>
      </c>
      <c r="D232" s="300">
        <f t="shared" si="25"/>
        <v>3.3989632013074589</v>
      </c>
      <c r="E232" s="301">
        <f t="shared" si="26"/>
        <v>3.4713632971817843</v>
      </c>
    </row>
    <row r="233" spans="1:5" ht="18" customHeight="1">
      <c r="A233" s="297">
        <v>45566</v>
      </c>
      <c r="B233" s="298">
        <f t="shared" si="24"/>
        <v>292.26362101723629</v>
      </c>
      <c r="C233" s="299">
        <v>3.7046184243023639E-3</v>
      </c>
      <c r="D233" s="300">
        <f t="shared" si="25"/>
        <v>3.7820169054367803</v>
      </c>
      <c r="E233" s="301">
        <f t="shared" si="26"/>
        <v>3.9067293925137747</v>
      </c>
    </row>
    <row r="234" spans="1:5" ht="18" customHeight="1">
      <c r="A234" s="297">
        <v>45597</v>
      </c>
      <c r="B234" s="298">
        <f t="shared" si="24"/>
        <v>292.8820922624991</v>
      </c>
      <c r="C234" s="299">
        <v>2.1161417322832499E-3</v>
      </c>
      <c r="D234" s="300">
        <f t="shared" si="25"/>
        <v>4.0016343624708961</v>
      </c>
      <c r="E234" s="301">
        <f t="shared" si="26"/>
        <v>4.0026967256234336</v>
      </c>
    </row>
    <row r="235" spans="1:5" ht="18" customHeight="1">
      <c r="A235" s="297">
        <v>45627</v>
      </c>
      <c r="B235" s="298">
        <f t="shared" si="24"/>
        <v>293.34666484905699</v>
      </c>
      <c r="C235" s="299">
        <v>1.5862102833570368E-3</v>
      </c>
      <c r="D235" s="300">
        <f t="shared" si="25"/>
        <v>4.1666028243825926</v>
      </c>
      <c r="E235" s="301">
        <f t="shared" si="26"/>
        <v>4.1666028243825926</v>
      </c>
    </row>
    <row r="236" spans="1:5" ht="18" customHeight="1">
      <c r="A236" s="297">
        <v>45658</v>
      </c>
      <c r="B236" s="298">
        <f t="shared" si="24"/>
        <v>294.03129813451079</v>
      </c>
      <c r="C236" s="299">
        <v>2.3338710389160244E-3</v>
      </c>
      <c r="D236" s="300">
        <f t="shared" ref="D236:D241" si="27">(B236/$B$235-1)*100</f>
        <v>0.23338710389160244</v>
      </c>
      <c r="E236" s="301">
        <f t="shared" si="26"/>
        <v>4.4129139022110131</v>
      </c>
    </row>
    <row r="237" spans="1:5" ht="18" customHeight="1">
      <c r="A237" s="297">
        <v>45689</v>
      </c>
      <c r="B237" s="298">
        <f t="shared" ref="B237:B242" si="28">B236*(1+C237)</f>
        <v>294.28587815872362</v>
      </c>
      <c r="C237" s="299">
        <v>8.6582627709375082E-4</v>
      </c>
      <c r="D237" s="300">
        <f t="shared" si="27"/>
        <v>0.32017180428824954</v>
      </c>
      <c r="E237" s="301">
        <f t="shared" ref="E237:E241" si="29">(B237/B225-1)*100</f>
        <v>4.3977406664727381</v>
      </c>
    </row>
    <row r="238" spans="1:5" ht="18" customHeight="1">
      <c r="A238" s="297">
        <v>45717</v>
      </c>
      <c r="B238" s="298">
        <f t="shared" si="28"/>
        <v>294.6339480223366</v>
      </c>
      <c r="C238" s="299">
        <v>1.1827610138508415E-3</v>
      </c>
      <c r="D238" s="300">
        <f t="shared" si="27"/>
        <v>0.43882659240117583</v>
      </c>
      <c r="E238" s="301">
        <f t="shared" si="29"/>
        <v>4.4194558003445072</v>
      </c>
    </row>
    <row r="239" spans="1:5" ht="18" customHeight="1">
      <c r="A239" s="297">
        <v>45748</v>
      </c>
      <c r="B239" s="298">
        <f t="shared" si="28"/>
        <v>295.37899012709511</v>
      </c>
      <c r="C239" s="299">
        <v>2.5287042099508827E-3</v>
      </c>
      <c r="D239" s="300">
        <f t="shared" si="27"/>
        <v>0.69280667604789681</v>
      </c>
      <c r="E239" s="301">
        <f t="shared" si="29"/>
        <v>4.6349652772469829</v>
      </c>
    </row>
    <row r="240" spans="1:5" ht="18" customHeight="1">
      <c r="A240" s="297">
        <v>45778</v>
      </c>
      <c r="B240" s="298">
        <f t="shared" si="28"/>
        <v>297.30344251351761</v>
      </c>
      <c r="C240" s="299">
        <v>6.5151972575789863E-3</v>
      </c>
      <c r="D240" s="300">
        <f t="shared" si="27"/>
        <v>1.3488401739616185</v>
      </c>
      <c r="E240" s="301">
        <f t="shared" si="29"/>
        <v>4.0423207984979559</v>
      </c>
    </row>
    <row r="241" spans="1:5" ht="18" customHeight="1">
      <c r="A241" s="297">
        <v>45809</v>
      </c>
      <c r="B241" s="298">
        <f t="shared" si="28"/>
        <v>300.02327768745266</v>
      </c>
      <c r="C241" s="299">
        <v>9.1483473953093419E-3</v>
      </c>
      <c r="D241" s="300">
        <f t="shared" si="27"/>
        <v>2.2760145719846969</v>
      </c>
      <c r="E241" s="301">
        <f t="shared" si="29"/>
        <v>4.167811075211314</v>
      </c>
    </row>
    <row r="242" spans="1:5" ht="18" customHeight="1">
      <c r="A242" s="297">
        <v>45839</v>
      </c>
      <c r="B242" s="298">
        <f t="shared" si="28"/>
        <v>302.10882025868784</v>
      </c>
      <c r="C242" s="299">
        <v>6.9512692058772974E-3</v>
      </c>
      <c r="D242" s="300">
        <f t="shared" ref="D242" si="30">(B242/$B$235-1)*100</f>
        <v>2.9869626825788087</v>
      </c>
      <c r="E242" s="301">
        <f>(B242/B230-1)*100</f>
        <v>4.4589439971354006</v>
      </c>
    </row>
    <row r="243" spans="1:5" ht="18" customHeight="1">
      <c r="A243" s="297">
        <v>45870</v>
      </c>
      <c r="B243" s="298">
        <f t="shared" ref="B243" si="31">B242*(1+C243)</f>
        <v>302.74455116660926</v>
      </c>
      <c r="C243" s="299">
        <v>2.1043109809804061E-3</v>
      </c>
      <c r="D243" s="300">
        <f t="shared" ref="D243" si="32">(B243/$B$235-1)*100</f>
        <v>3.2036792790495872</v>
      </c>
      <c r="E243" s="301">
        <f>(B243/B231-1)*100</f>
        <v>4.310443086590432</v>
      </c>
    </row>
    <row r="244" spans="1:5" ht="18" customHeight="1">
      <c r="A244" s="293">
        <v>45901</v>
      </c>
      <c r="B244" s="294">
        <f t="shared" ref="B244" si="33">B243*(1+C244)</f>
        <v>303.26234104636421</v>
      </c>
      <c r="C244" s="295">
        <v>1.7103194021483858E-3</v>
      </c>
      <c r="D244" s="296">
        <f t="shared" ref="D244" si="34">(B244/$B$235-1)*100</f>
        <v>3.3801905340936411</v>
      </c>
      <c r="E244" s="36">
        <f>(B244/B232-1)*100</f>
        <v>4.1476907878488234</v>
      </c>
    </row>
    <row r="245" spans="1:5" ht="18" customHeight="1">
      <c r="A245" s="293">
        <v>45931</v>
      </c>
      <c r="B245" s="294">
        <f t="shared" ref="B245:B246" si="35">B244*(1+C245)</f>
        <v>303.7139688859283</v>
      </c>
      <c r="C245" s="295">
        <v>1.4892315280750079E-3</v>
      </c>
      <c r="D245" s="296">
        <f t="shared" ref="D245:D246" si="36">(B245/$B$235-1)*100</f>
        <v>3.5341475732154182</v>
      </c>
      <c r="E245" s="36">
        <f t="shared" ref="E245:E246" si="37">(B245/B233-1)*100</f>
        <v>3.9178149606299062</v>
      </c>
    </row>
    <row r="246" spans="1:5" ht="18" customHeight="1">
      <c r="A246" s="297">
        <v>45962</v>
      </c>
      <c r="B246" s="298">
        <f t="shared" si="35"/>
        <v>304.53524116742852</v>
      </c>
      <c r="C246" s="299">
        <v>2.7040978210939315E-3</v>
      </c>
      <c r="D246" s="300">
        <f t="shared" si="36"/>
        <v>3.8141140360769654</v>
      </c>
      <c r="E246" s="301">
        <f t="shared" si="37"/>
        <v>3.9787850513185896</v>
      </c>
    </row>
    <row r="247" spans="1:5" ht="18" customHeight="1">
      <c r="A247" s="297">
        <v>45992</v>
      </c>
      <c r="B247" s="298">
        <f t="shared" ref="B247" si="38">B246*(1+C247)</f>
        <v>305.47733108753818</v>
      </c>
      <c r="C247" s="299">
        <v>3.0935333345927241E-3</v>
      </c>
      <c r="D247" s="300">
        <f t="shared" ref="D247" si="39">(B247/$B$235-1)*100</f>
        <v>4.1352664584487719</v>
      </c>
      <c r="E247" s="301">
        <f t="shared" ref="E247" si="40">(B247/B235-1)*100</f>
        <v>4.1352664584487719</v>
      </c>
    </row>
    <row r="248" spans="1:5" ht="18" customHeight="1">
      <c r="A248" s="297">
        <v>46023</v>
      </c>
      <c r="B248" s="298">
        <f t="shared" ref="B248" si="41">B247*(1+C248)</f>
        <v>306.33887591524154</v>
      </c>
      <c r="C248" s="299">
        <v>2.8203232777901377E-3</v>
      </c>
      <c r="D248" s="300">
        <f>(B248/$B$247-1)*100</f>
        <v>0.28203232777901377</v>
      </c>
      <c r="E248" s="301">
        <f t="shared" ref="E248" si="42">(B248/B236-1)*100</f>
        <v>4.1858053407295426</v>
      </c>
    </row>
    <row r="249" spans="1:5" ht="18" customHeight="1">
      <c r="A249" s="293">
        <v>46054</v>
      </c>
      <c r="B249" s="294">
        <f t="shared" ref="B249" si="43">B248*(1+C249)</f>
        <v>306.61934543344216</v>
      </c>
      <c r="C249" s="295">
        <v>9.1555313494784407E-4</v>
      </c>
      <c r="D249" s="296">
        <f>(B249/$B$247-1)*100</f>
        <v>0.37384585685564797</v>
      </c>
      <c r="E249" s="36">
        <f>(B249/B237-1)*100</f>
        <v>4.1909816916415155</v>
      </c>
    </row>
    <row r="250" spans="1:5" ht="18" customHeight="1">
      <c r="A250" s="293">
        <v>46082</v>
      </c>
      <c r="B250" s="294">
        <f t="shared" ref="B250:B251" si="44">B249*(1+C250)</f>
        <v>306.92138952996589</v>
      </c>
      <c r="C250" s="295">
        <v>9.8507840755046594E-4</v>
      </c>
      <c r="D250" s="296">
        <f t="shared" ref="D250:D251" si="45">(B250/$B$247-1)*100</f>
        <v>0.47272196509202669</v>
      </c>
      <c r="E250" s="36">
        <f t="shared" ref="E250:E251" si="46">(B250/B238-1)*100</f>
        <v>4.17040927907526</v>
      </c>
    </row>
    <row r="251" spans="1:5" ht="18" customHeight="1">
      <c r="A251" s="293">
        <v>46113</v>
      </c>
      <c r="B251" s="294">
        <f t="shared" si="44"/>
        <v>308.67324528980345</v>
      </c>
      <c r="C251" s="295">
        <v>5.7078321016350575E-3</v>
      </c>
      <c r="D251" s="296">
        <f t="shared" si="45"/>
        <v>1.0462033928630321</v>
      </c>
      <c r="E251" s="36">
        <f t="shared" si="46"/>
        <v>4.5007450113456304</v>
      </c>
    </row>
    <row r="252" spans="1:5" ht="18" customHeight="1" thickBot="1">
      <c r="A252" s="303">
        <v>46143</v>
      </c>
      <c r="B252" s="304">
        <f t="shared" ref="B252" si="47">B251*(1+C252)</f>
        <v>312.50201378954694</v>
      </c>
      <c r="C252" s="305">
        <v>1.2403953235884613E-2</v>
      </c>
      <c r="D252" s="306">
        <f t="shared" ref="D252" si="48">(B252/$B$247-1)*100</f>
        <v>2.2995757744117995</v>
      </c>
      <c r="E252" s="307">
        <f t="shared" ref="E252" si="49">(B252/B240-1)*100</f>
        <v>5.1121410325877026</v>
      </c>
    </row>
    <row r="253" spans="1:5" ht="18" customHeight="1">
      <c r="A253" s="308" t="s">
        <v>151</v>
      </c>
    </row>
    <row r="254" spans="1:5" ht="18" customHeight="1">
      <c r="A254" s="310" t="s">
        <v>152</v>
      </c>
      <c r="C254" s="219"/>
    </row>
  </sheetData>
  <mergeCells count="5">
    <mergeCell ref="A4:B4"/>
    <mergeCell ref="C4:E4"/>
    <mergeCell ref="A5:B5"/>
    <mergeCell ref="C5:E5"/>
    <mergeCell ref="A1:E3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7546-B90B-4478-A27D-7700A022E4E8}">
  <sheetPr>
    <tabColor theme="9" tint="-0.249977111117893"/>
  </sheetPr>
  <dimension ref="A1:G413"/>
  <sheetViews>
    <sheetView showGridLines="0" workbookViewId="0">
      <pane ySplit="2655" topLeftCell="A400" activePane="bottomLeft"/>
      <selection pane="bottomLeft" activeCell="A409" sqref="A409"/>
      <selection activeCell="J4" sqref="J4"/>
    </sheetView>
  </sheetViews>
  <sheetFormatPr defaultColWidth="12.42578125" defaultRowHeight="12.75"/>
  <cols>
    <col min="1" max="1" width="10.28515625" style="219" customWidth="1"/>
    <col min="2" max="2" width="11.28515625" style="219" customWidth="1"/>
    <col min="3" max="6" width="13.85546875" style="219" customWidth="1"/>
    <col min="7" max="7" width="16.42578125" style="219" customWidth="1"/>
    <col min="8" max="16384" width="12.42578125" style="219"/>
  </cols>
  <sheetData>
    <row r="1" spans="1:7" s="55" customFormat="1" ht="21" customHeight="1">
      <c r="A1" s="738" t="s">
        <v>153</v>
      </c>
      <c r="B1" s="738"/>
      <c r="C1" s="738"/>
      <c r="D1" s="738"/>
      <c r="E1" s="738"/>
      <c r="F1" s="738"/>
      <c r="G1" s="738"/>
    </row>
    <row r="2" spans="1:7" s="55" customFormat="1" ht="15.75" customHeight="1">
      <c r="A2" s="738"/>
      <c r="B2" s="738"/>
      <c r="C2" s="738"/>
      <c r="D2" s="738"/>
      <c r="E2" s="738"/>
      <c r="F2" s="738"/>
      <c r="G2" s="738"/>
    </row>
    <row r="3" spans="1:7" s="55" customFormat="1" ht="15" customHeight="1" thickBot="1">
      <c r="A3" s="739"/>
      <c r="B3" s="739"/>
      <c r="C3" s="739"/>
      <c r="D3" s="739"/>
      <c r="E3" s="739"/>
      <c r="F3" s="739"/>
      <c r="G3" s="739"/>
    </row>
    <row r="4" spans="1:7" s="55" customFormat="1" ht="17.25" customHeight="1" thickBot="1">
      <c r="A4" s="708" t="s">
        <v>154</v>
      </c>
      <c r="B4" s="709"/>
      <c r="C4" s="710"/>
      <c r="D4" s="711" t="s">
        <v>155</v>
      </c>
      <c r="E4" s="712"/>
      <c r="F4" s="712"/>
      <c r="G4" s="712"/>
    </row>
    <row r="5" spans="1:7" s="55" customFormat="1" ht="15" customHeight="1" thickBot="1">
      <c r="A5" s="713" t="s">
        <v>46</v>
      </c>
      <c r="B5" s="714"/>
      <c r="C5" s="715"/>
      <c r="D5" s="716" t="s">
        <v>47</v>
      </c>
      <c r="E5" s="717"/>
      <c r="F5" s="718"/>
      <c r="G5" s="719" t="s">
        <v>48</v>
      </c>
    </row>
    <row r="6" spans="1:7" s="55" customFormat="1" ht="15.75" customHeight="1" thickBot="1">
      <c r="A6" s="65" t="s">
        <v>49</v>
      </c>
      <c r="B6" s="66" t="s">
        <v>50</v>
      </c>
      <c r="C6" s="66" t="s">
        <v>51</v>
      </c>
      <c r="D6" s="66" t="s">
        <v>52</v>
      </c>
      <c r="E6" s="66" t="s">
        <v>53</v>
      </c>
      <c r="F6" s="66" t="s">
        <v>54</v>
      </c>
      <c r="G6" s="720"/>
    </row>
    <row r="7" spans="1:7" ht="18" hidden="1" customHeight="1">
      <c r="A7" s="311">
        <v>1993</v>
      </c>
      <c r="B7" s="312" t="s">
        <v>56</v>
      </c>
      <c r="C7" s="313">
        <v>100</v>
      </c>
      <c r="D7" s="314"/>
      <c r="E7" s="315"/>
      <c r="F7" s="316"/>
      <c r="G7" s="317">
        <f t="shared" ref="G7:G70" si="0">+$C$407/C7</f>
        <v>4593.5118728769685</v>
      </c>
    </row>
    <row r="8" spans="1:7" ht="18" hidden="1" customHeight="1">
      <c r="A8" s="318">
        <v>1993</v>
      </c>
      <c r="B8" s="319" t="s">
        <v>57</v>
      </c>
      <c r="C8" s="320">
        <f>+C7*(1+D8/100)</f>
        <v>127.61025912036614</v>
      </c>
      <c r="D8" s="321">
        <f>(753.388/590.382-1)*100</f>
        <v>27.610259120366145</v>
      </c>
      <c r="E8" s="322"/>
      <c r="F8" s="323"/>
      <c r="G8" s="324">
        <f t="shared" si="0"/>
        <v>3599.6415214110798</v>
      </c>
    </row>
    <row r="9" spans="1:7" ht="18" hidden="1" customHeight="1">
      <c r="A9" s="318">
        <v>1993</v>
      </c>
      <c r="B9" s="319" t="s">
        <v>58</v>
      </c>
      <c r="C9" s="320">
        <f t="shared" ref="C9:C72" si="1">+C8*(1+D9/100)</f>
        <v>161.83064434711443</v>
      </c>
      <c r="D9" s="321">
        <f>+(590.382/465.541-1)*100</f>
        <v>26.816327670387775</v>
      </c>
      <c r="E9" s="322"/>
      <c r="F9" s="323"/>
      <c r="G9" s="324">
        <f t="shared" si="0"/>
        <v>2838.4685060168426</v>
      </c>
    </row>
    <row r="10" spans="1:7" ht="18" hidden="1" customHeight="1">
      <c r="A10" s="318">
        <v>1993</v>
      </c>
      <c r="B10" s="319" t="s">
        <v>59</v>
      </c>
      <c r="C10" s="320">
        <f t="shared" si="1"/>
        <v>204.61824265600555</v>
      </c>
      <c r="D10" s="321">
        <f>100*(465.541/368.192-1)</f>
        <v>26.439737962802013</v>
      </c>
      <c r="E10" s="322"/>
      <c r="F10" s="323"/>
      <c r="G10" s="324">
        <f t="shared" si="0"/>
        <v>2244.9180548380341</v>
      </c>
    </row>
    <row r="11" spans="1:7" ht="18" hidden="1" customHeight="1">
      <c r="A11" s="318">
        <v>1993</v>
      </c>
      <c r="B11" s="319" t="s">
        <v>60</v>
      </c>
      <c r="C11" s="320">
        <f t="shared" si="1"/>
        <v>263.67406650404058</v>
      </c>
      <c r="D11" s="321">
        <f>100*(368.192/285.727-1)</f>
        <v>28.861465664777942</v>
      </c>
      <c r="E11" s="322"/>
      <c r="F11" s="323"/>
      <c r="G11" s="324">
        <f t="shared" si="0"/>
        <v>1742.1174307282802</v>
      </c>
    </row>
    <row r="12" spans="1:7" ht="18" hidden="1" customHeight="1">
      <c r="A12" s="318">
        <v>1993</v>
      </c>
      <c r="B12" s="319" t="s">
        <v>61</v>
      </c>
      <c r="C12" s="320">
        <f t="shared" si="1"/>
        <v>340.99058119588483</v>
      </c>
      <c r="D12" s="321">
        <f>100*(285.727/220.941-1)</f>
        <v>29.322760374941701</v>
      </c>
      <c r="E12" s="322"/>
      <c r="F12" s="323"/>
      <c r="G12" s="324">
        <f t="shared" si="0"/>
        <v>1347.1081391066894</v>
      </c>
    </row>
    <row r="13" spans="1:7" ht="18" hidden="1" customHeight="1">
      <c r="A13" s="318">
        <v>1993</v>
      </c>
      <c r="B13" s="319" t="s">
        <v>62</v>
      </c>
      <c r="C13" s="320">
        <f t="shared" si="1"/>
        <v>445.77852726250694</v>
      </c>
      <c r="D13" s="321">
        <f>100*(220.941/169.005-1)</f>
        <v>30.730451761782195</v>
      </c>
      <c r="E13" s="322"/>
      <c r="F13" s="323"/>
      <c r="G13" s="324">
        <f t="shared" si="0"/>
        <v>1030.4470924352024</v>
      </c>
    </row>
    <row r="14" spans="1:7" ht="18" hidden="1" customHeight="1">
      <c r="A14" s="318">
        <v>1993</v>
      </c>
      <c r="B14" s="319" t="s">
        <v>63</v>
      </c>
      <c r="C14" s="320">
        <f t="shared" si="1"/>
        <v>584.06698193658406</v>
      </c>
      <c r="D14" s="321">
        <f>100*(169.005/128.99-1)</f>
        <v>31.021784634467785</v>
      </c>
      <c r="E14" s="322"/>
      <c r="F14" s="323"/>
      <c r="G14" s="324">
        <f t="shared" si="0"/>
        <v>786.47004794660972</v>
      </c>
    </row>
    <row r="15" spans="1:7" ht="18" hidden="1" customHeight="1">
      <c r="A15" s="318">
        <v>1993</v>
      </c>
      <c r="B15" s="319" t="s">
        <v>64</v>
      </c>
      <c r="C15" s="320">
        <f t="shared" si="1"/>
        <v>782.6879223740732</v>
      </c>
      <c r="D15" s="321">
        <f>100*(128.99/96.2565-1)</f>
        <v>34.006534623635808</v>
      </c>
      <c r="E15" s="322"/>
      <c r="F15" s="323"/>
      <c r="G15" s="324">
        <f t="shared" si="0"/>
        <v>586.88932607312847</v>
      </c>
    </row>
    <row r="16" spans="1:7" ht="18" hidden="1" customHeight="1">
      <c r="A16" s="318">
        <v>1993</v>
      </c>
      <c r="B16" s="319" t="s">
        <v>65</v>
      </c>
      <c r="C16" s="320">
        <f t="shared" si="1"/>
        <v>1084.8528571078864</v>
      </c>
      <c r="D16" s="321">
        <f>100*(96.2565/69.4461-1)</f>
        <v>38.606055631633751</v>
      </c>
      <c r="E16" s="322"/>
      <c r="F16" s="323"/>
      <c r="G16" s="324">
        <f t="shared" si="0"/>
        <v>423.4225722668815</v>
      </c>
    </row>
    <row r="17" spans="1:7" ht="18" hidden="1" customHeight="1">
      <c r="A17" s="318">
        <v>1993</v>
      </c>
      <c r="B17" s="319" t="s">
        <v>66</v>
      </c>
      <c r="C17" s="320">
        <f t="shared" si="1"/>
        <v>1452.9724308843522</v>
      </c>
      <c r="D17" s="321">
        <f>100*(69.4461/51.8515-1)</f>
        <v>33.932673114567557</v>
      </c>
      <c r="E17" s="322"/>
      <c r="F17" s="323"/>
      <c r="G17" s="324">
        <f t="shared" si="0"/>
        <v>316.14583836811863</v>
      </c>
    </row>
    <row r="18" spans="1:7" ht="18" hidden="1" customHeight="1">
      <c r="A18" s="318">
        <v>1993</v>
      </c>
      <c r="B18" s="319" t="s">
        <v>55</v>
      </c>
      <c r="C18" s="320">
        <f t="shared" si="1"/>
        <v>1988.2665596951308</v>
      </c>
      <c r="D18" s="321">
        <f>100*(51.8515/37.8917-1)</f>
        <v>36.84131353304285</v>
      </c>
      <c r="E18" s="322"/>
      <c r="F18" s="323"/>
      <c r="G18" s="324">
        <f t="shared" si="0"/>
        <v>231.03098779578684</v>
      </c>
    </row>
    <row r="19" spans="1:7" ht="18" hidden="1" customHeight="1">
      <c r="A19" s="318">
        <v>1994</v>
      </c>
      <c r="B19" s="319" t="s">
        <v>56</v>
      </c>
      <c r="C19" s="320">
        <f>+C18*(1+D19/100)</f>
        <v>2733.5590170060991</v>
      </c>
      <c r="D19" s="321">
        <f>100*(37.8917/27.5607-1)</f>
        <v>37.484534137376777</v>
      </c>
      <c r="E19" s="322">
        <f>100*(C19/1988.27-1)</f>
        <v>37.484296247798298</v>
      </c>
      <c r="F19" s="323">
        <f t="shared" ref="F19:F82" si="2">100*(C19/C7-1)</f>
        <v>2633.5590170060991</v>
      </c>
      <c r="G19" s="324">
        <f t="shared" si="0"/>
        <v>168.04143771177704</v>
      </c>
    </row>
    <row r="20" spans="1:7" ht="18" hidden="1" customHeight="1">
      <c r="A20" s="318">
        <v>1994</v>
      </c>
      <c r="B20" s="319" t="s">
        <v>57</v>
      </c>
      <c r="C20" s="320">
        <f t="shared" si="1"/>
        <v>3885.686581944215</v>
      </c>
      <c r="D20" s="321">
        <f>100*(27.5607/19.3888-1)</f>
        <v>42.14752847004457</v>
      </c>
      <c r="E20" s="322">
        <f t="shared" ref="E20:E30" si="3">100*(C20/1988.27-1)</f>
        <v>95.43052915067949</v>
      </c>
      <c r="F20" s="323">
        <f t="shared" si="2"/>
        <v>2944.9641029872914</v>
      </c>
      <c r="G20" s="324">
        <f t="shared" si="0"/>
        <v>118.21622192129018</v>
      </c>
    </row>
    <row r="21" spans="1:7" ht="18" hidden="1" customHeight="1">
      <c r="A21" s="318">
        <v>1994</v>
      </c>
      <c r="B21" s="319" t="s">
        <v>58</v>
      </c>
      <c r="C21" s="320">
        <f t="shared" si="1"/>
        <v>5461.6683944585002</v>
      </c>
      <c r="D21" s="321">
        <f>100*(19.3888/13.7941-1)</f>
        <v>40.558644637924914</v>
      </c>
      <c r="E21" s="322">
        <f t="shared" si="3"/>
        <v>174.69450298291983</v>
      </c>
      <c r="F21" s="323">
        <f t="shared" si="2"/>
        <v>3274.9284114222746</v>
      </c>
      <c r="G21" s="324">
        <f t="shared" si="0"/>
        <v>84.104554526554963</v>
      </c>
    </row>
    <row r="22" spans="1:7" ht="18" hidden="1" customHeight="1">
      <c r="A22" s="318">
        <v>1994</v>
      </c>
      <c r="B22" s="319" t="s">
        <v>59</v>
      </c>
      <c r="C22" s="320">
        <f t="shared" si="1"/>
        <v>7786.0788810356244</v>
      </c>
      <c r="D22" s="321">
        <f>100*(13.7941/9.67609-1)</f>
        <v>42.558616135236434</v>
      </c>
      <c r="E22" s="322">
        <f t="shared" si="3"/>
        <v>291.60068205201628</v>
      </c>
      <c r="F22" s="323">
        <f t="shared" si="2"/>
        <v>3705.1733706486816</v>
      </c>
      <c r="G22" s="324">
        <f t="shared" si="0"/>
        <v>58.996472333015802</v>
      </c>
    </row>
    <row r="23" spans="1:7" ht="18" hidden="1" customHeight="1">
      <c r="A23" s="318">
        <v>1994</v>
      </c>
      <c r="B23" s="319" t="s">
        <v>60</v>
      </c>
      <c r="C23" s="320">
        <f t="shared" si="1"/>
        <v>11422.16912478168</v>
      </c>
      <c r="D23" s="321">
        <f>100*(9.67609/6.59584-1)</f>
        <v>46.699889627401525</v>
      </c>
      <c r="E23" s="322">
        <f t="shared" si="3"/>
        <v>474.47776835045943</v>
      </c>
      <c r="F23" s="323">
        <f t="shared" si="2"/>
        <v>4231.9273966621386</v>
      </c>
      <c r="G23" s="324">
        <f t="shared" si="0"/>
        <v>40.215757818808939</v>
      </c>
    </row>
    <row r="24" spans="1:7" ht="18" hidden="1" customHeight="1">
      <c r="A24" s="318">
        <v>1994</v>
      </c>
      <c r="B24" s="319" t="s">
        <v>61</v>
      </c>
      <c r="C24" s="320">
        <f t="shared" si="1"/>
        <v>16810.355022324165</v>
      </c>
      <c r="D24" s="321">
        <f>100*(6.59584/4.48169-1)</f>
        <v>47.173053022408951</v>
      </c>
      <c r="E24" s="322">
        <f t="shared" si="3"/>
        <v>745.47647061637326</v>
      </c>
      <c r="F24" s="323">
        <f t="shared" si="2"/>
        <v>4829.8590487070724</v>
      </c>
      <c r="G24" s="324">
        <f t="shared" si="0"/>
        <v>27.325489954119238</v>
      </c>
    </row>
    <row r="25" spans="1:7" ht="18" hidden="1" customHeight="1">
      <c r="A25" s="318">
        <v>1994</v>
      </c>
      <c r="B25" s="319" t="s">
        <v>62</v>
      </c>
      <c r="C25" s="320">
        <f t="shared" si="1"/>
        <v>24813.762075246119</v>
      </c>
      <c r="D25" s="321">
        <f>100*(4.48169/3.03617-1)</f>
        <v>47.609982313243357</v>
      </c>
      <c r="E25" s="322">
        <f t="shared" si="3"/>
        <v>1148.0076687394628</v>
      </c>
      <c r="F25" s="323">
        <f t="shared" si="2"/>
        <v>5466.3879163551464</v>
      </c>
      <c r="G25" s="324">
        <f t="shared" si="0"/>
        <v>18.511952596899427</v>
      </c>
    </row>
    <row r="26" spans="1:7" ht="18" hidden="1" customHeight="1">
      <c r="A26" s="318">
        <v>1994</v>
      </c>
      <c r="B26" s="319" t="s">
        <v>63</v>
      </c>
      <c r="C26" s="320">
        <f t="shared" si="1"/>
        <v>26190.86190653322</v>
      </c>
      <c r="D26" s="321">
        <f>100*(3.03617/2.87653-1)</f>
        <v>5.54974222413811</v>
      </c>
      <c r="E26" s="322">
        <f t="shared" si="3"/>
        <v>1217.2688772919785</v>
      </c>
      <c r="F26" s="323">
        <f t="shared" si="2"/>
        <v>4384.2223095187619</v>
      </c>
      <c r="G26" s="324">
        <f t="shared" si="0"/>
        <v>17.538605217612684</v>
      </c>
    </row>
    <row r="27" spans="1:7" ht="18" hidden="1" customHeight="1">
      <c r="A27" s="318">
        <v>1994</v>
      </c>
      <c r="B27" s="319" t="s">
        <v>64</v>
      </c>
      <c r="C27" s="320">
        <f t="shared" si="1"/>
        <v>26883.191493157774</v>
      </c>
      <c r="D27" s="321">
        <f>100*(2.87653/2.80245-1)</f>
        <v>2.6434013095684161</v>
      </c>
      <c r="E27" s="322">
        <f t="shared" si="3"/>
        <v>1252.0895800448518</v>
      </c>
      <c r="F27" s="323">
        <f t="shared" si="2"/>
        <v>3334.7267569448172</v>
      </c>
      <c r="G27" s="324">
        <f t="shared" si="0"/>
        <v>17.086929109760256</v>
      </c>
    </row>
    <row r="28" spans="1:7" ht="18" hidden="1" customHeight="1">
      <c r="A28" s="318">
        <v>1994</v>
      </c>
      <c r="B28" s="319" t="s">
        <v>65</v>
      </c>
      <c r="C28" s="320">
        <f t="shared" si="1"/>
        <v>27675.906809983175</v>
      </c>
      <c r="D28" s="321">
        <f>+(2.80245/2.72218-1)*100</f>
        <v>2.948739613104201</v>
      </c>
      <c r="E28" s="322">
        <f t="shared" si="3"/>
        <v>1291.9591810962884</v>
      </c>
      <c r="F28" s="323">
        <f t="shared" si="2"/>
        <v>2451.1207928939311</v>
      </c>
      <c r="G28" s="324">
        <f t="shared" si="0"/>
        <v>16.597511707258711</v>
      </c>
    </row>
    <row r="29" spans="1:7" ht="18" hidden="1" customHeight="1">
      <c r="A29" s="318">
        <v>1994</v>
      </c>
      <c r="B29" s="319" t="s">
        <v>66</v>
      </c>
      <c r="C29" s="320">
        <f t="shared" si="1"/>
        <v>28525.538601340351</v>
      </c>
      <c r="D29" s="321">
        <f>100*(2.72218/2.6411-1)</f>
        <v>3.0699329824694255</v>
      </c>
      <c r="E29" s="322">
        <f t="shared" si="3"/>
        <v>1334.6913950992748</v>
      </c>
      <c r="F29" s="323">
        <f t="shared" si="2"/>
        <v>1863.2539472189619</v>
      </c>
      <c r="G29" s="324">
        <f t="shared" si="0"/>
        <v>16.103155621612451</v>
      </c>
    </row>
    <row r="30" spans="1:7" ht="18" hidden="1" customHeight="1">
      <c r="A30" s="318">
        <v>1994</v>
      </c>
      <c r="B30" s="319" t="s">
        <v>55</v>
      </c>
      <c r="C30" s="320">
        <f t="shared" si="1"/>
        <v>29505.402621612837</v>
      </c>
      <c r="D30" s="321">
        <f>100*(2.6411/2.55339-1)</f>
        <v>3.4350412588754597</v>
      </c>
      <c r="E30" s="322">
        <f t="shared" si="3"/>
        <v>1383.9736364584708</v>
      </c>
      <c r="F30" s="323">
        <f t="shared" si="2"/>
        <v>1383.9762041834583</v>
      </c>
      <c r="G30" s="324">
        <f t="shared" si="0"/>
        <v>15.568375499855749</v>
      </c>
    </row>
    <row r="31" spans="1:7" ht="18" hidden="1" customHeight="1">
      <c r="A31" s="318">
        <v>1995</v>
      </c>
      <c r="B31" s="319" t="s">
        <v>56</v>
      </c>
      <c r="C31" s="320">
        <f>+C30*(1+D31/100)</f>
        <v>30516.982278481009</v>
      </c>
      <c r="D31" s="321">
        <f>100*(2.55339/2.46875-1)</f>
        <v>3.4284556962025148</v>
      </c>
      <c r="E31" s="322">
        <f>100*(C31/29505.4-1)</f>
        <v>3.428464886024285</v>
      </c>
      <c r="F31" s="323">
        <f t="shared" si="2"/>
        <v>1016.3827848101265</v>
      </c>
      <c r="G31" s="324">
        <f t="shared" si="0"/>
        <v>15.052313596931485</v>
      </c>
    </row>
    <row r="32" spans="1:7" ht="18" hidden="1" customHeight="1">
      <c r="A32" s="318">
        <v>1995</v>
      </c>
      <c r="B32" s="319" t="s">
        <v>57</v>
      </c>
      <c r="C32" s="320">
        <f t="shared" si="1"/>
        <v>31301.435883799768</v>
      </c>
      <c r="D32" s="321">
        <f>100*(2.46875/2.40688-1)</f>
        <v>2.5705477630791673</v>
      </c>
      <c r="E32" s="322">
        <f t="shared" ref="E32:E42" si="4">100*(C32/29505.4-1)</f>
        <v>6.087142976539095</v>
      </c>
      <c r="F32" s="323">
        <f t="shared" si="2"/>
        <v>705.55740211393993</v>
      </c>
      <c r="G32" s="324">
        <f t="shared" si="0"/>
        <v>14.675083564630869</v>
      </c>
    </row>
    <row r="33" spans="1:7" ht="18" hidden="1" customHeight="1">
      <c r="A33" s="318">
        <v>1995</v>
      </c>
      <c r="B33" s="319" t="s">
        <v>58</v>
      </c>
      <c r="C33" s="320">
        <f t="shared" si="1"/>
        <v>32041.338833836595</v>
      </c>
      <c r="D33" s="321">
        <f>100*(2.40688/2.3513-1)</f>
        <v>2.3637987496278656</v>
      </c>
      <c r="E33" s="322">
        <f t="shared" si="4"/>
        <v>8.5948295357344495</v>
      </c>
      <c r="F33" s="323">
        <f t="shared" si="2"/>
        <v>486.65844426487467</v>
      </c>
      <c r="G33" s="324">
        <f t="shared" si="0"/>
        <v>14.33620454094785</v>
      </c>
    </row>
    <row r="34" spans="1:7" ht="18" hidden="1" customHeight="1">
      <c r="A34" s="318">
        <v>1995</v>
      </c>
      <c r="B34" s="319" t="s">
        <v>59</v>
      </c>
      <c r="C34" s="320">
        <f t="shared" si="1"/>
        <v>32941.906935662999</v>
      </c>
      <c r="D34" s="321">
        <f>100*(2.3513/2.28702-1)</f>
        <v>2.810644419375441</v>
      </c>
      <c r="E34" s="322">
        <f t="shared" si="4"/>
        <v>11.647044051810852</v>
      </c>
      <c r="F34" s="323">
        <f t="shared" si="2"/>
        <v>323.08724890906069</v>
      </c>
      <c r="G34" s="324">
        <f t="shared" si="0"/>
        <v>13.944280402006783</v>
      </c>
    </row>
    <row r="35" spans="1:7" ht="18" hidden="1" customHeight="1">
      <c r="A35" s="318">
        <v>1995</v>
      </c>
      <c r="B35" s="319" t="s">
        <v>60</v>
      </c>
      <c r="C35" s="320">
        <f t="shared" si="1"/>
        <v>34254.251159407111</v>
      </c>
      <c r="D35" s="321">
        <f>100*(2.28702/2.1994-1)</f>
        <v>3.98381376739112</v>
      </c>
      <c r="E35" s="322">
        <f t="shared" si="4"/>
        <v>16.094854363632116</v>
      </c>
      <c r="F35" s="323">
        <f t="shared" si="2"/>
        <v>199.8926980085478</v>
      </c>
      <c r="G35" s="324">
        <f t="shared" si="0"/>
        <v>13.410049022821713</v>
      </c>
    </row>
    <row r="36" spans="1:7" ht="18" hidden="1" customHeight="1">
      <c r="A36" s="318">
        <v>1995</v>
      </c>
      <c r="B36" s="319" t="s">
        <v>61</v>
      </c>
      <c r="C36" s="320">
        <f t="shared" si="1"/>
        <v>35542.534722222219</v>
      </c>
      <c r="D36" s="321">
        <f>100*(2.1994/2.11968-1)</f>
        <v>3.7609450483091722</v>
      </c>
      <c r="E36" s="322">
        <f t="shared" si="4"/>
        <v>20.461118040162884</v>
      </c>
      <c r="F36" s="323">
        <f t="shared" si="2"/>
        <v>111.43238602053142</v>
      </c>
      <c r="G36" s="324">
        <f t="shared" si="0"/>
        <v>12.923985047146827</v>
      </c>
    </row>
    <row r="37" spans="1:7" ht="18" hidden="1" customHeight="1">
      <c r="A37" s="318">
        <v>1995</v>
      </c>
      <c r="B37" s="319" t="s">
        <v>62</v>
      </c>
      <c r="C37" s="320">
        <f t="shared" si="1"/>
        <v>36751.889088895718</v>
      </c>
      <c r="D37" s="321">
        <f>100*(2.11968/2.04993-1)</f>
        <v>3.4025552092022737</v>
      </c>
      <c r="E37" s="322">
        <f t="shared" si="4"/>
        <v>24.55987408710174</v>
      </c>
      <c r="F37" s="323">
        <f t="shared" si="2"/>
        <v>48.110911104281584</v>
      </c>
      <c r="G37" s="324">
        <f t="shared" si="0"/>
        <v>12.498709554129725</v>
      </c>
    </row>
    <row r="38" spans="1:7" ht="18" hidden="1" customHeight="1">
      <c r="A38" s="318">
        <v>1995</v>
      </c>
      <c r="B38" s="319" t="s">
        <v>63</v>
      </c>
      <c r="C38" s="320">
        <f t="shared" si="1"/>
        <v>38040.292855339561</v>
      </c>
      <c r="D38" s="321">
        <f>100*(2.04993/1.9805-1)</f>
        <v>3.5056803837414829</v>
      </c>
      <c r="E38" s="322">
        <f t="shared" si="4"/>
        <v>28.926545158986361</v>
      </c>
      <c r="F38" s="323">
        <f t="shared" si="2"/>
        <v>45.242615501136065</v>
      </c>
      <c r="G38" s="324">
        <f t="shared" si="0"/>
        <v>12.075385145811769</v>
      </c>
    </row>
    <row r="39" spans="1:7" ht="18" hidden="1" customHeight="1">
      <c r="A39" s="318">
        <v>1995</v>
      </c>
      <c r="B39" s="319" t="s">
        <v>64</v>
      </c>
      <c r="C39" s="320">
        <f t="shared" si="1"/>
        <v>39226.087273446734</v>
      </c>
      <c r="D39" s="321">
        <f>100*(1.9805/1.92063-1)</f>
        <v>3.1172063333385402</v>
      </c>
      <c r="E39" s="322">
        <f t="shared" si="4"/>
        <v>32.945451590036853</v>
      </c>
      <c r="F39" s="323">
        <f t="shared" si="2"/>
        <v>45.913059777260592</v>
      </c>
      <c r="G39" s="324">
        <f t="shared" si="0"/>
        <v>11.710349392880817</v>
      </c>
    </row>
    <row r="40" spans="1:7" ht="18" hidden="1" customHeight="1">
      <c r="A40" s="318">
        <v>1995</v>
      </c>
      <c r="B40" s="319" t="s">
        <v>65</v>
      </c>
      <c r="C40" s="320">
        <f t="shared" si="1"/>
        <v>40186.908908577861</v>
      </c>
      <c r="D40" s="321">
        <f>100*(1.92063/1.87471-1)</f>
        <v>2.4494455142395344</v>
      </c>
      <c r="E40" s="322">
        <f t="shared" si="4"/>
        <v>36.201877990394493</v>
      </c>
      <c r="F40" s="323">
        <f t="shared" si="2"/>
        <v>45.205391767260018</v>
      </c>
      <c r="G40" s="324">
        <f t="shared" si="0"/>
        <v>11.430368738553284</v>
      </c>
    </row>
    <row r="41" spans="1:7" ht="18" hidden="1" customHeight="1">
      <c r="A41" s="318">
        <v>1995</v>
      </c>
      <c r="B41" s="319" t="s">
        <v>66</v>
      </c>
      <c r="C41" s="320">
        <f t="shared" si="1"/>
        <v>41055.895543942068</v>
      </c>
      <c r="D41" s="321">
        <f>100*(1.87471/1.83503-1)</f>
        <v>2.16236246818855</v>
      </c>
      <c r="E41" s="322">
        <f t="shared" si="4"/>
        <v>39.14705628102675</v>
      </c>
      <c r="F41" s="323">
        <f t="shared" si="2"/>
        <v>43.926802286611142</v>
      </c>
      <c r="G41" s="324">
        <f t="shared" si="0"/>
        <v>11.188434235859109</v>
      </c>
    </row>
    <row r="42" spans="1:7" ht="18" hidden="1" customHeight="1">
      <c r="A42" s="318">
        <v>1995</v>
      </c>
      <c r="B42" s="319" t="s">
        <v>55</v>
      </c>
      <c r="C42" s="320">
        <f t="shared" si="1"/>
        <v>41854.656363020207</v>
      </c>
      <c r="D42" s="321">
        <f>100*(1.83503/1.80001-1)</f>
        <v>1.9455447469736153</v>
      </c>
      <c r="E42" s="322">
        <f t="shared" si="4"/>
        <v>41.854224525070684</v>
      </c>
      <c r="F42" s="323">
        <f t="shared" si="2"/>
        <v>41.854211921044879</v>
      </c>
      <c r="G42" s="324">
        <f t="shared" si="0"/>
        <v>10.974912404096258</v>
      </c>
    </row>
    <row r="43" spans="1:7" ht="18" hidden="1" customHeight="1">
      <c r="A43" s="318">
        <v>1996</v>
      </c>
      <c r="B43" s="319" t="s">
        <v>56</v>
      </c>
      <c r="C43" s="320">
        <f>+C42*(1+D43/100)</f>
        <v>42627.633149821486</v>
      </c>
      <c r="D43" s="321">
        <f>100*(1.80001/1.76737-1)</f>
        <v>1.8468119295902863</v>
      </c>
      <c r="E43" s="322">
        <f>100*(C43/41854.66-1)</f>
        <v>1.8468030795650625</v>
      </c>
      <c r="F43" s="323">
        <f t="shared" si="2"/>
        <v>39.684955612011088</v>
      </c>
      <c r="G43" s="324">
        <f t="shared" si="0"/>
        <v>10.77590176478331</v>
      </c>
    </row>
    <row r="44" spans="1:7" ht="18" hidden="1" customHeight="1">
      <c r="A44" s="318">
        <v>1996</v>
      </c>
      <c r="B44" s="319" t="s">
        <v>57</v>
      </c>
      <c r="C44" s="320">
        <f t="shared" si="1"/>
        <v>43377.436924954804</v>
      </c>
      <c r="D44" s="321">
        <f>100*(1.76737/1.73682-1)</f>
        <v>1.7589617807256985</v>
      </c>
      <c r="E44" s="322">
        <f t="shared" ref="E44:E54" si="5">100*(C44/41854.66-1)</f>
        <v>3.6382494206255611</v>
      </c>
      <c r="F44" s="323">
        <f t="shared" si="2"/>
        <v>38.579703135615695</v>
      </c>
      <c r="G44" s="324">
        <f t="shared" si="0"/>
        <v>10.589634147411662</v>
      </c>
    </row>
    <row r="45" spans="1:7" ht="18" hidden="1" customHeight="1">
      <c r="A45" s="318">
        <v>1996</v>
      </c>
      <c r="B45" s="319" t="s">
        <v>58</v>
      </c>
      <c r="C45" s="320">
        <f t="shared" si="1"/>
        <v>44013.764013764012</v>
      </c>
      <c r="D45" s="321">
        <f>100*(1.73682/1.71171-1)</f>
        <v>1.4669540985330354</v>
      </c>
      <c r="E45" s="322">
        <f t="shared" si="5"/>
        <v>5.158574968149332</v>
      </c>
      <c r="F45" s="323">
        <f t="shared" si="2"/>
        <v>37.365558418190027</v>
      </c>
      <c r="G45" s="324">
        <f t="shared" si="0"/>
        <v>10.436534969925505</v>
      </c>
    </row>
    <row r="46" spans="1:7" ht="18" hidden="1" customHeight="1">
      <c r="A46" s="318">
        <v>1996</v>
      </c>
      <c r="B46" s="319" t="s">
        <v>59</v>
      </c>
      <c r="C46" s="320">
        <f t="shared" si="1"/>
        <v>44593.948290557812</v>
      </c>
      <c r="D46" s="321">
        <f>100*(1.71171/1.68944-1)</f>
        <v>1.3181882754048635</v>
      </c>
      <c r="E46" s="322">
        <f t="shared" si="5"/>
        <v>6.5447629739622926</v>
      </c>
      <c r="F46" s="323">
        <f t="shared" si="2"/>
        <v>35.371484042049438</v>
      </c>
      <c r="G46" s="324">
        <f t="shared" si="0"/>
        <v>10.300751669144274</v>
      </c>
    </row>
    <row r="47" spans="1:7" ht="18" hidden="1" customHeight="1">
      <c r="A47" s="318">
        <v>1996</v>
      </c>
      <c r="B47" s="319" t="s">
        <v>60</v>
      </c>
      <c r="C47" s="320">
        <f t="shared" si="1"/>
        <v>45112.243492631867</v>
      </c>
      <c r="D47" s="321">
        <f>100*(1.68944/1.67003-1)</f>
        <v>1.162254570277188</v>
      </c>
      <c r="E47" s="322">
        <f t="shared" si="5"/>
        <v>7.7830843510181769</v>
      </c>
      <c r="F47" s="323">
        <f t="shared" si="2"/>
        <v>31.698232965874862</v>
      </c>
      <c r="G47" s="324">
        <f t="shared" si="0"/>
        <v>10.182406187861666</v>
      </c>
    </row>
    <row r="48" spans="1:7" ht="18" hidden="1" customHeight="1">
      <c r="A48" s="318">
        <v>1996</v>
      </c>
      <c r="B48" s="319" t="s">
        <v>61</v>
      </c>
      <c r="C48" s="320">
        <f t="shared" si="1"/>
        <v>45604.876542836217</v>
      </c>
      <c r="D48" s="321">
        <f>100*(1.67003/1.65199-1)</f>
        <v>1.0920162954981549</v>
      </c>
      <c r="E48" s="322">
        <f t="shared" si="5"/>
        <v>8.9600931959218144</v>
      </c>
      <c r="F48" s="323">
        <f t="shared" si="2"/>
        <v>28.310704059951952</v>
      </c>
      <c r="G48" s="324">
        <f t="shared" si="0"/>
        <v>10.072413787947278</v>
      </c>
    </row>
    <row r="49" spans="1:7" ht="18" hidden="1" customHeight="1">
      <c r="A49" s="318">
        <v>1996</v>
      </c>
      <c r="B49" s="319" t="s">
        <v>62</v>
      </c>
      <c r="C49" s="320">
        <f t="shared" si="1"/>
        <v>46112.338644028379</v>
      </c>
      <c r="D49" s="321">
        <f>100*(1.65199/1.63381-1)</f>
        <v>1.1127364871068357</v>
      </c>
      <c r="E49" s="322">
        <f t="shared" si="5"/>
        <v>10.172531909298455</v>
      </c>
      <c r="F49" s="323">
        <f t="shared" si="2"/>
        <v>25.469301816000645</v>
      </c>
      <c r="G49" s="324">
        <f t="shared" si="0"/>
        <v>9.9615677884770122</v>
      </c>
    </row>
    <row r="50" spans="1:7" ht="18" hidden="1" customHeight="1">
      <c r="A50" s="318">
        <v>1996</v>
      </c>
      <c r="B50" s="319" t="s">
        <v>63</v>
      </c>
      <c r="C50" s="320">
        <f t="shared" si="1"/>
        <v>46614.198562076948</v>
      </c>
      <c r="D50" s="321">
        <f>100*(1.63381/1.61622-1)</f>
        <v>1.0883419336476408</v>
      </c>
      <c r="E50" s="322">
        <f t="shared" si="5"/>
        <v>11.371585773428672</v>
      </c>
      <c r="F50" s="323">
        <f t="shared" si="2"/>
        <v>22.539010778235635</v>
      </c>
      <c r="G50" s="324">
        <f t="shared" si="0"/>
        <v>9.8543191014208009</v>
      </c>
    </row>
    <row r="51" spans="1:7" ht="18" hidden="1" customHeight="1">
      <c r="A51" s="318">
        <v>1996</v>
      </c>
      <c r="B51" s="319" t="s">
        <v>64</v>
      </c>
      <c r="C51" s="320">
        <f t="shared" si="1"/>
        <v>47140.96210642239</v>
      </c>
      <c r="D51" s="321">
        <f>100*(1.61622/1.59816-1)</f>
        <v>1.1300495569905422</v>
      </c>
      <c r="E51" s="322">
        <f t="shared" si="5"/>
        <v>12.630139885074643</v>
      </c>
      <c r="F51" s="323">
        <f t="shared" si="2"/>
        <v>20.177579216098529</v>
      </c>
      <c r="G51" s="324">
        <f t="shared" si="0"/>
        <v>9.7442047587127156</v>
      </c>
    </row>
    <row r="52" spans="1:7" ht="18" hidden="1" customHeight="1">
      <c r="A52" s="318">
        <v>1996</v>
      </c>
      <c r="B52" s="319" t="s">
        <v>65</v>
      </c>
      <c r="C52" s="320">
        <f t="shared" si="1"/>
        <v>47690.330748536166</v>
      </c>
      <c r="D52" s="321">
        <f>100*(1.59816/1.57975-1)</f>
        <v>1.165374268080388</v>
      </c>
      <c r="E52" s="322">
        <f t="shared" si="5"/>
        <v>13.942702553398266</v>
      </c>
      <c r="F52" s="323">
        <f t="shared" si="2"/>
        <v>18.671308751384718</v>
      </c>
      <c r="G52" s="324">
        <f t="shared" si="0"/>
        <v>9.6319564171149405</v>
      </c>
    </row>
    <row r="53" spans="1:7" ht="18" hidden="1" customHeight="1">
      <c r="A53" s="318">
        <v>1996</v>
      </c>
      <c r="B53" s="319" t="s">
        <v>66</v>
      </c>
      <c r="C53" s="320">
        <f t="shared" si="1"/>
        <v>48284.198113207553</v>
      </c>
      <c r="D53" s="321">
        <f>100*(1.57975/1.56032-1)</f>
        <v>1.2452573831009062</v>
      </c>
      <c r="E53" s="322">
        <f t="shared" si="5"/>
        <v>15.361582469449164</v>
      </c>
      <c r="F53" s="323">
        <f t="shared" si="2"/>
        <v>17.606003896636579</v>
      </c>
      <c r="G53" s="324">
        <f t="shared" si="0"/>
        <v>9.513488993038635</v>
      </c>
    </row>
    <row r="54" spans="1:7" ht="18" hidden="1" customHeight="1">
      <c r="A54" s="318">
        <v>1996</v>
      </c>
      <c r="B54" s="319" t="s">
        <v>55</v>
      </c>
      <c r="C54" s="320">
        <f t="shared" si="1"/>
        <v>48921.298701298707</v>
      </c>
      <c r="D54" s="321">
        <f>100*(1.56032/1.54-1)</f>
        <v>1.3194805194805204</v>
      </c>
      <c r="E54" s="322">
        <f t="shared" si="5"/>
        <v>16.883756077097999</v>
      </c>
      <c r="F54" s="323">
        <f t="shared" si="2"/>
        <v>16.883766233766238</v>
      </c>
      <c r="G54" s="324">
        <f t="shared" si="0"/>
        <v>9.3895951146428285</v>
      </c>
    </row>
    <row r="55" spans="1:7" ht="18" hidden="1" customHeight="1">
      <c r="A55" s="318">
        <v>1997</v>
      </c>
      <c r="B55" s="319" t="s">
        <v>56</v>
      </c>
      <c r="C55" s="320">
        <f>+C54*(1+D55/100)</f>
        <v>49594.365084589568</v>
      </c>
      <c r="D55" s="321">
        <f>100*(1.54/1.5191-1)</f>
        <v>1.3758146270818283</v>
      </c>
      <c r="E55" s="322">
        <f>100*(C55/48921.3-1)</f>
        <v>1.3758119358838972</v>
      </c>
      <c r="F55" s="323">
        <f t="shared" si="2"/>
        <v>16.343229543808846</v>
      </c>
      <c r="G55" s="324">
        <f t="shared" si="0"/>
        <v>9.2621648952298177</v>
      </c>
    </row>
    <row r="56" spans="1:7" ht="18" hidden="1" customHeight="1">
      <c r="A56" s="318">
        <v>1997</v>
      </c>
      <c r="B56" s="319" t="s">
        <v>57</v>
      </c>
      <c r="C56" s="320">
        <f t="shared" si="1"/>
        <v>50212.811335719394</v>
      </c>
      <c r="D56" s="321">
        <f>100*(1.5191/1.50039-1)</f>
        <v>1.2470091109644921</v>
      </c>
      <c r="E56" s="322">
        <f t="shared" ref="E56:E66" si="6">100*(C56/48921.3-1)</f>
        <v>2.6399775470385967</v>
      </c>
      <c r="F56" s="323">
        <f t="shared" si="2"/>
        <v>15.757902945234271</v>
      </c>
      <c r="G56" s="324">
        <f t="shared" si="0"/>
        <v>9.1480874117265909</v>
      </c>
    </row>
    <row r="57" spans="1:7" ht="18" hidden="1" customHeight="1">
      <c r="A57" s="318">
        <v>1997</v>
      </c>
      <c r="B57" s="319" t="s">
        <v>58</v>
      </c>
      <c r="C57" s="320">
        <f t="shared" si="1"/>
        <v>50798.192974175719</v>
      </c>
      <c r="D57" s="321">
        <f>100*(1.50039/1.4831-1)</f>
        <v>1.1658013620119867</v>
      </c>
      <c r="E57" s="322">
        <f t="shared" si="6"/>
        <v>3.8365558032507741</v>
      </c>
      <c r="F57" s="323">
        <f t="shared" si="2"/>
        <v>15.414334839188214</v>
      </c>
      <c r="G57" s="324">
        <f t="shared" si="0"/>
        <v>9.0426678665758295</v>
      </c>
    </row>
    <row r="58" spans="1:7" ht="18" hidden="1" customHeight="1">
      <c r="A58" s="318">
        <v>1997</v>
      </c>
      <c r="B58" s="319" t="s">
        <v>59</v>
      </c>
      <c r="C58" s="320">
        <f t="shared" si="1"/>
        <v>51367.132735486492</v>
      </c>
      <c r="D58" s="321">
        <v>1.1200000000000001</v>
      </c>
      <c r="E58" s="322">
        <f t="shared" si="6"/>
        <v>4.9995252282471814</v>
      </c>
      <c r="F58" s="323">
        <f t="shared" si="2"/>
        <v>15.188573123862215</v>
      </c>
      <c r="G58" s="324">
        <f t="shared" si="0"/>
        <v>8.9425117351422365</v>
      </c>
    </row>
    <row r="59" spans="1:7" ht="18" hidden="1" customHeight="1">
      <c r="A59" s="318">
        <v>1997</v>
      </c>
      <c r="B59" s="319" t="s">
        <v>60</v>
      </c>
      <c r="C59" s="320">
        <f t="shared" si="1"/>
        <v>51952.718048671042</v>
      </c>
      <c r="D59" s="321">
        <v>1.1399999999999999</v>
      </c>
      <c r="E59" s="322">
        <f t="shared" si="6"/>
        <v>6.1965198158492107</v>
      </c>
      <c r="F59" s="323">
        <f t="shared" si="2"/>
        <v>15.163232919587388</v>
      </c>
      <c r="G59" s="324">
        <f t="shared" si="0"/>
        <v>8.8417161707951699</v>
      </c>
    </row>
    <row r="60" spans="1:7" ht="18" hidden="1" customHeight="1">
      <c r="A60" s="318">
        <v>1997</v>
      </c>
      <c r="B60" s="319" t="s">
        <v>61</v>
      </c>
      <c r="C60" s="320">
        <f t="shared" si="1"/>
        <v>52555.369578035628</v>
      </c>
      <c r="D60" s="321">
        <v>1.1599999999999999</v>
      </c>
      <c r="E60" s="322">
        <f t="shared" si="6"/>
        <v>7.4283994457130742</v>
      </c>
      <c r="F60" s="323">
        <f t="shared" si="2"/>
        <v>15.240679423111425</v>
      </c>
      <c r="G60" s="324">
        <f t="shared" si="0"/>
        <v>8.7403283617983103</v>
      </c>
    </row>
    <row r="61" spans="1:7" ht="18" hidden="1" customHeight="1">
      <c r="A61" s="318">
        <v>1997</v>
      </c>
      <c r="B61" s="319" t="s">
        <v>62</v>
      </c>
      <c r="C61" s="320">
        <f t="shared" si="1"/>
        <v>53165.011865140841</v>
      </c>
      <c r="D61" s="321">
        <v>1.1599999999999999</v>
      </c>
      <c r="E61" s="322">
        <f t="shared" si="6"/>
        <v>8.6745688792833278</v>
      </c>
      <c r="F61" s="323">
        <f t="shared" si="2"/>
        <v>15.294546814371547</v>
      </c>
      <c r="G61" s="324">
        <f t="shared" si="0"/>
        <v>8.6401031650833424</v>
      </c>
    </row>
    <row r="62" spans="1:7" ht="18" hidden="1" customHeight="1">
      <c r="A62" s="318">
        <v>1997</v>
      </c>
      <c r="B62" s="319" t="s">
        <v>63</v>
      </c>
      <c r="C62" s="320">
        <f t="shared" si="1"/>
        <v>53765.77649921694</v>
      </c>
      <c r="D62" s="325">
        <v>1.1299999999999999</v>
      </c>
      <c r="E62" s="322">
        <f t="shared" si="6"/>
        <v>9.9025915076192526</v>
      </c>
      <c r="F62" s="323">
        <f t="shared" si="2"/>
        <v>15.342059196011082</v>
      </c>
      <c r="G62" s="324">
        <f t="shared" si="0"/>
        <v>8.5435609266126189</v>
      </c>
    </row>
    <row r="63" spans="1:7" ht="18" hidden="1" customHeight="1">
      <c r="A63" s="318">
        <v>1997</v>
      </c>
      <c r="B63" s="319" t="s">
        <v>64</v>
      </c>
      <c r="C63" s="320">
        <f t="shared" si="1"/>
        <v>54384.082928957941</v>
      </c>
      <c r="D63" s="325">
        <v>1.1499999999999999</v>
      </c>
      <c r="E63" s="322">
        <f t="shared" si="6"/>
        <v>11.166471309956894</v>
      </c>
      <c r="F63" s="323">
        <f t="shared" si="2"/>
        <v>15.364813314976367</v>
      </c>
      <c r="G63" s="324">
        <f t="shared" si="0"/>
        <v>8.4464270159294301</v>
      </c>
    </row>
    <row r="64" spans="1:7" ht="18" hidden="1" customHeight="1">
      <c r="A64" s="318">
        <v>1997</v>
      </c>
      <c r="B64" s="319" t="s">
        <v>65</v>
      </c>
      <c r="C64" s="320">
        <f t="shared" si="1"/>
        <v>55014.93829093386</v>
      </c>
      <c r="D64" s="325">
        <v>1.1599999999999999</v>
      </c>
      <c r="E64" s="322">
        <f t="shared" si="6"/>
        <v>12.456002377152409</v>
      </c>
      <c r="F64" s="323">
        <f t="shared" si="2"/>
        <v>15.358684721687577</v>
      </c>
      <c r="G64" s="324">
        <f t="shared" si="0"/>
        <v>8.3495719809504045</v>
      </c>
    </row>
    <row r="65" spans="1:7" ht="18" hidden="1" customHeight="1">
      <c r="A65" s="318">
        <v>1997</v>
      </c>
      <c r="B65" s="319" t="s">
        <v>66</v>
      </c>
      <c r="C65" s="320">
        <f t="shared" si="1"/>
        <v>56137.243032068909</v>
      </c>
      <c r="D65" s="325">
        <v>2.04</v>
      </c>
      <c r="E65" s="322">
        <f t="shared" si="6"/>
        <v>14.750104825646314</v>
      </c>
      <c r="F65" s="323">
        <f t="shared" si="2"/>
        <v>16.264213191340659</v>
      </c>
      <c r="G65" s="324">
        <f t="shared" si="0"/>
        <v>8.1826460024994159</v>
      </c>
    </row>
    <row r="66" spans="1:7" ht="18" hidden="1" customHeight="1">
      <c r="A66" s="318">
        <v>1997</v>
      </c>
      <c r="B66" s="319" t="s">
        <v>55</v>
      </c>
      <c r="C66" s="320">
        <f t="shared" si="1"/>
        <v>57158.940855252564</v>
      </c>
      <c r="D66" s="325">
        <v>1.82</v>
      </c>
      <c r="E66" s="322">
        <f t="shared" si="6"/>
        <v>16.838556733473077</v>
      </c>
      <c r="F66" s="323">
        <f t="shared" si="2"/>
        <v>16.838559835156563</v>
      </c>
      <c r="G66" s="324">
        <f t="shared" si="0"/>
        <v>8.0363838170294795</v>
      </c>
    </row>
    <row r="67" spans="1:7" ht="18" hidden="1" customHeight="1">
      <c r="A67" s="318">
        <v>1998</v>
      </c>
      <c r="B67" s="326" t="s">
        <v>56</v>
      </c>
      <c r="C67" s="320">
        <f>+C66*(1+D67/100)</f>
        <v>58102.063379364226</v>
      </c>
      <c r="D67" s="325">
        <v>1.65</v>
      </c>
      <c r="E67" s="327">
        <f>100*(C67/57158.95-1)</f>
        <v>1.6499837372174087</v>
      </c>
      <c r="F67" s="323">
        <f t="shared" si="2"/>
        <v>17.154566411453565</v>
      </c>
      <c r="G67" s="324">
        <f t="shared" si="0"/>
        <v>7.9059358750904876</v>
      </c>
    </row>
    <row r="68" spans="1:7" ht="18" hidden="1" customHeight="1">
      <c r="A68" s="318">
        <v>1998</v>
      </c>
      <c r="B68" s="326" t="s">
        <v>57</v>
      </c>
      <c r="C68" s="320">
        <f t="shared" si="1"/>
        <v>58654.03298146819</v>
      </c>
      <c r="D68" s="325">
        <v>0.95</v>
      </c>
      <c r="E68" s="327">
        <f t="shared" ref="E68:E78" si="7">100*(C68/57158.95-1)</f>
        <v>2.61565858272097</v>
      </c>
      <c r="F68" s="323">
        <f t="shared" si="2"/>
        <v>16.810892322501857</v>
      </c>
      <c r="G68" s="324">
        <f t="shared" si="0"/>
        <v>7.8315362804264357</v>
      </c>
    </row>
    <row r="69" spans="1:7" ht="18" hidden="1" customHeight="1">
      <c r="A69" s="318">
        <v>1998</v>
      </c>
      <c r="B69" s="326" t="s">
        <v>58</v>
      </c>
      <c r="C69" s="320">
        <f t="shared" si="1"/>
        <v>59475.189443208743</v>
      </c>
      <c r="D69" s="325">
        <v>1.4</v>
      </c>
      <c r="E69" s="327">
        <f t="shared" si="7"/>
        <v>4.0522778028790674</v>
      </c>
      <c r="F69" s="323">
        <f t="shared" si="2"/>
        <v>17.081309316345461</v>
      </c>
      <c r="G69" s="324">
        <f t="shared" si="0"/>
        <v>7.7234085605783394</v>
      </c>
    </row>
    <row r="70" spans="1:7" ht="18" hidden="1" customHeight="1">
      <c r="A70" s="318">
        <v>1998</v>
      </c>
      <c r="B70" s="326" t="s">
        <v>59</v>
      </c>
      <c r="C70" s="320">
        <f t="shared" si="1"/>
        <v>60052.098780807872</v>
      </c>
      <c r="D70" s="325">
        <v>0.97</v>
      </c>
      <c r="E70" s="327">
        <f t="shared" si="7"/>
        <v>5.0615848975670064</v>
      </c>
      <c r="F70" s="323">
        <f t="shared" si="2"/>
        <v>16.907632532351681</v>
      </c>
      <c r="G70" s="324">
        <f t="shared" si="0"/>
        <v>7.6492112118236495</v>
      </c>
    </row>
    <row r="71" spans="1:7" ht="18" hidden="1" customHeight="1">
      <c r="A71" s="318">
        <v>1998</v>
      </c>
      <c r="B71" s="326" t="s">
        <v>60</v>
      </c>
      <c r="C71" s="320">
        <f t="shared" si="1"/>
        <v>60628.598929103631</v>
      </c>
      <c r="D71" s="325">
        <v>0.96</v>
      </c>
      <c r="E71" s="327">
        <f t="shared" si="7"/>
        <v>6.0701761125836473</v>
      </c>
      <c r="F71" s="323">
        <f t="shared" si="2"/>
        <v>16.699570698697098</v>
      </c>
      <c r="G71" s="324">
        <f t="shared" ref="G71:G134" si="8">+$C$407/C71</f>
        <v>7.5764770323134396</v>
      </c>
    </row>
    <row r="72" spans="1:7" ht="18" hidden="1" customHeight="1">
      <c r="A72" s="318">
        <v>1998</v>
      </c>
      <c r="B72" s="326" t="s">
        <v>61</v>
      </c>
      <c r="C72" s="320">
        <f t="shared" si="1"/>
        <v>61228.822058501755</v>
      </c>
      <c r="D72" s="325">
        <v>0.99</v>
      </c>
      <c r="E72" s="327">
        <f t="shared" si="7"/>
        <v>7.120270856098232</v>
      </c>
      <c r="F72" s="323">
        <f t="shared" si="2"/>
        <v>16.503456354897384</v>
      </c>
      <c r="G72" s="324">
        <f t="shared" si="8"/>
        <v>7.5022052008252702</v>
      </c>
    </row>
    <row r="73" spans="1:7" ht="18" hidden="1" customHeight="1">
      <c r="A73" s="318">
        <v>1998</v>
      </c>
      <c r="B73" s="326" t="s">
        <v>62</v>
      </c>
      <c r="C73" s="320">
        <f t="shared" ref="C73:C99" si="9">+C72*(1+D73/100)</f>
        <v>61871.724690116018</v>
      </c>
      <c r="D73" s="325">
        <v>1.05</v>
      </c>
      <c r="E73" s="327">
        <f t="shared" si="7"/>
        <v>8.2450337000872445</v>
      </c>
      <c r="F73" s="323">
        <f t="shared" si="2"/>
        <v>16.376772090375447</v>
      </c>
      <c r="G73" s="324">
        <f t="shared" si="8"/>
        <v>7.4242505698419299</v>
      </c>
    </row>
    <row r="74" spans="1:7" ht="18" hidden="1" customHeight="1">
      <c r="A74" s="318">
        <v>1998</v>
      </c>
      <c r="B74" s="326" t="s">
        <v>63</v>
      </c>
      <c r="C74" s="320">
        <f t="shared" si="9"/>
        <v>62416.195867389033</v>
      </c>
      <c r="D74" s="325">
        <v>0.88</v>
      </c>
      <c r="E74" s="327">
        <f t="shared" si="7"/>
        <v>9.1975899966480146</v>
      </c>
      <c r="F74" s="323">
        <f t="shared" si="2"/>
        <v>16.089081068694465</v>
      </c>
      <c r="G74" s="324">
        <f t="shared" si="8"/>
        <v>7.3594870835070685</v>
      </c>
    </row>
    <row r="75" spans="1:7" ht="18" hidden="1" customHeight="1">
      <c r="A75" s="318">
        <v>1998</v>
      </c>
      <c r="B75" s="326" t="s">
        <v>64</v>
      </c>
      <c r="C75" s="320">
        <f t="shared" si="9"/>
        <v>63009.149728129232</v>
      </c>
      <c r="D75" s="325">
        <v>0.95</v>
      </c>
      <c r="E75" s="327">
        <f t="shared" si="7"/>
        <v>10.234967101616178</v>
      </c>
      <c r="F75" s="323">
        <f t="shared" si="2"/>
        <v>15.859542598959031</v>
      </c>
      <c r="G75" s="324">
        <f t="shared" si="8"/>
        <v>7.2902298994621777</v>
      </c>
    </row>
    <row r="76" spans="1:7" ht="18" hidden="1" customHeight="1">
      <c r="A76" s="318">
        <v>1998</v>
      </c>
      <c r="B76" s="326" t="s">
        <v>65</v>
      </c>
      <c r="C76" s="320">
        <f t="shared" si="9"/>
        <v>63884.976909350233</v>
      </c>
      <c r="D76" s="325">
        <v>1.39</v>
      </c>
      <c r="E76" s="327">
        <f t="shared" si="7"/>
        <v>11.767233144328637</v>
      </c>
      <c r="F76" s="323">
        <f t="shared" si="2"/>
        <v>16.122963860305006</v>
      </c>
      <c r="G76" s="324">
        <f t="shared" si="8"/>
        <v>7.190284938812681</v>
      </c>
    </row>
    <row r="77" spans="1:7" ht="18" hidden="1" customHeight="1">
      <c r="A77" s="318">
        <v>1998</v>
      </c>
      <c r="B77" s="326" t="s">
        <v>66</v>
      </c>
      <c r="C77" s="320">
        <f t="shared" si="9"/>
        <v>64600.488650734958</v>
      </c>
      <c r="D77" s="325">
        <v>1.1200000000000001</v>
      </c>
      <c r="E77" s="327">
        <f t="shared" si="7"/>
        <v>13.019026155545133</v>
      </c>
      <c r="F77" s="323">
        <f t="shared" si="2"/>
        <v>15.075990842356379</v>
      </c>
      <c r="G77" s="324">
        <f t="shared" si="8"/>
        <v>7.1106457068954514</v>
      </c>
    </row>
    <row r="78" spans="1:7" ht="18" hidden="1" customHeight="1">
      <c r="A78" s="318">
        <v>1998</v>
      </c>
      <c r="B78" s="326" t="s">
        <v>55</v>
      </c>
      <c r="C78" s="320">
        <f t="shared" si="9"/>
        <v>65407.994758869143</v>
      </c>
      <c r="D78" s="325">
        <v>1.25</v>
      </c>
      <c r="E78" s="327">
        <f t="shared" si="7"/>
        <v>14.431763982489443</v>
      </c>
      <c r="F78" s="323">
        <f t="shared" si="2"/>
        <v>14.431782290204097</v>
      </c>
      <c r="G78" s="324">
        <f t="shared" si="8"/>
        <v>7.0228599574276069</v>
      </c>
    </row>
    <row r="79" spans="1:7" ht="18" hidden="1" customHeight="1">
      <c r="A79" s="318">
        <v>1999</v>
      </c>
      <c r="B79" s="326" t="s">
        <v>56</v>
      </c>
      <c r="C79" s="320">
        <f>+C78*(1+D79/100)</f>
        <v>66075.156305409604</v>
      </c>
      <c r="D79" s="325">
        <v>1.02</v>
      </c>
      <c r="E79" s="327">
        <f>100*(C79/65407.99-1)</f>
        <v>1.0200073498812801</v>
      </c>
      <c r="F79" s="323">
        <f t="shared" si="2"/>
        <v>13.72256416090918</v>
      </c>
      <c r="G79" s="324">
        <f t="shared" si="8"/>
        <v>6.9519500667467895</v>
      </c>
    </row>
    <row r="80" spans="1:7" ht="18" hidden="1" customHeight="1">
      <c r="A80" s="318">
        <v>1999</v>
      </c>
      <c r="B80" s="326" t="s">
        <v>57</v>
      </c>
      <c r="C80" s="320">
        <f t="shared" si="9"/>
        <v>66953.955884271563</v>
      </c>
      <c r="D80" s="325">
        <v>1.33</v>
      </c>
      <c r="E80" s="327">
        <f t="shared" ref="E80:E90" si="10">100*(C80/65407.99-1)</f>
        <v>2.3635734476347148</v>
      </c>
      <c r="F80" s="323">
        <f t="shared" si="2"/>
        <v>14.150643154283603</v>
      </c>
      <c r="G80" s="324">
        <f t="shared" si="8"/>
        <v>6.8607027205632969</v>
      </c>
    </row>
    <row r="81" spans="1:7" ht="18" hidden="1" customHeight="1">
      <c r="A81" s="318">
        <v>1999</v>
      </c>
      <c r="B81" s="326" t="s">
        <v>58</v>
      </c>
      <c r="C81" s="320">
        <f t="shared" si="9"/>
        <v>68072.08694753889</v>
      </c>
      <c r="D81" s="325">
        <v>1.67</v>
      </c>
      <c r="E81" s="327">
        <f t="shared" si="10"/>
        <v>4.0730451242102061</v>
      </c>
      <c r="F81" s="323">
        <f t="shared" si="2"/>
        <v>14.454594570966584</v>
      </c>
      <c r="G81" s="324">
        <f t="shared" si="8"/>
        <v>6.7480109379003617</v>
      </c>
    </row>
    <row r="82" spans="1:7" ht="18" hidden="1" customHeight="1">
      <c r="A82" s="318">
        <v>1999</v>
      </c>
      <c r="B82" s="326" t="s">
        <v>59</v>
      </c>
      <c r="C82" s="320">
        <f t="shared" si="9"/>
        <v>68827.687112656582</v>
      </c>
      <c r="D82" s="325">
        <v>1.1100000000000001</v>
      </c>
      <c r="E82" s="327">
        <f t="shared" si="10"/>
        <v>5.2282559250889538</v>
      </c>
      <c r="F82" s="323">
        <f t="shared" si="2"/>
        <v>14.613291641779069</v>
      </c>
      <c r="G82" s="324">
        <f t="shared" si="8"/>
        <v>6.6739303114433399</v>
      </c>
    </row>
    <row r="83" spans="1:7" ht="18" hidden="1" customHeight="1">
      <c r="A83" s="318">
        <v>1999</v>
      </c>
      <c r="B83" s="326" t="s">
        <v>60</v>
      </c>
      <c r="C83" s="320">
        <f t="shared" si="9"/>
        <v>69591.674439607072</v>
      </c>
      <c r="D83" s="325">
        <v>1.1100000000000001</v>
      </c>
      <c r="E83" s="327">
        <f t="shared" si="10"/>
        <v>6.396289565857427</v>
      </c>
      <c r="F83" s="323">
        <f t="shared" ref="F83:F146" si="11">100*(C83/C71-1)</f>
        <v>14.783576841326095</v>
      </c>
      <c r="G83" s="324">
        <f t="shared" si="8"/>
        <v>6.6006629526687171</v>
      </c>
    </row>
    <row r="84" spans="1:7" ht="18" hidden="1" customHeight="1">
      <c r="A84" s="318">
        <v>1999</v>
      </c>
      <c r="B84" s="326" t="s">
        <v>61</v>
      </c>
      <c r="C84" s="320">
        <f t="shared" si="9"/>
        <v>70155.367002567888</v>
      </c>
      <c r="D84" s="325">
        <v>0.81</v>
      </c>
      <c r="E84" s="327">
        <f t="shared" si="10"/>
        <v>7.2580995113408875</v>
      </c>
      <c r="F84" s="323">
        <f t="shared" si="11"/>
        <v>14.578991794970619</v>
      </c>
      <c r="G84" s="324">
        <f t="shared" si="8"/>
        <v>6.5476271725708921</v>
      </c>
    </row>
    <row r="85" spans="1:7" ht="18" hidden="1" customHeight="1">
      <c r="A85" s="318">
        <v>1999</v>
      </c>
      <c r="B85" s="326" t="s">
        <v>62</v>
      </c>
      <c r="C85" s="320">
        <f t="shared" si="9"/>
        <v>70709.594401888171</v>
      </c>
      <c r="D85" s="325">
        <v>0.79</v>
      </c>
      <c r="E85" s="327">
        <f t="shared" si="10"/>
        <v>8.105438497480467</v>
      </c>
      <c r="F85" s="323">
        <f t="shared" si="11"/>
        <v>14.28418191999099</v>
      </c>
      <c r="G85" s="324">
        <f t="shared" si="8"/>
        <v>6.4963063523870348</v>
      </c>
    </row>
    <row r="86" spans="1:7" ht="18" hidden="1" customHeight="1">
      <c r="A86" s="318">
        <v>1999</v>
      </c>
      <c r="B86" s="326" t="s">
        <v>63</v>
      </c>
      <c r="C86" s="320">
        <f t="shared" si="9"/>
        <v>71275.271157103271</v>
      </c>
      <c r="D86" s="325">
        <v>0.8</v>
      </c>
      <c r="E86" s="327">
        <f t="shared" si="10"/>
        <v>8.9702820054603052</v>
      </c>
      <c r="F86" s="323">
        <f t="shared" si="11"/>
        <v>14.193552116723751</v>
      </c>
      <c r="G86" s="324">
        <f t="shared" si="8"/>
        <v>6.4447483654633295</v>
      </c>
    </row>
    <row r="87" spans="1:7" ht="18" hidden="1" customHeight="1">
      <c r="A87" s="318">
        <v>1999</v>
      </c>
      <c r="B87" s="326" t="s">
        <v>64</v>
      </c>
      <c r="C87" s="320">
        <f t="shared" si="9"/>
        <v>71824.090745012974</v>
      </c>
      <c r="D87" s="325">
        <v>0.77</v>
      </c>
      <c r="E87" s="327">
        <f t="shared" si="10"/>
        <v>9.8093531769023699</v>
      </c>
      <c r="F87" s="323">
        <f t="shared" si="11"/>
        <v>13.989938056485919</v>
      </c>
      <c r="G87" s="324">
        <f t="shared" si="8"/>
        <v>6.3955029924216813</v>
      </c>
    </row>
    <row r="88" spans="1:7" ht="18" hidden="1" customHeight="1">
      <c r="A88" s="318">
        <v>1999</v>
      </c>
      <c r="B88" s="326" t="s">
        <v>65</v>
      </c>
      <c r="C88" s="320">
        <f t="shared" si="9"/>
        <v>72348.406607451572</v>
      </c>
      <c r="D88" s="325">
        <v>0.73</v>
      </c>
      <c r="E88" s="327">
        <f t="shared" si="10"/>
        <v>10.610961455093747</v>
      </c>
      <c r="F88" s="323">
        <f t="shared" si="11"/>
        <v>13.247918536638981</v>
      </c>
      <c r="G88" s="324">
        <f t="shared" si="8"/>
        <v>6.3491541670025624</v>
      </c>
    </row>
    <row r="89" spans="1:7" ht="18" hidden="1" customHeight="1">
      <c r="A89" s="318">
        <v>1999</v>
      </c>
      <c r="B89" s="326" t="s">
        <v>66</v>
      </c>
      <c r="C89" s="320">
        <f t="shared" si="9"/>
        <v>72854.845453703732</v>
      </c>
      <c r="D89" s="325">
        <v>0.7</v>
      </c>
      <c r="E89" s="327">
        <f t="shared" si="10"/>
        <v>11.385238185279412</v>
      </c>
      <c r="F89" s="323">
        <f t="shared" si="11"/>
        <v>12.777545457273964</v>
      </c>
      <c r="G89" s="324">
        <f t="shared" si="8"/>
        <v>6.3050190337661993</v>
      </c>
    </row>
    <row r="90" spans="1:7" ht="18" hidden="1" customHeight="1">
      <c r="A90" s="318">
        <v>1999</v>
      </c>
      <c r="B90" s="326" t="s">
        <v>55</v>
      </c>
      <c r="C90" s="320">
        <f t="shared" si="9"/>
        <v>73438.631330324264</v>
      </c>
      <c r="D90" s="325">
        <v>0.80130000000000001</v>
      </c>
      <c r="E90" s="327">
        <f t="shared" si="10"/>
        <v>12.277768098858054</v>
      </c>
      <c r="F90" s="323">
        <f t="shared" si="11"/>
        <v>12.277759929899368</v>
      </c>
      <c r="G90" s="324">
        <f t="shared" si="8"/>
        <v>6.2548985318306398</v>
      </c>
    </row>
    <row r="91" spans="1:7" ht="18" hidden="1" customHeight="1">
      <c r="A91" s="318">
        <v>2000</v>
      </c>
      <c r="B91" s="328" t="s">
        <v>56</v>
      </c>
      <c r="C91" s="320">
        <f>+C90*(1+D91/100)</f>
        <v>73964.451930649389</v>
      </c>
      <c r="D91" s="325">
        <v>0.71599999999999997</v>
      </c>
      <c r="E91" s="327">
        <f t="shared" ref="E91:E96" si="12">100*(C91/73438.63-1)</f>
        <v>0.71600182444768734</v>
      </c>
      <c r="F91" s="323">
        <f t="shared" si="11"/>
        <v>11.939881895661731</v>
      </c>
      <c r="G91" s="324">
        <f t="shared" si="8"/>
        <v>6.2104318398572618</v>
      </c>
    </row>
    <row r="92" spans="1:7" ht="18" hidden="1" customHeight="1">
      <c r="A92" s="318">
        <v>2000</v>
      </c>
      <c r="B92" s="328" t="s">
        <v>57</v>
      </c>
      <c r="C92" s="320">
        <f t="shared" si="9"/>
        <v>74507.351007820354</v>
      </c>
      <c r="D92" s="325">
        <v>0.73399999999999999</v>
      </c>
      <c r="E92" s="327">
        <f t="shared" si="12"/>
        <v>1.4552572778391282</v>
      </c>
      <c r="F92" s="323">
        <f t="shared" si="11"/>
        <v>11.281476984876981</v>
      </c>
      <c r="G92" s="324">
        <f t="shared" si="8"/>
        <v>6.1651794228932255</v>
      </c>
    </row>
    <row r="93" spans="1:7" ht="18" hidden="1" customHeight="1">
      <c r="A93" s="318">
        <v>2000</v>
      </c>
      <c r="B93" s="328" t="s">
        <v>58</v>
      </c>
      <c r="C93" s="320">
        <f t="shared" si="9"/>
        <v>75047.752824680065</v>
      </c>
      <c r="D93" s="325">
        <v>0.72529999999999994</v>
      </c>
      <c r="E93" s="327">
        <f t="shared" si="12"/>
        <v>2.1911122588752718</v>
      </c>
      <c r="F93" s="323">
        <f t="shared" si="11"/>
        <v>10.247468808348881</v>
      </c>
      <c r="G93" s="324">
        <f t="shared" si="8"/>
        <v>6.1207853666290655</v>
      </c>
    </row>
    <row r="94" spans="1:7" ht="18" hidden="1" customHeight="1">
      <c r="A94" s="318">
        <v>2000</v>
      </c>
      <c r="B94" s="328" t="s">
        <v>59</v>
      </c>
      <c r="C94" s="320">
        <f t="shared" si="9"/>
        <v>75521.154049498145</v>
      </c>
      <c r="D94" s="325">
        <v>0.63080000000000003</v>
      </c>
      <c r="E94" s="327">
        <f t="shared" si="12"/>
        <v>2.8357337950042583</v>
      </c>
      <c r="F94" s="323">
        <f t="shared" si="11"/>
        <v>9.7249627550112905</v>
      </c>
      <c r="G94" s="324">
        <f t="shared" si="8"/>
        <v>6.0824174771829957</v>
      </c>
    </row>
    <row r="95" spans="1:7" ht="18" hidden="1" customHeight="1">
      <c r="A95" s="318">
        <v>2000</v>
      </c>
      <c r="B95" s="328" t="s">
        <v>60</v>
      </c>
      <c r="C95" s="320">
        <f t="shared" si="9"/>
        <v>76087.864789485582</v>
      </c>
      <c r="D95" s="325">
        <v>0.75039999999999996</v>
      </c>
      <c r="E95" s="327">
        <f t="shared" si="12"/>
        <v>3.6074131414019828</v>
      </c>
      <c r="F95" s="323">
        <f t="shared" si="11"/>
        <v>9.3347234452822789</v>
      </c>
      <c r="G95" s="324">
        <f t="shared" si="8"/>
        <v>6.0371149664745705</v>
      </c>
    </row>
    <row r="96" spans="1:7" ht="18" hidden="1" customHeight="1">
      <c r="A96" s="318">
        <v>2000</v>
      </c>
      <c r="B96" s="328" t="s">
        <v>61</v>
      </c>
      <c r="C96" s="320">
        <f t="shared" si="9"/>
        <v>76631.969110595193</v>
      </c>
      <c r="D96" s="325">
        <v>0.71509999999999996</v>
      </c>
      <c r="E96" s="327">
        <f t="shared" si="12"/>
        <v>4.3483097527761361</v>
      </c>
      <c r="F96" s="323">
        <f t="shared" si="11"/>
        <v>9.2317984849116907</v>
      </c>
      <c r="G96" s="324">
        <f t="shared" si="8"/>
        <v>5.9942500841230064</v>
      </c>
    </row>
    <row r="97" spans="1:7" ht="18" hidden="1" customHeight="1">
      <c r="A97" s="318">
        <v>2000</v>
      </c>
      <c r="B97" s="328" t="s">
        <v>62</v>
      </c>
      <c r="C97" s="320">
        <f t="shared" si="9"/>
        <v>77134.291668115155</v>
      </c>
      <c r="D97" s="325">
        <v>0.65549999999999997</v>
      </c>
      <c r="E97" s="327">
        <f>100*(C97/73438.63-1)</f>
        <v>5.0323129232056063</v>
      </c>
      <c r="F97" s="323">
        <f t="shared" si="11"/>
        <v>9.0860332612167092</v>
      </c>
      <c r="G97" s="324">
        <f t="shared" si="8"/>
        <v>5.9552136585909423</v>
      </c>
    </row>
    <row r="98" spans="1:7" ht="18" hidden="1" customHeight="1">
      <c r="A98" s="318">
        <v>2000</v>
      </c>
      <c r="B98" s="328" t="s">
        <v>63</v>
      </c>
      <c r="C98" s="320">
        <f t="shared" si="9"/>
        <v>77676.931410000339</v>
      </c>
      <c r="D98" s="325">
        <v>0.70350000000000001</v>
      </c>
      <c r="E98" s="327">
        <f>100*(C98/73438.63-1)</f>
        <v>5.7712152446203424</v>
      </c>
      <c r="F98" s="323">
        <f t="shared" si="11"/>
        <v>8.9816006996124678</v>
      </c>
      <c r="G98" s="324">
        <f t="shared" si="8"/>
        <v>5.9136114023752331</v>
      </c>
    </row>
    <row r="99" spans="1:7" ht="18" hidden="1" customHeight="1">
      <c r="A99" s="318">
        <v>2000</v>
      </c>
      <c r="B99" s="328" t="s">
        <v>64</v>
      </c>
      <c r="C99" s="320">
        <f t="shared" si="9"/>
        <v>78146.333106510967</v>
      </c>
      <c r="D99" s="325">
        <v>0.60429999999999995</v>
      </c>
      <c r="E99" s="327">
        <f>100*(C99/73438.63-1)</f>
        <v>6.4103906983435932</v>
      </c>
      <c r="F99" s="323">
        <f t="shared" si="11"/>
        <v>8.8023980476731101</v>
      </c>
      <c r="G99" s="324">
        <f t="shared" si="8"/>
        <v>5.8780901038775015</v>
      </c>
    </row>
    <row r="100" spans="1:7" ht="18" hidden="1" customHeight="1">
      <c r="A100" s="318">
        <v>2000</v>
      </c>
      <c r="B100" s="328" t="s">
        <v>65</v>
      </c>
      <c r="C100" s="320">
        <f>+C99*(1+D100/100)</f>
        <v>78640.452370743442</v>
      </c>
      <c r="D100" s="325">
        <v>0.63229999999999997</v>
      </c>
      <c r="E100" s="327">
        <f>100*(C100/73438.63-1)</f>
        <v>7.0832235987292158</v>
      </c>
      <c r="F100" s="323">
        <f t="shared" si="11"/>
        <v>8.6968684706925092</v>
      </c>
      <c r="G100" s="324">
        <f t="shared" si="8"/>
        <v>5.841156471508155</v>
      </c>
    </row>
    <row r="101" spans="1:7" ht="18" hidden="1" customHeight="1">
      <c r="A101" s="318">
        <v>2000</v>
      </c>
      <c r="B101" s="328" t="s">
        <v>66</v>
      </c>
      <c r="C101" s="320">
        <f>+C100*(1+D101/100)</f>
        <v>79128.259096799156</v>
      </c>
      <c r="D101" s="325">
        <v>0.62029999999999996</v>
      </c>
      <c r="E101" s="327">
        <f>100*(C101/C90-1)</f>
        <v>7.747458882891145</v>
      </c>
      <c r="F101" s="323">
        <f t="shared" si="11"/>
        <v>8.6108392709197688</v>
      </c>
      <c r="G101" s="324">
        <f t="shared" si="8"/>
        <v>5.8051471437753168</v>
      </c>
    </row>
    <row r="102" spans="1:7" ht="18" hidden="1" customHeight="1">
      <c r="A102" s="318">
        <v>2000</v>
      </c>
      <c r="B102" s="328" t="s">
        <v>55</v>
      </c>
      <c r="C102" s="320">
        <f>+C101*(1+D102/100)</f>
        <v>79602.712138343559</v>
      </c>
      <c r="D102" s="325">
        <v>0.59960000000000002</v>
      </c>
      <c r="E102" s="327">
        <f>100*(C102/C90-1)</f>
        <v>8.3935126463529528</v>
      </c>
      <c r="F102" s="323">
        <f t="shared" si="11"/>
        <v>8.3935126463529528</v>
      </c>
      <c r="G102" s="324">
        <f t="shared" si="8"/>
        <v>5.770546944297311</v>
      </c>
    </row>
    <row r="103" spans="1:7" ht="18" hidden="1" customHeight="1">
      <c r="A103" s="318">
        <v>2001</v>
      </c>
      <c r="B103" s="328" t="s">
        <v>56</v>
      </c>
      <c r="C103" s="320">
        <f>+C102*(1+D103/100)</f>
        <v>80110.259030937639</v>
      </c>
      <c r="D103" s="325">
        <v>0.63759999999999994</v>
      </c>
      <c r="E103" s="327">
        <f>100*(C103/C102-1)</f>
        <v>0.63759999999999373</v>
      </c>
      <c r="F103" s="323">
        <f t="shared" si="11"/>
        <v>8.3091362673121552</v>
      </c>
      <c r="G103" s="324">
        <f t="shared" si="8"/>
        <v>5.7339870429117052</v>
      </c>
    </row>
    <row r="104" spans="1:7" ht="18" hidden="1" customHeight="1">
      <c r="A104" s="318">
        <v>2001</v>
      </c>
      <c r="B104" s="328" t="s">
        <v>57</v>
      </c>
      <c r="C104" s="320">
        <f t="shared" ref="C104:C122" si="13">+C103*(1+D104/100)</f>
        <v>80540.451121933787</v>
      </c>
      <c r="D104" s="325">
        <v>0.53700000000000003</v>
      </c>
      <c r="E104" s="327">
        <f t="shared" ref="E104:E109" si="14">100*(C104/$C$102-1)</f>
        <v>1.1780239120000147</v>
      </c>
      <c r="F104" s="323">
        <f t="shared" si="11"/>
        <v>8.0973219856926626</v>
      </c>
      <c r="G104" s="324">
        <f t="shared" si="8"/>
        <v>5.7033599997132445</v>
      </c>
    </row>
    <row r="105" spans="1:7" ht="18" hidden="1" customHeight="1">
      <c r="A105" s="318">
        <v>2001</v>
      </c>
      <c r="B105" s="328" t="s">
        <v>58</v>
      </c>
      <c r="C105" s="320">
        <f t="shared" si="13"/>
        <v>81082.729979337775</v>
      </c>
      <c r="D105" s="325">
        <v>0.67330000000000001</v>
      </c>
      <c r="E105" s="327">
        <f>100*(C105/$C$102-1)</f>
        <v>1.8592555469995276</v>
      </c>
      <c r="F105" s="323">
        <f t="shared" si="11"/>
        <v>8.0415161380729128</v>
      </c>
      <c r="G105" s="324">
        <f t="shared" si="8"/>
        <v>5.6652160997138701</v>
      </c>
    </row>
    <row r="106" spans="1:7" ht="18" hidden="1" customHeight="1">
      <c r="A106" s="318">
        <v>2001</v>
      </c>
      <c r="B106" s="328" t="s">
        <v>59</v>
      </c>
      <c r="C106" s="320">
        <f t="shared" si="13"/>
        <v>81614.146191622349</v>
      </c>
      <c r="D106" s="325">
        <v>0.65539999999999998</v>
      </c>
      <c r="E106" s="327">
        <f t="shared" si="14"/>
        <v>2.5268411078545494</v>
      </c>
      <c r="F106" s="323">
        <f t="shared" si="11"/>
        <v>8.0679277466161778</v>
      </c>
      <c r="G106" s="324">
        <f t="shared" si="8"/>
        <v>5.6283280377544287</v>
      </c>
    </row>
    <row r="107" spans="1:7" ht="18" hidden="1" customHeight="1">
      <c r="A107" s="318">
        <v>2001</v>
      </c>
      <c r="B107" s="328" t="s">
        <v>60</v>
      </c>
      <c r="C107" s="320">
        <f t="shared" si="13"/>
        <v>82172.060494988284</v>
      </c>
      <c r="D107" s="325">
        <v>0.68359999999999999</v>
      </c>
      <c r="E107" s="327">
        <f t="shared" si="14"/>
        <v>3.2277145936678409</v>
      </c>
      <c r="F107" s="323">
        <f t="shared" si="11"/>
        <v>7.9962760452485071</v>
      </c>
      <c r="G107" s="324">
        <f t="shared" si="8"/>
        <v>5.5901140183251572</v>
      </c>
    </row>
    <row r="108" spans="1:7" ht="18" hidden="1" customHeight="1">
      <c r="A108" s="318">
        <v>2001</v>
      </c>
      <c r="B108" s="328" t="s">
        <v>61</v>
      </c>
      <c r="C108" s="320">
        <f t="shared" si="13"/>
        <v>82703.302866088372</v>
      </c>
      <c r="D108" s="325">
        <v>0.64649999999999996</v>
      </c>
      <c r="E108" s="327">
        <f t="shared" si="14"/>
        <v>3.8950817685158956</v>
      </c>
      <c r="F108" s="323">
        <f t="shared" si="11"/>
        <v>7.9227166233077462</v>
      </c>
      <c r="G108" s="324">
        <f t="shared" si="8"/>
        <v>5.5542060760435366</v>
      </c>
    </row>
    <row r="109" spans="1:7" ht="18" hidden="1" customHeight="1">
      <c r="A109" s="318">
        <v>2001</v>
      </c>
      <c r="B109" s="328" t="s">
        <v>62</v>
      </c>
      <c r="C109" s="320">
        <f t="shared" si="13"/>
        <v>83319.690582349329</v>
      </c>
      <c r="D109" s="325">
        <v>0.74529999999999996</v>
      </c>
      <c r="E109" s="327">
        <f t="shared" si="14"/>
        <v>4.6694118129366524</v>
      </c>
      <c r="F109" s="323">
        <f t="shared" si="11"/>
        <v>8.0190000847457412</v>
      </c>
      <c r="G109" s="324">
        <f t="shared" si="8"/>
        <v>5.5131168164108271</v>
      </c>
    </row>
    <row r="110" spans="1:7" ht="18" hidden="1" customHeight="1">
      <c r="A110" s="318">
        <v>2001</v>
      </c>
      <c r="B110" s="328" t="s">
        <v>63</v>
      </c>
      <c r="C110" s="320">
        <f t="shared" si="13"/>
        <v>84023.991926841933</v>
      </c>
      <c r="D110" s="325">
        <v>0.84530000000000005</v>
      </c>
      <c r="E110" s="327">
        <f>100*(C110/$C$102-1)</f>
        <v>5.5541823509914101</v>
      </c>
      <c r="F110" s="323">
        <f t="shared" si="11"/>
        <v>8.1711009969485779</v>
      </c>
      <c r="G110" s="324">
        <f t="shared" si="8"/>
        <v>5.4669050678721032</v>
      </c>
    </row>
    <row r="111" spans="1:7" ht="18" hidden="1" customHeight="1">
      <c r="A111" s="318">
        <v>2001</v>
      </c>
      <c r="B111" s="328" t="s">
        <v>64</v>
      </c>
      <c r="C111" s="320">
        <f t="shared" si="13"/>
        <v>84581.491113276526</v>
      </c>
      <c r="D111" s="325">
        <v>0.66349999999999998</v>
      </c>
      <c r="E111" s="327">
        <f>100*(C111/$C$102-1)</f>
        <v>6.2545343508902285</v>
      </c>
      <c r="F111" s="323">
        <f t="shared" si="11"/>
        <v>8.2347536358419404</v>
      </c>
      <c r="G111" s="324">
        <f t="shared" si="8"/>
        <v>5.4308712372131938</v>
      </c>
    </row>
    <row r="112" spans="1:7" ht="18" hidden="1" customHeight="1">
      <c r="A112" s="318">
        <v>2001</v>
      </c>
      <c r="B112" s="328" t="s">
        <v>65</v>
      </c>
      <c r="C112" s="320">
        <f t="shared" si="13"/>
        <v>85252.053174822577</v>
      </c>
      <c r="D112" s="325">
        <v>0.79279999999999995</v>
      </c>
      <c r="E112" s="327">
        <f>100*(C112/$C$102-1)</f>
        <v>7.0969202992240854</v>
      </c>
      <c r="F112" s="323">
        <f t="shared" si="11"/>
        <v>8.4073789058452206</v>
      </c>
      <c r="G112" s="324">
        <f t="shared" si="8"/>
        <v>5.388153952676376</v>
      </c>
    </row>
    <row r="113" spans="1:7" ht="18" hidden="1" customHeight="1">
      <c r="A113" s="318">
        <v>2001</v>
      </c>
      <c r="B113" s="328" t="s">
        <v>66</v>
      </c>
      <c r="C113" s="320">
        <f t="shared" si="13"/>
        <v>85843.531919749483</v>
      </c>
      <c r="D113" s="325">
        <v>0.69379999999999997</v>
      </c>
      <c r="E113" s="327">
        <f>100*(C113/$C$102-1)</f>
        <v>7.8399587322600883</v>
      </c>
      <c r="F113" s="323">
        <f t="shared" si="11"/>
        <v>8.4865671248187002</v>
      </c>
      <c r="G113" s="324">
        <f t="shared" si="8"/>
        <v>5.3510285168266334</v>
      </c>
    </row>
    <row r="114" spans="1:7" ht="18" hidden="1" customHeight="1">
      <c r="A114" s="318">
        <v>2001</v>
      </c>
      <c r="B114" s="328" t="s">
        <v>55</v>
      </c>
      <c r="C114" s="320">
        <f t="shared" si="13"/>
        <v>86443.835738464288</v>
      </c>
      <c r="D114" s="325">
        <v>0.69930000000000003</v>
      </c>
      <c r="E114" s="327">
        <f>100*(C114/$C$102-1)</f>
        <v>8.5940835636747703</v>
      </c>
      <c r="F114" s="323">
        <f t="shared" si="11"/>
        <v>8.5940835636747703</v>
      </c>
      <c r="G114" s="324">
        <f t="shared" si="8"/>
        <v>5.313868633472759</v>
      </c>
    </row>
    <row r="115" spans="1:7" ht="18" hidden="1" customHeight="1">
      <c r="A115" s="318">
        <v>2002</v>
      </c>
      <c r="B115" s="328" t="s">
        <v>56</v>
      </c>
      <c r="C115" s="320">
        <f>+C114*(1+D115/100)</f>
        <v>87101.15466541957</v>
      </c>
      <c r="D115" s="325">
        <v>0.76039999999999996</v>
      </c>
      <c r="E115" s="327">
        <f>100*(C115/$C$114-1)</f>
        <v>0.76039999999999441</v>
      </c>
      <c r="F115" s="323">
        <f t="shared" si="11"/>
        <v>8.7265922230786117</v>
      </c>
      <c r="G115" s="324">
        <f t="shared" si="8"/>
        <v>5.2737669098899556</v>
      </c>
    </row>
    <row r="116" spans="1:7" ht="18" hidden="1" customHeight="1">
      <c r="A116" s="318">
        <v>2002</v>
      </c>
      <c r="B116" s="328" t="s">
        <v>57</v>
      </c>
      <c r="C116" s="320">
        <f t="shared" si="13"/>
        <v>87639.178497787871</v>
      </c>
      <c r="D116" s="325">
        <v>0.61770000000000003</v>
      </c>
      <c r="E116" s="327">
        <f>100*(C116/$C$114-1)</f>
        <v>1.3827969907999949</v>
      </c>
      <c r="F116" s="323">
        <f t="shared" si="11"/>
        <v>8.8138659232327896</v>
      </c>
      <c r="G116" s="324">
        <f t="shared" si="8"/>
        <v>5.2413908386794326</v>
      </c>
    </row>
    <row r="117" spans="1:7" ht="18" hidden="1" customHeight="1">
      <c r="A117" s="318">
        <v>2002</v>
      </c>
      <c r="B117" s="328" t="s">
        <v>58</v>
      </c>
      <c r="C117" s="320">
        <f t="shared" si="13"/>
        <v>88232.232818682402</v>
      </c>
      <c r="D117" s="325">
        <v>0.67669999999999997</v>
      </c>
      <c r="E117" s="327">
        <f t="shared" ref="E117:E125" si="15">100*(C117/$C$114-1)</f>
        <v>2.0688543780367441</v>
      </c>
      <c r="F117" s="323">
        <f t="shared" si="11"/>
        <v>8.8175408513829332</v>
      </c>
      <c r="G117" s="324">
        <f t="shared" si="8"/>
        <v>5.2061607488916826</v>
      </c>
    </row>
    <row r="118" spans="1:7" ht="18" hidden="1" customHeight="1">
      <c r="A118" s="318">
        <v>2002</v>
      </c>
      <c r="B118" s="328" t="s">
        <v>59</v>
      </c>
      <c r="C118" s="320">
        <f t="shared" si="13"/>
        <v>88882.416142323273</v>
      </c>
      <c r="D118" s="325">
        <v>0.7369</v>
      </c>
      <c r="E118" s="327">
        <f t="shared" si="15"/>
        <v>2.8209997659484953</v>
      </c>
      <c r="F118" s="323">
        <f t="shared" si="11"/>
        <v>8.9056496819015951</v>
      </c>
      <c r="G118" s="324">
        <f t="shared" si="8"/>
        <v>5.1680771880926279</v>
      </c>
    </row>
    <row r="119" spans="1:7" ht="18" hidden="1" customHeight="1">
      <c r="A119" s="318">
        <v>2002</v>
      </c>
      <c r="B119" s="328" t="s">
        <v>60</v>
      </c>
      <c r="C119" s="320">
        <f t="shared" si="13"/>
        <v>89514.636768343611</v>
      </c>
      <c r="D119" s="325">
        <v>0.71130000000000004</v>
      </c>
      <c r="E119" s="327">
        <f t="shared" si="15"/>
        <v>3.552365537283686</v>
      </c>
      <c r="F119" s="323">
        <f t="shared" si="11"/>
        <v>8.9356117263277746</v>
      </c>
      <c r="G119" s="324">
        <f t="shared" si="8"/>
        <v>5.1315762859705201</v>
      </c>
    </row>
    <row r="120" spans="1:7" ht="18" hidden="1" customHeight="1">
      <c r="A120" s="318">
        <v>2002</v>
      </c>
      <c r="B120" s="328" t="s">
        <v>61</v>
      </c>
      <c r="C120" s="320">
        <f t="shared" si="13"/>
        <v>90104.538224647011</v>
      </c>
      <c r="D120" s="325">
        <v>0.65900000000000003</v>
      </c>
      <c r="E120" s="327">
        <f t="shared" si="15"/>
        <v>4.234775626174403</v>
      </c>
      <c r="F120" s="323">
        <f t="shared" si="11"/>
        <v>8.9491412096837095</v>
      </c>
      <c r="G120" s="324">
        <f t="shared" si="8"/>
        <v>5.0979805938570015</v>
      </c>
    </row>
    <row r="121" spans="1:7" ht="18" hidden="1" customHeight="1">
      <c r="A121" s="318">
        <v>2002</v>
      </c>
      <c r="B121" s="328" t="s">
        <v>62</v>
      </c>
      <c r="C121" s="320">
        <f t="shared" si="13"/>
        <v>90795.549928291817</v>
      </c>
      <c r="D121" s="329">
        <v>0.76690000000000003</v>
      </c>
      <c r="E121" s="327">
        <f t="shared" si="15"/>
        <v>5.0341521204515294</v>
      </c>
      <c r="F121" s="323">
        <f t="shared" si="11"/>
        <v>8.9725001301507401</v>
      </c>
      <c r="G121" s="324">
        <f t="shared" si="8"/>
        <v>5.0591817291759522</v>
      </c>
    </row>
    <row r="122" spans="1:7" ht="18" hidden="1" customHeight="1">
      <c r="A122" s="318">
        <v>2002</v>
      </c>
      <c r="B122" s="328" t="s">
        <v>63</v>
      </c>
      <c r="C122" s="320">
        <f t="shared" si="13"/>
        <v>91475.880983904499</v>
      </c>
      <c r="D122" s="329">
        <v>0.74929999999999997</v>
      </c>
      <c r="E122" s="327">
        <f t="shared" si="15"/>
        <v>5.8211730222900604</v>
      </c>
      <c r="F122" s="323">
        <f t="shared" si="11"/>
        <v>8.8687634164665408</v>
      </c>
      <c r="G122" s="324">
        <f t="shared" si="8"/>
        <v>5.0215552159428922</v>
      </c>
    </row>
    <row r="123" spans="1:7" ht="18" hidden="1" customHeight="1">
      <c r="A123" s="318">
        <v>2002</v>
      </c>
      <c r="B123" s="328" t="s">
        <v>64</v>
      </c>
      <c r="C123" s="320">
        <f>+C122*(1+D123/100)</f>
        <v>92113.010494957402</v>
      </c>
      <c r="D123" s="329">
        <v>0.69650000000000001</v>
      </c>
      <c r="E123" s="327">
        <f t="shared" si="15"/>
        <v>6.5582174923903169</v>
      </c>
      <c r="F123" s="323">
        <f t="shared" si="11"/>
        <v>8.9044533059770892</v>
      </c>
      <c r="G123" s="324">
        <f t="shared" si="8"/>
        <v>4.9868220007079609</v>
      </c>
    </row>
    <row r="124" spans="1:7" ht="18" hidden="1" customHeight="1">
      <c r="A124" s="318">
        <v>2002</v>
      </c>
      <c r="B124" s="328" t="s">
        <v>65</v>
      </c>
      <c r="C124" s="320">
        <f>+C123*(1+D124/100)</f>
        <v>92829.83394262915</v>
      </c>
      <c r="D124" s="329">
        <v>0.7782</v>
      </c>
      <c r="E124" s="327">
        <f t="shared" si="15"/>
        <v>7.387453540916078</v>
      </c>
      <c r="F124" s="323">
        <f t="shared" si="11"/>
        <v>8.888678319884157</v>
      </c>
      <c r="G124" s="324">
        <f t="shared" si="8"/>
        <v>4.9483142194521843</v>
      </c>
    </row>
    <row r="125" spans="1:7" ht="18" hidden="1" customHeight="1">
      <c r="A125" s="318">
        <v>2002</v>
      </c>
      <c r="B125" s="328" t="s">
        <v>66</v>
      </c>
      <c r="C125" s="320">
        <f>+C124*(1+D125/100)</f>
        <v>93540.631981127866</v>
      </c>
      <c r="D125" s="329">
        <v>0.76570000000000005</v>
      </c>
      <c r="E125" s="327">
        <f t="shared" si="15"/>
        <v>8.2097192726788837</v>
      </c>
      <c r="F125" s="323">
        <f t="shared" si="11"/>
        <v>8.9664298395527133</v>
      </c>
      <c r="G125" s="324">
        <f t="shared" si="8"/>
        <v>4.9107128908469688</v>
      </c>
    </row>
    <row r="126" spans="1:7" ht="18" hidden="1" customHeight="1">
      <c r="A126" s="318">
        <v>2002</v>
      </c>
      <c r="B126" s="328" t="s">
        <v>55</v>
      </c>
      <c r="C126" s="320">
        <f>+C125*(1+D126/100)</f>
        <v>94347.607013229048</v>
      </c>
      <c r="D126" s="329">
        <v>0.86270000000000002</v>
      </c>
      <c r="E126" s="327">
        <f>100*(C126/$C$114-1)</f>
        <v>9.1432445208442736</v>
      </c>
      <c r="F126" s="323">
        <f t="shared" si="11"/>
        <v>9.1432445208442736</v>
      </c>
      <c r="G126" s="324">
        <f t="shared" si="8"/>
        <v>4.8687105251465308</v>
      </c>
    </row>
    <row r="127" spans="1:7" ht="18" hidden="1" customHeight="1">
      <c r="A127" s="318">
        <v>2003</v>
      </c>
      <c r="B127" s="328" t="s">
        <v>56</v>
      </c>
      <c r="C127" s="320">
        <f>+C126*(1+D127/100)</f>
        <v>95281.837017874044</v>
      </c>
      <c r="D127" s="329">
        <v>0.99019999999999997</v>
      </c>
      <c r="E127" s="327">
        <f t="shared" ref="E127:E138" si="16">100*(C127/$C$126-1)</f>
        <v>0.99020000000000774</v>
      </c>
      <c r="F127" s="323">
        <f t="shared" si="11"/>
        <v>9.39216292123659</v>
      </c>
      <c r="G127" s="324">
        <f t="shared" si="8"/>
        <v>4.8209732480443943</v>
      </c>
    </row>
    <row r="128" spans="1:7" ht="18" hidden="1" customHeight="1">
      <c r="A128" s="318">
        <v>2003</v>
      </c>
      <c r="B128" s="328" t="s">
        <v>57</v>
      </c>
      <c r="C128" s="320">
        <f t="shared" ref="C128:C138" si="17">+C127*(1+D128/100)</f>
        <v>96152.427162706357</v>
      </c>
      <c r="D128" s="329">
        <v>0.91369999999999996</v>
      </c>
      <c r="E128" s="327">
        <f t="shared" si="16"/>
        <v>1.9129474574000049</v>
      </c>
      <c r="F128" s="323">
        <f t="shared" si="11"/>
        <v>9.7139758848074678</v>
      </c>
      <c r="G128" s="324">
        <f t="shared" si="8"/>
        <v>4.7773228491715143</v>
      </c>
    </row>
    <row r="129" spans="1:7" ht="18" hidden="1" customHeight="1">
      <c r="A129" s="318">
        <v>2003</v>
      </c>
      <c r="B129" s="328" t="s">
        <v>58</v>
      </c>
      <c r="C129" s="320">
        <f t="shared" si="17"/>
        <v>96998.664674165339</v>
      </c>
      <c r="D129" s="329">
        <v>0.88009999999999999</v>
      </c>
      <c r="E129" s="327">
        <f t="shared" si="16"/>
        <v>2.8098833079725827</v>
      </c>
      <c r="F129" s="323">
        <f t="shared" si="11"/>
        <v>9.9356341502747636</v>
      </c>
      <c r="G129" s="324">
        <f t="shared" si="8"/>
        <v>4.7356444424336557</v>
      </c>
    </row>
    <row r="130" spans="1:7" ht="18" hidden="1" customHeight="1">
      <c r="A130" s="318">
        <v>2003</v>
      </c>
      <c r="B130" s="328" t="s">
        <v>59</v>
      </c>
      <c r="C130" s="320">
        <f t="shared" si="17"/>
        <v>97891.53738249102</v>
      </c>
      <c r="D130" s="329">
        <v>0.92049999999999998</v>
      </c>
      <c r="E130" s="327">
        <f t="shared" si="16"/>
        <v>3.7562482838224609</v>
      </c>
      <c r="F130" s="323">
        <f t="shared" si="11"/>
        <v>10.135999482441903</v>
      </c>
      <c r="G130" s="324">
        <f t="shared" si="8"/>
        <v>4.6924504361687234</v>
      </c>
    </row>
    <row r="131" spans="1:7" ht="18" hidden="1" customHeight="1">
      <c r="A131" s="318">
        <v>2003</v>
      </c>
      <c r="B131" s="328" t="s">
        <v>60</v>
      </c>
      <c r="C131" s="320">
        <f t="shared" si="17"/>
        <v>98838.442223591861</v>
      </c>
      <c r="D131" s="329">
        <v>0.96730000000000005</v>
      </c>
      <c r="E131" s="327">
        <f t="shared" si="16"/>
        <v>4.759882473471877</v>
      </c>
      <c r="F131" s="323">
        <f t="shared" si="11"/>
        <v>10.415956308215236</v>
      </c>
      <c r="G131" s="324">
        <f t="shared" si="8"/>
        <v>4.6474952149544686</v>
      </c>
    </row>
    <row r="132" spans="1:7" ht="18" hidden="1" customHeight="1">
      <c r="A132" s="318">
        <v>2003</v>
      </c>
      <c r="B132" s="328" t="s">
        <v>61</v>
      </c>
      <c r="C132" s="320">
        <f t="shared" si="17"/>
        <v>99746.470992300005</v>
      </c>
      <c r="D132" s="329">
        <v>0.91869999999999996</v>
      </c>
      <c r="E132" s="327">
        <f t="shared" si="16"/>
        <v>5.7223115137556624</v>
      </c>
      <c r="F132" s="323">
        <f t="shared" si="11"/>
        <v>10.700829234165642</v>
      </c>
      <c r="G132" s="324">
        <f t="shared" si="8"/>
        <v>4.6051873586901815</v>
      </c>
    </row>
    <row r="133" spans="1:7" ht="18" hidden="1" customHeight="1">
      <c r="A133" s="318">
        <v>2003</v>
      </c>
      <c r="B133" s="328" t="s">
        <v>62</v>
      </c>
      <c r="C133" s="320">
        <f t="shared" si="17"/>
        <v>100793.01096595121</v>
      </c>
      <c r="D133" s="329">
        <v>1.0491999999999999</v>
      </c>
      <c r="E133" s="327">
        <f t="shared" si="16"/>
        <v>6.8315500061579826</v>
      </c>
      <c r="F133" s="323">
        <f t="shared" si="11"/>
        <v>11.010959287713051</v>
      </c>
      <c r="G133" s="324">
        <f t="shared" si="8"/>
        <v>4.5573714177748874</v>
      </c>
    </row>
    <row r="134" spans="1:7" ht="18" hidden="1" customHeight="1">
      <c r="A134" s="318">
        <v>2003</v>
      </c>
      <c r="B134" s="328" t="s">
        <v>63</v>
      </c>
      <c r="C134" s="320">
        <f t="shared" si="17"/>
        <v>101705.9940592808</v>
      </c>
      <c r="D134" s="329">
        <v>0.90580000000000005</v>
      </c>
      <c r="E134" s="327">
        <f t="shared" si="16"/>
        <v>7.7992301861137703</v>
      </c>
      <c r="F134" s="323">
        <f t="shared" si="11"/>
        <v>11.183399345644251</v>
      </c>
      <c r="G134" s="324">
        <f t="shared" si="8"/>
        <v>4.516461311217876</v>
      </c>
    </row>
    <row r="135" spans="1:7" ht="18" hidden="1" customHeight="1">
      <c r="A135" s="318">
        <v>2003</v>
      </c>
      <c r="B135" s="328" t="s">
        <v>64</v>
      </c>
      <c r="C135" s="320">
        <f t="shared" si="17"/>
        <v>102558.39199549163</v>
      </c>
      <c r="D135" s="329">
        <v>0.83809999999999996</v>
      </c>
      <c r="E135" s="327">
        <f t="shared" si="16"/>
        <v>8.702695534303583</v>
      </c>
      <c r="F135" s="323">
        <f t="shared" si="11"/>
        <v>11.339746084084457</v>
      </c>
      <c r="G135" s="324">
        <f t="shared" ref="G135:G198" si="18">+$C$407/C135</f>
        <v>4.4789234537519809</v>
      </c>
    </row>
    <row r="136" spans="1:7" ht="18" hidden="1" customHeight="1">
      <c r="A136" s="318">
        <v>2003</v>
      </c>
      <c r="B136" s="328" t="s">
        <v>65</v>
      </c>
      <c r="C136" s="320">
        <f t="shared" si="17"/>
        <v>103402.34500322254</v>
      </c>
      <c r="D136" s="329">
        <v>0.82289999999999996</v>
      </c>
      <c r="E136" s="327">
        <f t="shared" si="16"/>
        <v>9.597210015855385</v>
      </c>
      <c r="F136" s="323">
        <f t="shared" si="11"/>
        <v>11.389130639970158</v>
      </c>
      <c r="G136" s="324">
        <f t="shared" si="18"/>
        <v>4.4423672139483994</v>
      </c>
    </row>
    <row r="137" spans="1:7" ht="18" hidden="1" customHeight="1">
      <c r="A137" s="318">
        <v>2003</v>
      </c>
      <c r="B137" s="328" t="s">
        <v>66</v>
      </c>
      <c r="C137" s="320">
        <f t="shared" si="17"/>
        <v>104103.92991406941</v>
      </c>
      <c r="D137" s="329">
        <v>0.67849999999999999</v>
      </c>
      <c r="E137" s="327">
        <f t="shared" si="16"/>
        <v>10.340827085812965</v>
      </c>
      <c r="F137" s="323">
        <f t="shared" si="11"/>
        <v>11.292737401082253</v>
      </c>
      <c r="G137" s="324">
        <f t="shared" si="18"/>
        <v>4.4124288839706578</v>
      </c>
    </row>
    <row r="138" spans="1:7" ht="18" hidden="1" customHeight="1">
      <c r="A138" s="318">
        <v>2003</v>
      </c>
      <c r="B138" s="328" t="s">
        <v>55</v>
      </c>
      <c r="C138" s="320">
        <f t="shared" si="17"/>
        <v>104823.07986191579</v>
      </c>
      <c r="D138" s="329">
        <v>0.69079999999999997</v>
      </c>
      <c r="E138" s="327">
        <f t="shared" si="16"/>
        <v>11.103061519321745</v>
      </c>
      <c r="F138" s="323">
        <f t="shared" si="11"/>
        <v>11.103061519321745</v>
      </c>
      <c r="G138" s="324">
        <f t="shared" si="18"/>
        <v>4.382156943802868</v>
      </c>
    </row>
    <row r="139" spans="1:7" ht="18" hidden="1" customHeight="1">
      <c r="A139" s="318">
        <v>2004</v>
      </c>
      <c r="B139" s="328" t="s">
        <v>56</v>
      </c>
      <c r="C139" s="320">
        <f>+C138*(1+D139/100)</f>
        <v>105481.99774192779</v>
      </c>
      <c r="D139" s="329">
        <v>0.62860000000000005</v>
      </c>
      <c r="E139" s="327">
        <f t="shared" ref="E139:E150" si="19">100*(C139/$C$138-1)</f>
        <v>0.62860000000000138</v>
      </c>
      <c r="F139" s="323">
        <f t="shared" si="11"/>
        <v>10.705251959132855</v>
      </c>
      <c r="G139" s="324">
        <f t="shared" si="18"/>
        <v>4.3547827792524876</v>
      </c>
    </row>
    <row r="140" spans="1:7" ht="18" hidden="1" customHeight="1">
      <c r="A140" s="318">
        <v>2004</v>
      </c>
      <c r="B140" s="328" t="s">
        <v>57</v>
      </c>
      <c r="C140" s="320">
        <f t="shared" ref="C140:C203" si="20">+C139*(1+D140/100)</f>
        <v>106057.92944959871</v>
      </c>
      <c r="D140" s="321">
        <v>0.54600000000000004</v>
      </c>
      <c r="E140" s="327">
        <f t="shared" si="19"/>
        <v>1.1780321560000084</v>
      </c>
      <c r="F140" s="323">
        <f t="shared" si="11"/>
        <v>10.301874408360545</v>
      </c>
      <c r="G140" s="324">
        <f t="shared" si="18"/>
        <v>4.3311347833354752</v>
      </c>
    </row>
    <row r="141" spans="1:7" ht="18" hidden="1" customHeight="1">
      <c r="A141" s="318">
        <v>2004</v>
      </c>
      <c r="B141" s="328" t="s">
        <v>58</v>
      </c>
      <c r="C141" s="320">
        <f t="shared" si="20"/>
        <v>106777.74461677315</v>
      </c>
      <c r="D141" s="321">
        <v>0.67869999999999997</v>
      </c>
      <c r="E141" s="327">
        <f t="shared" si="19"/>
        <v>1.8647274602427766</v>
      </c>
      <c r="F141" s="323">
        <f t="shared" si="11"/>
        <v>10.08166450069945</v>
      </c>
      <c r="G141" s="324">
        <f t="shared" si="18"/>
        <v>4.3019375332969885</v>
      </c>
    </row>
    <row r="142" spans="1:7" ht="18" hidden="1" customHeight="1">
      <c r="A142" s="318">
        <v>2004</v>
      </c>
      <c r="B142" s="328" t="s">
        <v>59</v>
      </c>
      <c r="C142" s="320">
        <f t="shared" si="20"/>
        <v>107405.38419963056</v>
      </c>
      <c r="D142" s="321">
        <v>0.58779999999999999</v>
      </c>
      <c r="E142" s="327">
        <f t="shared" si="19"/>
        <v>2.4634883282540931</v>
      </c>
      <c r="F142" s="323">
        <f t="shared" si="11"/>
        <v>9.7187633083809288</v>
      </c>
      <c r="G142" s="324">
        <f t="shared" si="18"/>
        <v>4.2767985116455352</v>
      </c>
    </row>
    <row r="143" spans="1:7" ht="18" hidden="1" customHeight="1">
      <c r="A143" s="318">
        <v>2004</v>
      </c>
      <c r="B143" s="328" t="s">
        <v>60</v>
      </c>
      <c r="C143" s="320">
        <f t="shared" si="20"/>
        <v>108109.31908767493</v>
      </c>
      <c r="D143" s="321">
        <v>0.65539999999999998</v>
      </c>
      <c r="E143" s="327">
        <f t="shared" si="19"/>
        <v>3.1350340307574776</v>
      </c>
      <c r="F143" s="323">
        <f t="shared" si="11"/>
        <v>9.3798289972139912</v>
      </c>
      <c r="G143" s="324">
        <f t="shared" si="18"/>
        <v>4.2489508875286726</v>
      </c>
    </row>
    <row r="144" spans="1:7" ht="18" hidden="1" customHeight="1">
      <c r="A144" s="318">
        <v>2004</v>
      </c>
      <c r="B144" s="328" t="s">
        <v>61</v>
      </c>
      <c r="C144" s="320">
        <f t="shared" si="20"/>
        <v>108841.21917789849</v>
      </c>
      <c r="D144" s="321">
        <v>0.67700000000000005</v>
      </c>
      <c r="E144" s="327">
        <f t="shared" si="19"/>
        <v>3.833258211145707</v>
      </c>
      <c r="F144" s="323">
        <f t="shared" si="11"/>
        <v>9.11786461728612</v>
      </c>
      <c r="G144" s="324">
        <f t="shared" si="18"/>
        <v>4.2203789222252084</v>
      </c>
    </row>
    <row r="145" spans="1:7" ht="18" hidden="1" customHeight="1">
      <c r="A145" s="318">
        <v>2004</v>
      </c>
      <c r="B145" s="328" t="s">
        <v>62</v>
      </c>
      <c r="C145" s="320">
        <f t="shared" si="20"/>
        <v>109598.97174581501</v>
      </c>
      <c r="D145" s="321">
        <v>0.69620000000000004</v>
      </c>
      <c r="E145" s="327">
        <f t="shared" si="19"/>
        <v>4.5561453548116804</v>
      </c>
      <c r="F145" s="323">
        <f t="shared" si="11"/>
        <v>8.736677965537254</v>
      </c>
      <c r="G145" s="324">
        <f t="shared" si="18"/>
        <v>4.1911997892921562</v>
      </c>
    </row>
    <row r="146" spans="1:7" ht="18" hidden="1" customHeight="1">
      <c r="A146" s="318">
        <v>2004</v>
      </c>
      <c r="B146" s="328" t="s">
        <v>63</v>
      </c>
      <c r="C146" s="320">
        <f t="shared" si="20"/>
        <v>110367.8085326119</v>
      </c>
      <c r="D146" s="321">
        <v>0.70150000000000001</v>
      </c>
      <c r="E146" s="327">
        <f t="shared" si="19"/>
        <v>5.289606714475692</v>
      </c>
      <c r="F146" s="323">
        <f t="shared" si="11"/>
        <v>8.5165230952685569</v>
      </c>
      <c r="G146" s="324">
        <f t="shared" si="18"/>
        <v>4.1620033358908817</v>
      </c>
    </row>
    <row r="147" spans="1:7" ht="18" hidden="1" customHeight="1">
      <c r="A147" s="318">
        <v>2004</v>
      </c>
      <c r="B147" s="328" t="s">
        <v>64</v>
      </c>
      <c r="C147" s="320">
        <f t="shared" si="20"/>
        <v>111111.35645869611</v>
      </c>
      <c r="D147" s="321">
        <v>0.67369999999999997</v>
      </c>
      <c r="E147" s="327">
        <f t="shared" si="19"/>
        <v>5.9989427949111107</v>
      </c>
      <c r="F147" s="323">
        <f t="shared" ref="F147:F210" si="21">100*(C147/C135-1)</f>
        <v>8.3396046845005678</v>
      </c>
      <c r="G147" s="324">
        <f t="shared" si="18"/>
        <v>4.134151556852367</v>
      </c>
    </row>
    <row r="148" spans="1:7" ht="18" hidden="1" customHeight="1">
      <c r="A148" s="318">
        <v>2004</v>
      </c>
      <c r="B148" s="328" t="s">
        <v>65</v>
      </c>
      <c r="C148" s="320">
        <f t="shared" si="20"/>
        <v>111790.69129208458</v>
      </c>
      <c r="D148" s="321">
        <v>0.61140000000000005</v>
      </c>
      <c r="E148" s="327">
        <f t="shared" si="19"/>
        <v>6.6470203311592035</v>
      </c>
      <c r="F148" s="323">
        <f t="shared" si="21"/>
        <v>8.1123366095813498</v>
      </c>
      <c r="G148" s="324">
        <f t="shared" si="18"/>
        <v>4.1090289538286591</v>
      </c>
    </row>
    <row r="149" spans="1:7" ht="18" hidden="1" customHeight="1">
      <c r="A149" s="318">
        <v>2004</v>
      </c>
      <c r="B149" s="328" t="s">
        <v>66</v>
      </c>
      <c r="C149" s="320">
        <f t="shared" si="20"/>
        <v>112478.42762491347</v>
      </c>
      <c r="D149" s="321">
        <v>0.61519999999999997</v>
      </c>
      <c r="E149" s="327">
        <f t="shared" si="19"/>
        <v>7.3031128002364776</v>
      </c>
      <c r="F149" s="323">
        <f t="shared" si="21"/>
        <v>8.0443627034605178</v>
      </c>
      <c r="G149" s="324">
        <f t="shared" si="18"/>
        <v>4.0839047716733248</v>
      </c>
    </row>
    <row r="150" spans="1:7" ht="18" hidden="1" customHeight="1">
      <c r="A150" s="318">
        <v>2004</v>
      </c>
      <c r="B150" s="328" t="s">
        <v>55</v>
      </c>
      <c r="C150" s="320">
        <f t="shared" si="20"/>
        <v>113312.11773046933</v>
      </c>
      <c r="D150" s="321">
        <v>0.74119999999999997</v>
      </c>
      <c r="E150" s="327">
        <f t="shared" si="19"/>
        <v>8.0984434723118337</v>
      </c>
      <c r="F150" s="323">
        <f t="shared" si="21"/>
        <v>8.0984434723118337</v>
      </c>
      <c r="G150" s="324">
        <f t="shared" si="18"/>
        <v>4.0538575792955864</v>
      </c>
    </row>
    <row r="151" spans="1:7" ht="18" hidden="1" customHeight="1">
      <c r="A151" s="318">
        <v>2005</v>
      </c>
      <c r="B151" s="328" t="s">
        <v>56</v>
      </c>
      <c r="C151" s="320">
        <f t="shared" si="20"/>
        <v>114092.72490951452</v>
      </c>
      <c r="D151" s="321">
        <v>0.68889999999999996</v>
      </c>
      <c r="E151" s="327">
        <f>100*(C151/$C$150-1)</f>
        <v>0.6888999999999923</v>
      </c>
      <c r="F151" s="323">
        <f t="shared" si="21"/>
        <v>8.1632196506684842</v>
      </c>
      <c r="G151" s="324">
        <f t="shared" si="18"/>
        <v>4.0261216274043976</v>
      </c>
    </row>
    <row r="152" spans="1:7" ht="18" hidden="1" customHeight="1">
      <c r="A152" s="318">
        <v>2005</v>
      </c>
      <c r="B152" s="328" t="s">
        <v>57</v>
      </c>
      <c r="C152" s="320">
        <f t="shared" si="20"/>
        <v>114773.5161990496</v>
      </c>
      <c r="D152" s="321">
        <v>0.59670000000000001</v>
      </c>
      <c r="E152" s="327">
        <f>100*(C152/$C$150-1)</f>
        <v>1.2897106662999924</v>
      </c>
      <c r="F152" s="323">
        <f t="shared" si="21"/>
        <v>8.2177606093967182</v>
      </c>
      <c r="G152" s="324">
        <f t="shared" si="18"/>
        <v>4.0022402597743243</v>
      </c>
    </row>
    <row r="153" spans="1:7" ht="18" hidden="1" customHeight="1">
      <c r="A153" s="318">
        <v>2005</v>
      </c>
      <c r="B153" s="328" t="s">
        <v>58</v>
      </c>
      <c r="C153" s="320">
        <f t="shared" si="20"/>
        <v>115651.30405093994</v>
      </c>
      <c r="D153" s="321">
        <v>0.76480000000000004</v>
      </c>
      <c r="E153" s="327">
        <f>100*(C153/$C$150-1)</f>
        <v>2.0643743734758635</v>
      </c>
      <c r="F153" s="323">
        <f t="shared" si="21"/>
        <v>8.3103079822617776</v>
      </c>
      <c r="G153" s="324">
        <f t="shared" si="18"/>
        <v>3.9718634481230786</v>
      </c>
    </row>
    <row r="154" spans="1:7" ht="18" hidden="1" customHeight="1">
      <c r="A154" s="318">
        <v>2005</v>
      </c>
      <c r="B154" s="328" t="s">
        <v>59</v>
      </c>
      <c r="C154" s="320">
        <f t="shared" si="20"/>
        <v>116462.36664624918</v>
      </c>
      <c r="D154" s="321">
        <v>0.70130000000000003</v>
      </c>
      <c r="E154" s="327">
        <f t="shared" ref="E154:E161" si="22">100*(C154/$C$150-1)</f>
        <v>2.7801518309570561</v>
      </c>
      <c r="F154" s="323">
        <f t="shared" si="21"/>
        <v>8.4325218089483567</v>
      </c>
      <c r="G154" s="324">
        <f t="shared" si="18"/>
        <v>3.9442027542078191</v>
      </c>
    </row>
    <row r="155" spans="1:7" ht="18" hidden="1" customHeight="1">
      <c r="A155" s="318">
        <v>2005</v>
      </c>
      <c r="B155" s="328" t="s">
        <v>60</v>
      </c>
      <c r="C155" s="320">
        <f t="shared" si="20"/>
        <v>117340.49289076192</v>
      </c>
      <c r="D155" s="321">
        <v>0.754</v>
      </c>
      <c r="E155" s="327">
        <f t="shared" si="22"/>
        <v>3.555114175762486</v>
      </c>
      <c r="F155" s="323">
        <f t="shared" si="21"/>
        <v>8.5387401206372004</v>
      </c>
      <c r="G155" s="324">
        <f t="shared" si="18"/>
        <v>3.9146860216049175</v>
      </c>
    </row>
    <row r="156" spans="1:7" ht="18" hidden="1" customHeight="1">
      <c r="A156" s="318">
        <v>2005</v>
      </c>
      <c r="B156" s="328" t="s">
        <v>61</v>
      </c>
      <c r="C156" s="320">
        <f t="shared" si="20"/>
        <v>118280.15555783114</v>
      </c>
      <c r="D156" s="321">
        <v>0.80079999999999996</v>
      </c>
      <c r="E156" s="327">
        <f t="shared" si="22"/>
        <v>4.3843835300819922</v>
      </c>
      <c r="F156" s="323">
        <f t="shared" si="21"/>
        <v>8.672207506702879</v>
      </c>
      <c r="G156" s="324">
        <f t="shared" si="18"/>
        <v>3.8835862628123166</v>
      </c>
    </row>
    <row r="157" spans="1:7" ht="18" hidden="1" customHeight="1">
      <c r="A157" s="318">
        <v>2005</v>
      </c>
      <c r="B157" s="328" t="s">
        <v>62</v>
      </c>
      <c r="C157" s="320">
        <f t="shared" si="20"/>
        <v>119177.66537820395</v>
      </c>
      <c r="D157" s="321">
        <v>0.75880000000000003</v>
      </c>
      <c r="E157" s="327">
        <f t="shared" si="22"/>
        <v>5.1764522323082485</v>
      </c>
      <c r="F157" s="323">
        <f t="shared" si="21"/>
        <v>8.7397659666042404</v>
      </c>
      <c r="G157" s="324">
        <f t="shared" si="18"/>
        <v>3.8543395344250992</v>
      </c>
    </row>
    <row r="158" spans="1:7" ht="18" hidden="1" customHeight="1">
      <c r="A158" s="318">
        <v>2005</v>
      </c>
      <c r="B158" s="328" t="s">
        <v>77</v>
      </c>
      <c r="C158" s="320">
        <f t="shared" si="20"/>
        <v>120184.47829531902</v>
      </c>
      <c r="D158" s="321">
        <v>0.8448</v>
      </c>
      <c r="E158" s="327">
        <f t="shared" si="22"/>
        <v>6.0649829007667799</v>
      </c>
      <c r="F158" s="323">
        <f t="shared" si="21"/>
        <v>8.8945045600016925</v>
      </c>
      <c r="G158" s="324">
        <f t="shared" si="18"/>
        <v>3.8220508488539808</v>
      </c>
    </row>
    <row r="159" spans="1:7" ht="18" hidden="1" customHeight="1">
      <c r="A159" s="318">
        <v>2005</v>
      </c>
      <c r="B159" s="328" t="s">
        <v>79</v>
      </c>
      <c r="C159" s="320">
        <f t="shared" si="20"/>
        <v>121103.8895542782</v>
      </c>
      <c r="D159" s="321">
        <v>0.76500000000000001</v>
      </c>
      <c r="E159" s="327">
        <f t="shared" si="22"/>
        <v>6.8763800199576508</v>
      </c>
      <c r="F159" s="323">
        <f t="shared" si="21"/>
        <v>8.9932599277524403</v>
      </c>
      <c r="G159" s="324">
        <f t="shared" si="18"/>
        <v>3.7930341377005719</v>
      </c>
    </row>
    <row r="160" spans="1:7" ht="18" hidden="1" customHeight="1">
      <c r="A160" s="318">
        <v>2005</v>
      </c>
      <c r="B160" s="328" t="s">
        <v>78</v>
      </c>
      <c r="C160" s="320">
        <f t="shared" si="20"/>
        <v>121964.93820900911</v>
      </c>
      <c r="D160" s="321">
        <v>0.71099999999999997</v>
      </c>
      <c r="E160" s="327">
        <f t="shared" si="22"/>
        <v>7.6362710818995261</v>
      </c>
      <c r="F160" s="323">
        <f t="shared" si="21"/>
        <v>9.1011575287082369</v>
      </c>
      <c r="G160" s="324">
        <f t="shared" si="18"/>
        <v>3.7662560571343469</v>
      </c>
    </row>
    <row r="161" spans="1:7" ht="18" hidden="1" customHeight="1">
      <c r="A161" s="318">
        <v>2005</v>
      </c>
      <c r="B161" s="328" t="s">
        <v>68</v>
      </c>
      <c r="C161" s="320">
        <f t="shared" si="20"/>
        <v>122811.25291524142</v>
      </c>
      <c r="D161" s="321">
        <v>0.69389999999999996</v>
      </c>
      <c r="E161" s="327">
        <f t="shared" si="22"/>
        <v>8.3831591669368386</v>
      </c>
      <c r="F161" s="323">
        <f t="shared" si="21"/>
        <v>9.1864951426821726</v>
      </c>
      <c r="G161" s="324">
        <f t="shared" si="18"/>
        <v>3.7403021008565034</v>
      </c>
    </row>
    <row r="162" spans="1:7" ht="18" hidden="1" customHeight="1">
      <c r="A162" s="318">
        <v>2005</v>
      </c>
      <c r="B162" s="328" t="s">
        <v>69</v>
      </c>
      <c r="C162" s="320">
        <f t="shared" si="20"/>
        <v>123705.31883646437</v>
      </c>
      <c r="D162" s="321">
        <v>0.72799999999999998</v>
      </c>
      <c r="E162" s="327">
        <f>100*(C162/$C$150-1)</f>
        <v>9.1721885656721227</v>
      </c>
      <c r="F162" s="323">
        <f t="shared" si="21"/>
        <v>9.1721885656721227</v>
      </c>
      <c r="G162" s="324">
        <f t="shared" si="18"/>
        <v>3.713269498904479</v>
      </c>
    </row>
    <row r="163" spans="1:7" ht="18" hidden="1" customHeight="1">
      <c r="A163" s="318">
        <v>2006</v>
      </c>
      <c r="B163" s="328" t="s">
        <v>70</v>
      </c>
      <c r="C163" s="320">
        <f t="shared" si="20"/>
        <v>124613.06846608636</v>
      </c>
      <c r="D163" s="321">
        <v>0.73380000000000001</v>
      </c>
      <c r="E163" s="327">
        <f t="shared" ref="E163:E172" si="23">100*(C163/$C$162-1)</f>
        <v>0.73380000000000667</v>
      </c>
      <c r="F163" s="323">
        <f t="shared" si="21"/>
        <v>9.2208715015925868</v>
      </c>
      <c r="G163" s="324">
        <f t="shared" si="18"/>
        <v>3.6862200164239596</v>
      </c>
    </row>
    <row r="164" spans="1:7" ht="18" hidden="1" customHeight="1">
      <c r="A164" s="318">
        <v>2006</v>
      </c>
      <c r="B164" s="328" t="s">
        <v>71</v>
      </c>
      <c r="C164" s="320">
        <f t="shared" si="20"/>
        <v>125326.97673532859</v>
      </c>
      <c r="D164" s="321">
        <v>0.57289999999999996</v>
      </c>
      <c r="E164" s="327">
        <f t="shared" si="23"/>
        <v>1.3109039402000144</v>
      </c>
      <c r="F164" s="323">
        <f t="shared" si="21"/>
        <v>9.1950311237100291</v>
      </c>
      <c r="G164" s="324">
        <f t="shared" si="18"/>
        <v>3.6652219598161722</v>
      </c>
    </row>
    <row r="165" spans="1:7" ht="18" hidden="1" customHeight="1">
      <c r="A165" s="318">
        <v>2006</v>
      </c>
      <c r="B165" s="328" t="s">
        <v>72</v>
      </c>
      <c r="C165" s="320">
        <f t="shared" si="20"/>
        <v>126214.66771154491</v>
      </c>
      <c r="D165" s="321">
        <v>0.70830000000000004</v>
      </c>
      <c r="E165" s="327">
        <f t="shared" si="23"/>
        <v>2.0284890728084592</v>
      </c>
      <c r="F165" s="323">
        <f t="shared" si="21"/>
        <v>9.1338041946783513</v>
      </c>
      <c r="G165" s="324">
        <f t="shared" si="18"/>
        <v>3.6394437795257915</v>
      </c>
    </row>
    <row r="166" spans="1:7" ht="18" hidden="1" customHeight="1">
      <c r="A166" s="318">
        <v>2006</v>
      </c>
      <c r="B166" s="328" t="s">
        <v>73</v>
      </c>
      <c r="C166" s="320">
        <f t="shared" si="20"/>
        <v>126954.15944966685</v>
      </c>
      <c r="D166" s="321">
        <v>0.58589999999999998</v>
      </c>
      <c r="E166" s="327">
        <f t="shared" si="23"/>
        <v>2.6262739902860321</v>
      </c>
      <c r="F166" s="323">
        <f t="shared" si="21"/>
        <v>9.0087408538469518</v>
      </c>
      <c r="G166" s="324">
        <f t="shared" si="18"/>
        <v>3.6182444850876627</v>
      </c>
    </row>
    <row r="167" spans="1:7" ht="18" hidden="1" customHeight="1">
      <c r="A167" s="318">
        <v>2006</v>
      </c>
      <c r="B167" s="328" t="s">
        <v>74</v>
      </c>
      <c r="C167" s="320">
        <f t="shared" si="20"/>
        <v>127829.7622873912</v>
      </c>
      <c r="D167" s="321">
        <v>0.68969999999999998</v>
      </c>
      <c r="E167" s="327">
        <f t="shared" si="23"/>
        <v>3.3340874019970324</v>
      </c>
      <c r="F167" s="323">
        <f t="shared" si="21"/>
        <v>8.939172776779003</v>
      </c>
      <c r="G167" s="324">
        <f t="shared" si="18"/>
        <v>3.5934603887862044</v>
      </c>
    </row>
    <row r="168" spans="1:7" ht="18" hidden="1" customHeight="1">
      <c r="A168" s="318">
        <v>2006</v>
      </c>
      <c r="B168" s="328" t="s">
        <v>75</v>
      </c>
      <c r="C168" s="320">
        <f t="shared" si="20"/>
        <v>128717.79564600172</v>
      </c>
      <c r="D168" s="321">
        <v>0.69469999999999998</v>
      </c>
      <c r="E168" s="327">
        <f t="shared" si="23"/>
        <v>4.0519493071787149</v>
      </c>
      <c r="F168" s="323">
        <f t="shared" si="21"/>
        <v>8.8245065615146778</v>
      </c>
      <c r="G168" s="324">
        <f t="shared" si="18"/>
        <v>3.5686688463108824</v>
      </c>
    </row>
    <row r="169" spans="1:7" ht="18" hidden="1" customHeight="1">
      <c r="A169" s="318">
        <v>2006</v>
      </c>
      <c r="B169" s="328" t="s">
        <v>76</v>
      </c>
      <c r="C169" s="320">
        <f t="shared" si="20"/>
        <v>129587.9279445687</v>
      </c>
      <c r="D169" s="321">
        <v>0.67600000000000005</v>
      </c>
      <c r="E169" s="327">
        <f t="shared" si="23"/>
        <v>4.7553404844952629</v>
      </c>
      <c r="F169" s="323">
        <f t="shared" si="21"/>
        <v>8.7350784505874746</v>
      </c>
      <c r="G169" s="324">
        <f t="shared" si="18"/>
        <v>3.5447066294954928</v>
      </c>
    </row>
    <row r="170" spans="1:7" ht="18" hidden="1" customHeight="1">
      <c r="A170" s="318">
        <v>2006</v>
      </c>
      <c r="B170" s="328" t="s">
        <v>77</v>
      </c>
      <c r="C170" s="320">
        <f t="shared" si="20"/>
        <v>130553.09883189983</v>
      </c>
      <c r="D170" s="321">
        <v>0.74480000000000002</v>
      </c>
      <c r="E170" s="327">
        <f t="shared" si="23"/>
        <v>5.5355582604237563</v>
      </c>
      <c r="F170" s="323">
        <f t="shared" si="21"/>
        <v>8.6272542708076614</v>
      </c>
      <c r="G170" s="324">
        <f t="shared" si="18"/>
        <v>3.5185008352743696</v>
      </c>
    </row>
    <row r="171" spans="1:7" ht="18" hidden="1" customHeight="1">
      <c r="A171" s="318">
        <v>2006</v>
      </c>
      <c r="B171" s="328" t="s">
        <v>79</v>
      </c>
      <c r="C171" s="320">
        <f t="shared" si="20"/>
        <v>131405.48001417331</v>
      </c>
      <c r="D171" s="321">
        <v>0.65290000000000004</v>
      </c>
      <c r="E171" s="327">
        <f t="shared" si="23"/>
        <v>6.2245999203060842</v>
      </c>
      <c r="F171" s="323">
        <f t="shared" si="21"/>
        <v>8.5064075958336538</v>
      </c>
      <c r="G171" s="324">
        <f t="shared" si="18"/>
        <v>3.4956775565079292</v>
      </c>
    </row>
    <row r="172" spans="1:7" ht="18" hidden="1" customHeight="1">
      <c r="A172" s="318">
        <v>2006</v>
      </c>
      <c r="B172" s="328" t="s">
        <v>78</v>
      </c>
      <c r="C172" s="320">
        <f t="shared" si="20"/>
        <v>132310.07533859086</v>
      </c>
      <c r="D172" s="321">
        <v>0.68840000000000001</v>
      </c>
      <c r="E172" s="327">
        <f t="shared" si="23"/>
        <v>6.9558500661574429</v>
      </c>
      <c r="F172" s="323">
        <f t="shared" si="21"/>
        <v>8.4820582714136172</v>
      </c>
      <c r="G172" s="324">
        <f t="shared" si="18"/>
        <v>3.4717778378720188</v>
      </c>
    </row>
    <row r="173" spans="1:7" ht="18" hidden="1" customHeight="1">
      <c r="A173" s="318">
        <v>2006</v>
      </c>
      <c r="B173" s="328" t="s">
        <v>66</v>
      </c>
      <c r="C173" s="320">
        <f t="shared" si="20"/>
        <v>133142.04109231994</v>
      </c>
      <c r="D173" s="321">
        <v>0.62880000000000003</v>
      </c>
      <c r="E173" s="327">
        <f>100*(C173/$C$162-1)</f>
        <v>7.6283884513734579</v>
      </c>
      <c r="F173" s="323">
        <f t="shared" si="21"/>
        <v>8.411923119299459</v>
      </c>
      <c r="G173" s="324">
        <f t="shared" si="18"/>
        <v>3.4500837114941429</v>
      </c>
    </row>
    <row r="174" spans="1:7" ht="18" hidden="1" customHeight="1">
      <c r="A174" s="318">
        <v>2006</v>
      </c>
      <c r="B174" s="328" t="s">
        <v>55</v>
      </c>
      <c r="C174" s="320">
        <f t="shared" si="20"/>
        <v>134011.45862065279</v>
      </c>
      <c r="D174" s="321">
        <v>0.65300000000000002</v>
      </c>
      <c r="E174" s="327">
        <f>100*(C174/$C$162-1)</f>
        <v>8.3312018279609212</v>
      </c>
      <c r="F174" s="323">
        <f t="shared" si="21"/>
        <v>8.3312018279609212</v>
      </c>
      <c r="G174" s="324">
        <f t="shared" si="18"/>
        <v>3.4277008251061996</v>
      </c>
    </row>
    <row r="175" spans="1:7" ht="18" hidden="1" customHeight="1">
      <c r="A175" s="318">
        <v>2007</v>
      </c>
      <c r="B175" s="328" t="s">
        <v>156</v>
      </c>
      <c r="C175" s="320">
        <f t="shared" si="20"/>
        <v>134976.3411227215</v>
      </c>
      <c r="D175" s="321">
        <v>0.72</v>
      </c>
      <c r="E175" s="327">
        <f t="shared" ref="E175:E186" si="24">100*(C175/$C$174-1)</f>
        <v>0.72000000000000952</v>
      </c>
      <c r="F175" s="323">
        <f t="shared" si="21"/>
        <v>8.3163610239286534</v>
      </c>
      <c r="G175" s="324">
        <f t="shared" si="18"/>
        <v>3.4031978009394352</v>
      </c>
    </row>
    <row r="176" spans="1:7" ht="18" hidden="1" customHeight="1">
      <c r="A176" s="318">
        <v>2007</v>
      </c>
      <c r="B176" s="328" t="s">
        <v>71</v>
      </c>
      <c r="C176" s="320">
        <f t="shared" si="20"/>
        <v>135749.08067564908</v>
      </c>
      <c r="D176" s="321">
        <v>0.57250000000000001</v>
      </c>
      <c r="E176" s="327">
        <f t="shared" si="24"/>
        <v>1.2966220000000028</v>
      </c>
      <c r="F176" s="323">
        <f t="shared" si="21"/>
        <v>8.3159302265228838</v>
      </c>
      <c r="G176" s="324">
        <f t="shared" si="18"/>
        <v>3.3838254005214501</v>
      </c>
    </row>
    <row r="177" spans="1:7" ht="18" hidden="1" customHeight="1">
      <c r="A177" s="318">
        <v>2007</v>
      </c>
      <c r="B177" s="328" t="s">
        <v>72</v>
      </c>
      <c r="C177" s="320">
        <f t="shared" si="20"/>
        <v>136683.71309610092</v>
      </c>
      <c r="D177" s="321">
        <v>0.6885</v>
      </c>
      <c r="E177" s="327">
        <f t="shared" si="24"/>
        <v>1.9940492424699974</v>
      </c>
      <c r="F177" s="323">
        <f t="shared" si="21"/>
        <v>8.2946345098988914</v>
      </c>
      <c r="G177" s="324">
        <f t="shared" si="18"/>
        <v>3.3606870700441958</v>
      </c>
    </row>
    <row r="178" spans="1:7" ht="18" hidden="1" customHeight="1">
      <c r="A178" s="318">
        <v>2007</v>
      </c>
      <c r="B178" s="328" t="s">
        <v>59</v>
      </c>
      <c r="C178" s="320">
        <f t="shared" si="20"/>
        <v>137541.81344691824</v>
      </c>
      <c r="D178" s="321">
        <v>0.62780000000000002</v>
      </c>
      <c r="E178" s="327">
        <f t="shared" si="24"/>
        <v>2.6343678836142415</v>
      </c>
      <c r="F178" s="323">
        <f t="shared" si="21"/>
        <v>8.3397456555561291</v>
      </c>
      <c r="G178" s="324">
        <f t="shared" si="18"/>
        <v>3.339720305963358</v>
      </c>
    </row>
    <row r="179" spans="1:7" ht="18" hidden="1" customHeight="1">
      <c r="A179" s="318">
        <v>2007</v>
      </c>
      <c r="B179" s="328" t="s">
        <v>60</v>
      </c>
      <c r="C179" s="320">
        <f t="shared" si="20"/>
        <v>138462.93097157223</v>
      </c>
      <c r="D179" s="321">
        <v>0.66969999999999996</v>
      </c>
      <c r="E179" s="327">
        <f t="shared" si="24"/>
        <v>3.321710245330789</v>
      </c>
      <c r="F179" s="323">
        <f t="shared" si="21"/>
        <v>8.3182261266161017</v>
      </c>
      <c r="G179" s="324">
        <f t="shared" si="18"/>
        <v>3.3175029884497107</v>
      </c>
    </row>
    <row r="180" spans="1:7" ht="18" hidden="1" customHeight="1">
      <c r="A180" s="318">
        <v>2007</v>
      </c>
      <c r="B180" s="328" t="s">
        <v>61</v>
      </c>
      <c r="C180" s="320">
        <f t="shared" si="20"/>
        <v>139288.03157723183</v>
      </c>
      <c r="D180" s="321">
        <v>0.59589999999999999</v>
      </c>
      <c r="E180" s="327">
        <f t="shared" si="24"/>
        <v>3.9374043166827022</v>
      </c>
      <c r="F180" s="323">
        <f t="shared" si="21"/>
        <v>8.2119460469166619</v>
      </c>
      <c r="G180" s="324">
        <f t="shared" si="18"/>
        <v>3.2978510937818646</v>
      </c>
    </row>
    <row r="181" spans="1:7" ht="18" hidden="1" customHeight="1">
      <c r="A181" s="318">
        <v>2007</v>
      </c>
      <c r="B181" s="328" t="s">
        <v>62</v>
      </c>
      <c r="C181" s="320">
        <f t="shared" si="20"/>
        <v>140190.06086972597</v>
      </c>
      <c r="D181" s="321">
        <v>0.64759999999999995</v>
      </c>
      <c r="E181" s="327">
        <f t="shared" si="24"/>
        <v>4.6105029470375314</v>
      </c>
      <c r="F181" s="323">
        <f t="shared" si="21"/>
        <v>8.1814202089042887</v>
      </c>
      <c r="G181" s="324">
        <f t="shared" si="18"/>
        <v>3.2766316273630616</v>
      </c>
    </row>
    <row r="182" spans="1:7" ht="18" hidden="1" customHeight="1">
      <c r="A182" s="318">
        <v>2007</v>
      </c>
      <c r="B182" s="328" t="s">
        <v>63</v>
      </c>
      <c r="C182" s="320">
        <f t="shared" si="20"/>
        <v>141097.51113373571</v>
      </c>
      <c r="D182" s="321">
        <v>0.64729999999999999</v>
      </c>
      <c r="E182" s="327">
        <f t="shared" si="24"/>
        <v>5.2876467326137044</v>
      </c>
      <c r="F182" s="323">
        <f t="shared" si="21"/>
        <v>8.0767231082066182</v>
      </c>
      <c r="G182" s="324">
        <f t="shared" si="18"/>
        <v>3.2555583978537541</v>
      </c>
    </row>
    <row r="183" spans="1:7" ht="18" hidden="1" customHeight="1">
      <c r="A183" s="318">
        <v>2007</v>
      </c>
      <c r="B183" s="328" t="s">
        <v>64</v>
      </c>
      <c r="C183" s="320">
        <f t="shared" si="20"/>
        <v>141852.94720834575</v>
      </c>
      <c r="D183" s="321">
        <v>0.53539999999999999</v>
      </c>
      <c r="E183" s="327">
        <f t="shared" si="24"/>
        <v>5.8513567932201305</v>
      </c>
      <c r="F183" s="323">
        <f t="shared" si="21"/>
        <v>7.9505566990399235</v>
      </c>
      <c r="G183" s="324">
        <f t="shared" si="18"/>
        <v>3.2382209628188217</v>
      </c>
    </row>
    <row r="184" spans="1:7" ht="18" hidden="1" customHeight="1">
      <c r="A184" s="318">
        <v>2007</v>
      </c>
      <c r="B184" s="328" t="s">
        <v>65</v>
      </c>
      <c r="C184" s="320">
        <f t="shared" si="20"/>
        <v>142725.05912778268</v>
      </c>
      <c r="D184" s="321">
        <v>0.61480000000000001</v>
      </c>
      <c r="E184" s="327">
        <f t="shared" si="24"/>
        <v>6.5021309347848666</v>
      </c>
      <c r="F184" s="323">
        <f t="shared" si="21"/>
        <v>7.8716482947644995</v>
      </c>
      <c r="G184" s="324">
        <f t="shared" si="18"/>
        <v>3.2184340303999228</v>
      </c>
    </row>
    <row r="185" spans="1:7" ht="18" hidden="1" customHeight="1">
      <c r="A185" s="318">
        <v>2007</v>
      </c>
      <c r="B185" s="328" t="s">
        <v>66</v>
      </c>
      <c r="C185" s="320">
        <f t="shared" si="20"/>
        <v>143523.32038348436</v>
      </c>
      <c r="D185" s="321">
        <v>0.55930000000000002</v>
      </c>
      <c r="E185" s="327">
        <f t="shared" si="24"/>
        <v>7.0977973531031191</v>
      </c>
      <c r="F185" s="323">
        <f t="shared" si="21"/>
        <v>7.7971459698188861</v>
      </c>
      <c r="G185" s="324">
        <f t="shared" si="18"/>
        <v>3.2005334468317925</v>
      </c>
    </row>
    <row r="186" spans="1:7" ht="18" hidden="1" customHeight="1">
      <c r="A186" s="318">
        <v>2007</v>
      </c>
      <c r="B186" s="328" t="s">
        <v>55</v>
      </c>
      <c r="C186" s="320">
        <f t="shared" si="20"/>
        <v>144333.22248040838</v>
      </c>
      <c r="D186" s="321">
        <v>0.56430000000000002</v>
      </c>
      <c r="E186" s="327">
        <f t="shared" si="24"/>
        <v>7.7021502235666839</v>
      </c>
      <c r="F186" s="323">
        <f t="shared" si="21"/>
        <v>7.7021502235666839</v>
      </c>
      <c r="G186" s="324">
        <f t="shared" si="18"/>
        <v>3.182574180729933</v>
      </c>
    </row>
    <row r="187" spans="1:7" ht="18" hidden="1" customHeight="1">
      <c r="A187" s="318">
        <v>2008</v>
      </c>
      <c r="B187" s="328" t="s">
        <v>56</v>
      </c>
      <c r="C187" s="320">
        <f t="shared" si="20"/>
        <v>145201.38681362805</v>
      </c>
      <c r="D187" s="321">
        <v>0.60150000000000003</v>
      </c>
      <c r="E187" s="327">
        <f t="shared" ref="E187:E198" si="25">100*(C187/$C$186-1)</f>
        <v>0.60150000000001036</v>
      </c>
      <c r="F187" s="323">
        <f t="shared" si="21"/>
        <v>7.5754355214073144</v>
      </c>
      <c r="G187" s="324">
        <f t="shared" si="18"/>
        <v>3.1635454548191952</v>
      </c>
    </row>
    <row r="188" spans="1:7" ht="18" hidden="1" customHeight="1">
      <c r="A188" s="318">
        <v>2008</v>
      </c>
      <c r="B188" s="328" t="s">
        <v>57</v>
      </c>
      <c r="C188" s="320">
        <f t="shared" si="20"/>
        <v>145962.82288607871</v>
      </c>
      <c r="D188" s="321">
        <v>0.52439999999999998</v>
      </c>
      <c r="E188" s="327">
        <f t="shared" si="25"/>
        <v>1.1290542660000069</v>
      </c>
      <c r="F188" s="323">
        <f t="shared" si="21"/>
        <v>7.5239862838067717</v>
      </c>
      <c r="G188" s="324">
        <f t="shared" si="18"/>
        <v>3.1470423646589243</v>
      </c>
    </row>
    <row r="189" spans="1:7" ht="18" hidden="1" customHeight="1">
      <c r="A189" s="318">
        <v>2008</v>
      </c>
      <c r="B189" s="328" t="s">
        <v>58</v>
      </c>
      <c r="C189" s="320">
        <f t="shared" si="20"/>
        <v>146752.62772071527</v>
      </c>
      <c r="D189" s="321">
        <v>0.54110000000000003</v>
      </c>
      <c r="E189" s="327">
        <f t="shared" si="25"/>
        <v>1.6762635786333302</v>
      </c>
      <c r="F189" s="323">
        <f t="shared" si="21"/>
        <v>7.3665796725429944</v>
      </c>
      <c r="G189" s="324">
        <f t="shared" si="18"/>
        <v>3.1301053645314445</v>
      </c>
    </row>
    <row r="190" spans="1:7" ht="18" hidden="1" customHeight="1">
      <c r="A190" s="318">
        <v>2008</v>
      </c>
      <c r="B190" s="328" t="s">
        <v>59</v>
      </c>
      <c r="C190" s="320">
        <f t="shared" si="20"/>
        <v>147627.27338193072</v>
      </c>
      <c r="D190" s="321">
        <v>0.59599999999999997</v>
      </c>
      <c r="E190" s="327">
        <f t="shared" si="25"/>
        <v>2.2822541095619764</v>
      </c>
      <c r="F190" s="323">
        <f t="shared" si="21"/>
        <v>7.3326501100007491</v>
      </c>
      <c r="G190" s="324">
        <f t="shared" si="18"/>
        <v>3.1115604641650214</v>
      </c>
    </row>
    <row r="191" spans="1:7" ht="18" hidden="1" customHeight="1">
      <c r="A191" s="318">
        <v>2008</v>
      </c>
      <c r="B191" s="328" t="s">
        <v>60</v>
      </c>
      <c r="C191" s="320">
        <f t="shared" si="20"/>
        <v>148474.65393114302</v>
      </c>
      <c r="D191" s="321">
        <v>0.57399999999999995</v>
      </c>
      <c r="E191" s="327">
        <f t="shared" si="25"/>
        <v>2.8693542481508683</v>
      </c>
      <c r="F191" s="323">
        <f t="shared" si="21"/>
        <v>7.2306160857062096</v>
      </c>
      <c r="G191" s="324">
        <f t="shared" si="18"/>
        <v>3.0938020404528217</v>
      </c>
    </row>
    <row r="192" spans="1:7" ht="18" hidden="1" customHeight="1">
      <c r="A192" s="318">
        <v>2008</v>
      </c>
      <c r="B192" s="328" t="s">
        <v>61</v>
      </c>
      <c r="C192" s="320">
        <f t="shared" si="20"/>
        <v>149388.07000212741</v>
      </c>
      <c r="D192" s="321">
        <v>0.61519999999999997</v>
      </c>
      <c r="E192" s="327">
        <f t="shared" si="25"/>
        <v>3.5022065154854953</v>
      </c>
      <c r="F192" s="323">
        <f t="shared" si="21"/>
        <v>7.2511890006108359</v>
      </c>
      <c r="G192" s="324">
        <f t="shared" si="18"/>
        <v>3.0748853458054271</v>
      </c>
    </row>
    <row r="193" spans="1:7" ht="18" hidden="1" customHeight="1">
      <c r="A193" s="318">
        <v>2008</v>
      </c>
      <c r="B193" s="328" t="s">
        <v>62</v>
      </c>
      <c r="C193" s="320">
        <f t="shared" si="20"/>
        <v>150422.43299882213</v>
      </c>
      <c r="D193" s="321">
        <v>0.69240000000000002</v>
      </c>
      <c r="E193" s="327">
        <f t="shared" si="25"/>
        <v>4.2188557933987125</v>
      </c>
      <c r="F193" s="323">
        <f t="shared" si="21"/>
        <v>7.2989283731068166</v>
      </c>
      <c r="G193" s="324">
        <f t="shared" si="18"/>
        <v>3.0537412414496301</v>
      </c>
    </row>
    <row r="194" spans="1:7" ht="18" hidden="1" customHeight="1">
      <c r="A194" s="318">
        <v>2008</v>
      </c>
      <c r="B194" s="328" t="s">
        <v>63</v>
      </c>
      <c r="C194" s="320">
        <f t="shared" si="20"/>
        <v>151412.51345282039</v>
      </c>
      <c r="D194" s="321">
        <v>0.65820000000000001</v>
      </c>
      <c r="E194" s="327">
        <f t="shared" si="25"/>
        <v>4.9048243022308702</v>
      </c>
      <c r="F194" s="323">
        <f t="shared" si="21"/>
        <v>7.310548737679623</v>
      </c>
      <c r="G194" s="324">
        <f t="shared" si="18"/>
        <v>3.0337729479065088</v>
      </c>
    </row>
    <row r="195" spans="1:7" ht="18" hidden="1" customHeight="1">
      <c r="A195" s="318">
        <v>2008</v>
      </c>
      <c r="B195" s="328" t="s">
        <v>64</v>
      </c>
      <c r="C195" s="320">
        <f t="shared" si="20"/>
        <v>152469.37279672109</v>
      </c>
      <c r="D195" s="321">
        <v>0.69799999999999995</v>
      </c>
      <c r="E195" s="327">
        <f t="shared" si="25"/>
        <v>5.6370599758604367</v>
      </c>
      <c r="F195" s="323">
        <f t="shared" si="21"/>
        <v>7.4841064618717645</v>
      </c>
      <c r="G195" s="324">
        <f t="shared" si="18"/>
        <v>3.0127439948226469</v>
      </c>
    </row>
    <row r="196" spans="1:7" ht="18" hidden="1" customHeight="1">
      <c r="A196" s="318">
        <v>2008</v>
      </c>
      <c r="B196" s="328" t="s">
        <v>65</v>
      </c>
      <c r="C196" s="320">
        <f t="shared" si="20"/>
        <v>153615.79001077963</v>
      </c>
      <c r="D196" s="321">
        <v>0.75190000000000001</v>
      </c>
      <c r="E196" s="327">
        <f t="shared" si="25"/>
        <v>6.4313450298189245</v>
      </c>
      <c r="F196" s="323">
        <f t="shared" si="21"/>
        <v>7.6305667340774486</v>
      </c>
      <c r="G196" s="324">
        <f t="shared" si="18"/>
        <v>2.9902602281670587</v>
      </c>
    </row>
    <row r="197" spans="1:7" ht="18" hidden="1" customHeight="1">
      <c r="A197" s="318">
        <v>2008</v>
      </c>
      <c r="B197" s="328" t="s">
        <v>66</v>
      </c>
      <c r="C197" s="320">
        <f t="shared" si="20"/>
        <v>154633.64823539107</v>
      </c>
      <c r="D197" s="321">
        <v>0.66259999999999997</v>
      </c>
      <c r="E197" s="327">
        <f t="shared" si="25"/>
        <v>7.1365591219865188</v>
      </c>
      <c r="F197" s="323">
        <f t="shared" si="21"/>
        <v>7.741130725111911</v>
      </c>
      <c r="G197" s="324">
        <f t="shared" si="18"/>
        <v>2.970577183747547</v>
      </c>
    </row>
    <row r="198" spans="1:7" ht="18" hidden="1" customHeight="1">
      <c r="A198" s="318">
        <v>2008</v>
      </c>
      <c r="B198" s="328" t="s">
        <v>55</v>
      </c>
      <c r="C198" s="320">
        <f t="shared" si="20"/>
        <v>155740.82515675647</v>
      </c>
      <c r="D198" s="321">
        <v>0.71599999999999997</v>
      </c>
      <c r="E198" s="327">
        <f t="shared" si="25"/>
        <v>7.9036568852999478</v>
      </c>
      <c r="F198" s="323">
        <f t="shared" si="21"/>
        <v>7.9036568852999478</v>
      </c>
      <c r="G198" s="324">
        <f t="shared" si="18"/>
        <v>2.949459056900142</v>
      </c>
    </row>
    <row r="199" spans="1:7" ht="18" hidden="1" customHeight="1">
      <c r="A199" s="318">
        <v>2009</v>
      </c>
      <c r="B199" s="328" t="s">
        <v>56</v>
      </c>
      <c r="C199" s="320">
        <f t="shared" si="20"/>
        <v>156807.49406825512</v>
      </c>
      <c r="D199" s="321">
        <v>0.68489999999999995</v>
      </c>
      <c r="E199" s="327">
        <f t="shared" ref="E199:E206" si="26">100*(C199/$C$198-1)</f>
        <v>0.6849000000000105</v>
      </c>
      <c r="F199" s="323">
        <f t="shared" si="21"/>
        <v>7.9931104718193868</v>
      </c>
      <c r="G199" s="324">
        <f t="shared" ref="G199:G262" si="27">+$C$407/C199</f>
        <v>2.9293956262559147</v>
      </c>
    </row>
    <row r="200" spans="1:7" ht="18" hidden="1" customHeight="1">
      <c r="A200" s="318">
        <v>2009</v>
      </c>
      <c r="B200" s="328" t="s">
        <v>57</v>
      </c>
      <c r="C200" s="320">
        <f t="shared" si="20"/>
        <v>157662.56533340932</v>
      </c>
      <c r="D200" s="321">
        <v>0.54530000000000001</v>
      </c>
      <c r="E200" s="327">
        <f t="shared" si="26"/>
        <v>1.2339347597000172</v>
      </c>
      <c r="F200" s="323">
        <f t="shared" si="21"/>
        <v>8.015563289332972</v>
      </c>
      <c r="G200" s="324">
        <f t="shared" si="27"/>
        <v>2.9135082656831446</v>
      </c>
    </row>
    <row r="201" spans="1:7" ht="18" hidden="1" customHeight="1">
      <c r="A201" s="318">
        <v>2009</v>
      </c>
      <c r="B201" s="328" t="s">
        <v>58</v>
      </c>
      <c r="C201" s="320">
        <f t="shared" si="20"/>
        <v>158678.70056698314</v>
      </c>
      <c r="D201" s="321">
        <v>0.64449999999999996</v>
      </c>
      <c r="E201" s="327">
        <f t="shared" si="26"/>
        <v>1.8863874692262916</v>
      </c>
      <c r="F201" s="323">
        <f t="shared" si="21"/>
        <v>8.1266502900134476</v>
      </c>
      <c r="G201" s="324">
        <f t="shared" si="27"/>
        <v>2.8948509513020033</v>
      </c>
    </row>
    <row r="202" spans="1:7" ht="18" hidden="1" customHeight="1">
      <c r="A202" s="318">
        <v>2009</v>
      </c>
      <c r="B202" s="328" t="s">
        <v>59</v>
      </c>
      <c r="C202" s="320">
        <f t="shared" si="20"/>
        <v>159544.4515572766</v>
      </c>
      <c r="D202" s="321">
        <v>0.54559999999999997</v>
      </c>
      <c r="E202" s="327">
        <f t="shared" si="26"/>
        <v>2.442279599258379</v>
      </c>
      <c r="F202" s="323">
        <f t="shared" si="21"/>
        <v>8.0724773291142462</v>
      </c>
      <c r="G202" s="324">
        <f t="shared" si="27"/>
        <v>2.8791423506369282</v>
      </c>
    </row>
    <row r="203" spans="1:7" ht="18" hidden="1" customHeight="1">
      <c r="A203" s="318">
        <v>2009</v>
      </c>
      <c r="B203" s="328" t="s">
        <v>60</v>
      </c>
      <c r="C203" s="320">
        <f t="shared" si="20"/>
        <v>160414.12836271533</v>
      </c>
      <c r="D203" s="321">
        <v>0.54510000000000003</v>
      </c>
      <c r="E203" s="327">
        <f t="shared" si="26"/>
        <v>3.0006924653539491</v>
      </c>
      <c r="F203" s="323">
        <f t="shared" si="21"/>
        <v>8.0414226370983055</v>
      </c>
      <c r="G203" s="324">
        <f t="shared" si="27"/>
        <v>2.8635332309947752</v>
      </c>
    </row>
    <row r="204" spans="1:7" ht="18" hidden="1" customHeight="1">
      <c r="A204" s="318">
        <v>2009</v>
      </c>
      <c r="B204" s="328" t="s">
        <v>61</v>
      </c>
      <c r="C204" s="320">
        <f t="shared" ref="C204:C267" si="28">+C203*(1+D204/100)</f>
        <v>161321.91191511994</v>
      </c>
      <c r="D204" s="321">
        <v>0.56589999999999996</v>
      </c>
      <c r="E204" s="327">
        <f t="shared" si="26"/>
        <v>3.5835733840153816</v>
      </c>
      <c r="F204" s="323">
        <f t="shared" si="21"/>
        <v>7.9884838948803605</v>
      </c>
      <c r="G204" s="324">
        <f t="shared" si="27"/>
        <v>2.8474196830086296</v>
      </c>
    </row>
    <row r="205" spans="1:7" ht="18" hidden="1" customHeight="1">
      <c r="A205" s="318">
        <v>2009</v>
      </c>
      <c r="B205" s="328" t="s">
        <v>62</v>
      </c>
      <c r="C205" s="320">
        <f t="shared" si="28"/>
        <v>162298.87741367792</v>
      </c>
      <c r="D205" s="321">
        <v>0.60560000000000003</v>
      </c>
      <c r="E205" s="327">
        <f t="shared" si="26"/>
        <v>4.2108755044290014</v>
      </c>
      <c r="F205" s="323">
        <f t="shared" si="21"/>
        <v>7.895394442229775</v>
      </c>
      <c r="G205" s="324">
        <f t="shared" si="27"/>
        <v>2.8302795102942868</v>
      </c>
    </row>
    <row r="206" spans="1:7" ht="18" hidden="1" customHeight="1">
      <c r="A206" s="318">
        <v>2009</v>
      </c>
      <c r="B206" s="328" t="s">
        <v>77</v>
      </c>
      <c r="C206" s="320">
        <f t="shared" si="28"/>
        <v>163142.50697847424</v>
      </c>
      <c r="D206" s="321">
        <v>0.51980000000000004</v>
      </c>
      <c r="E206" s="327">
        <f t="shared" si="26"/>
        <v>4.7525636353010325</v>
      </c>
      <c r="F206" s="323">
        <f t="shared" si="21"/>
        <v>7.7470436611627003</v>
      </c>
      <c r="G206" s="324">
        <f t="shared" si="27"/>
        <v>2.8156437938538343</v>
      </c>
    </row>
    <row r="207" spans="1:7" ht="18" hidden="1" customHeight="1">
      <c r="A207" s="318">
        <v>2009</v>
      </c>
      <c r="B207" s="328" t="s">
        <v>79</v>
      </c>
      <c r="C207" s="320">
        <f t="shared" si="28"/>
        <v>163958.21951336658</v>
      </c>
      <c r="D207" s="321">
        <v>0.5</v>
      </c>
      <c r="E207" s="327">
        <f>100*(C207/$C$198-1)</f>
        <v>5.2763264534775089</v>
      </c>
      <c r="F207" s="323">
        <f t="shared" si="21"/>
        <v>7.5351833000342427</v>
      </c>
      <c r="G207" s="324">
        <f t="shared" si="27"/>
        <v>2.80163561577496</v>
      </c>
    </row>
    <row r="208" spans="1:7" ht="18" hidden="1" customHeight="1">
      <c r="A208" s="318">
        <v>2009</v>
      </c>
      <c r="B208" s="328" t="s">
        <v>65</v>
      </c>
      <c r="C208" s="320">
        <f t="shared" si="28"/>
        <v>164778.01061093339</v>
      </c>
      <c r="D208" s="321">
        <v>0.5</v>
      </c>
      <c r="E208" s="327">
        <f>100*(C208/$C$198-1)</f>
        <v>5.8027080857448787</v>
      </c>
      <c r="F208" s="323">
        <f t="shared" si="21"/>
        <v>7.2663237284204207</v>
      </c>
      <c r="G208" s="324">
        <f t="shared" si="27"/>
        <v>2.787697130124339</v>
      </c>
    </row>
    <row r="209" spans="1:7" ht="18" hidden="1" customHeight="1">
      <c r="A209" s="318">
        <v>2009</v>
      </c>
      <c r="B209" s="328" t="s">
        <v>66</v>
      </c>
      <c r="C209" s="320">
        <f t="shared" si="28"/>
        <v>165601.90066398802</v>
      </c>
      <c r="D209" s="321">
        <v>0.5</v>
      </c>
      <c r="E209" s="327">
        <f>100*(C209/$C$198-1)</f>
        <v>6.331721626173592</v>
      </c>
      <c r="F209" s="323">
        <f t="shared" si="21"/>
        <v>7.0930567530169908</v>
      </c>
      <c r="G209" s="324">
        <f t="shared" si="27"/>
        <v>2.7738279901734719</v>
      </c>
    </row>
    <row r="210" spans="1:7" ht="18" hidden="1" customHeight="1">
      <c r="A210" s="318">
        <v>2009</v>
      </c>
      <c r="B210" s="328" t="s">
        <v>55</v>
      </c>
      <c r="C210" s="320">
        <f t="shared" si="28"/>
        <v>166518.67278606386</v>
      </c>
      <c r="D210" s="321">
        <v>0.55359999999999998</v>
      </c>
      <c r="E210" s="327">
        <f>100*(C210/$C$198-1)</f>
        <v>6.9203740370960887</v>
      </c>
      <c r="F210" s="323">
        <f t="shared" si="21"/>
        <v>6.9203740370960887</v>
      </c>
      <c r="G210" s="324">
        <f t="shared" si="27"/>
        <v>2.7585566207211598</v>
      </c>
    </row>
    <row r="211" spans="1:7" ht="18" hidden="1" customHeight="1">
      <c r="A211" s="318">
        <v>2010</v>
      </c>
      <c r="B211" s="328" t="s">
        <v>70</v>
      </c>
      <c r="C211" s="320">
        <f t="shared" si="28"/>
        <v>167351.26614999416</v>
      </c>
      <c r="D211" s="321">
        <v>0.5</v>
      </c>
      <c r="E211" s="327">
        <f t="shared" ref="E211:E222" si="29">100*(C211/$C$210-1)</f>
        <v>0.49999999999998934</v>
      </c>
      <c r="F211" s="323">
        <f t="shared" ref="F211:F274" si="30">100*(C211/C199-1)</f>
        <v>6.7240230732528383</v>
      </c>
      <c r="G211" s="324">
        <f t="shared" si="27"/>
        <v>2.7448324584290149</v>
      </c>
    </row>
    <row r="212" spans="1:7" ht="18" hidden="1" customHeight="1">
      <c r="A212" s="318">
        <v>2010</v>
      </c>
      <c r="B212" s="328" t="s">
        <v>57</v>
      </c>
      <c r="C212" s="320">
        <f t="shared" si="28"/>
        <v>168188.02248074411</v>
      </c>
      <c r="D212" s="321">
        <v>0.5</v>
      </c>
      <c r="E212" s="327">
        <f t="shared" si="29"/>
        <v>1.0024999999999729</v>
      </c>
      <c r="F212" s="323">
        <f t="shared" si="30"/>
        <v>6.6759392916616589</v>
      </c>
      <c r="G212" s="324">
        <f t="shared" si="27"/>
        <v>2.7311765755512591</v>
      </c>
    </row>
    <row r="213" spans="1:7" ht="18" hidden="1" customHeight="1">
      <c r="A213" s="318">
        <v>2010</v>
      </c>
      <c r="B213" s="328" t="s">
        <v>72</v>
      </c>
      <c r="C213" s="320">
        <f t="shared" si="28"/>
        <v>169162.84025904248</v>
      </c>
      <c r="D213" s="321">
        <v>0.5796</v>
      </c>
      <c r="E213" s="327">
        <f t="shared" si="29"/>
        <v>1.5879104899999552</v>
      </c>
      <c r="F213" s="323">
        <f t="shared" si="30"/>
        <v>6.6071499543403744</v>
      </c>
      <c r="G213" s="324">
        <f t="shared" si="27"/>
        <v>2.7154378974973645</v>
      </c>
    </row>
    <row r="214" spans="1:7" ht="18" hidden="1" customHeight="1">
      <c r="A214" s="318">
        <v>2010</v>
      </c>
      <c r="B214" s="328" t="s">
        <v>73</v>
      </c>
      <c r="C214" s="320">
        <f t="shared" si="28"/>
        <v>170008.65446033768</v>
      </c>
      <c r="D214" s="321">
        <v>0.5</v>
      </c>
      <c r="E214" s="327">
        <f t="shared" si="29"/>
        <v>2.0958500424499427</v>
      </c>
      <c r="F214" s="323">
        <f t="shared" si="30"/>
        <v>6.5588008864754688</v>
      </c>
      <c r="G214" s="324">
        <f t="shared" si="27"/>
        <v>2.7019282562162834</v>
      </c>
    </row>
    <row r="215" spans="1:7" ht="18" hidden="1" customHeight="1">
      <c r="A215" s="318">
        <v>2010</v>
      </c>
      <c r="B215" s="328" t="s">
        <v>74</v>
      </c>
      <c r="C215" s="320">
        <f t="shared" si="28"/>
        <v>170945.91217237755</v>
      </c>
      <c r="D215" s="321">
        <v>0.55130000000000001</v>
      </c>
      <c r="E215" s="327">
        <f t="shared" si="29"/>
        <v>2.6587044637339963</v>
      </c>
      <c r="F215" s="323">
        <f t="shared" si="30"/>
        <v>6.5653717145466084</v>
      </c>
      <c r="G215" s="324">
        <f t="shared" si="27"/>
        <v>2.6871141956556337</v>
      </c>
    </row>
    <row r="216" spans="1:7" ht="18" hidden="1" customHeight="1">
      <c r="A216" s="318">
        <v>2010</v>
      </c>
      <c r="B216" s="328" t="s">
        <v>75</v>
      </c>
      <c r="C216" s="320">
        <f t="shared" si="28"/>
        <v>171901.84171324549</v>
      </c>
      <c r="D216" s="321">
        <v>0.55920000000000003</v>
      </c>
      <c r="E216" s="327">
        <f t="shared" si="29"/>
        <v>3.2327719390951914</v>
      </c>
      <c r="F216" s="323">
        <f t="shared" si="30"/>
        <v>6.5582720118592563</v>
      </c>
      <c r="G216" s="324">
        <f t="shared" si="27"/>
        <v>2.6721714131135026</v>
      </c>
    </row>
    <row r="217" spans="1:7" ht="18" hidden="1" customHeight="1">
      <c r="A217" s="318">
        <v>2010</v>
      </c>
      <c r="B217" s="328" t="s">
        <v>76</v>
      </c>
      <c r="C217" s="320">
        <f t="shared" si="28"/>
        <v>172960.24135267394</v>
      </c>
      <c r="D217" s="321">
        <v>0.61570000000000003</v>
      </c>
      <c r="E217" s="327">
        <f t="shared" si="29"/>
        <v>3.8683761159242103</v>
      </c>
      <c r="F217" s="323">
        <f t="shared" si="30"/>
        <v>6.568969612661979</v>
      </c>
      <c r="G217" s="324">
        <f t="shared" si="27"/>
        <v>2.6558195322534184</v>
      </c>
    </row>
    <row r="218" spans="1:7" ht="18" hidden="1" customHeight="1">
      <c r="A218" s="318">
        <v>2010</v>
      </c>
      <c r="B218" s="328" t="s">
        <v>77</v>
      </c>
      <c r="C218" s="320">
        <f t="shared" si="28"/>
        <v>173983.12822003366</v>
      </c>
      <c r="D218" s="321">
        <v>0.59140000000000004</v>
      </c>
      <c r="E218" s="327">
        <f t="shared" si="29"/>
        <v>4.4826536922737859</v>
      </c>
      <c r="F218" s="323">
        <f t="shared" si="30"/>
        <v>6.6448784209193201</v>
      </c>
      <c r="G218" s="324">
        <f t="shared" si="27"/>
        <v>2.6402053577675808</v>
      </c>
    </row>
    <row r="219" spans="1:7" ht="18" hidden="1" customHeight="1">
      <c r="A219" s="318">
        <v>2010</v>
      </c>
      <c r="B219" s="328" t="s">
        <v>79</v>
      </c>
      <c r="C219" s="320">
        <f t="shared" si="28"/>
        <v>175004.06121642882</v>
      </c>
      <c r="D219" s="321">
        <v>0.58679999999999999</v>
      </c>
      <c r="E219" s="327">
        <f t="shared" si="29"/>
        <v>5.0957579041400525</v>
      </c>
      <c r="F219" s="323">
        <f t="shared" si="30"/>
        <v>6.7369856392968108</v>
      </c>
      <c r="G219" s="324">
        <f t="shared" si="27"/>
        <v>2.6248030136832874</v>
      </c>
    </row>
    <row r="220" spans="1:7" ht="18" hidden="1" customHeight="1">
      <c r="A220" s="318">
        <v>2010</v>
      </c>
      <c r="B220" s="328" t="s">
        <v>78</v>
      </c>
      <c r="C220" s="320">
        <f t="shared" si="28"/>
        <v>175962.03344752756</v>
      </c>
      <c r="D220" s="321">
        <v>0.5474</v>
      </c>
      <c r="E220" s="327">
        <f t="shared" si="29"/>
        <v>5.6710520829073241</v>
      </c>
      <c r="F220" s="323">
        <f t="shared" si="30"/>
        <v>6.7873272623744763</v>
      </c>
      <c r="G220" s="324">
        <f t="shared" si="27"/>
        <v>2.6105130651645765</v>
      </c>
    </row>
    <row r="221" spans="1:7" ht="18" hidden="1" customHeight="1">
      <c r="A221" s="318">
        <v>2010</v>
      </c>
      <c r="B221" s="328" t="s">
        <v>68</v>
      </c>
      <c r="C221" s="320">
        <f t="shared" si="28"/>
        <v>176901.31878207048</v>
      </c>
      <c r="D221" s="321">
        <v>0.53380000000000005</v>
      </c>
      <c r="E221" s="327">
        <f t="shared" si="29"/>
        <v>6.2351241589258866</v>
      </c>
      <c r="F221" s="323">
        <f t="shared" si="30"/>
        <v>6.8232418062696976</v>
      </c>
      <c r="G221" s="324">
        <f t="shared" si="27"/>
        <v>2.5966521360622759</v>
      </c>
    </row>
    <row r="222" spans="1:7" ht="18" hidden="1" customHeight="1">
      <c r="A222" s="318">
        <v>2010</v>
      </c>
      <c r="B222" s="328" t="s">
        <v>69</v>
      </c>
      <c r="C222" s="320">
        <f t="shared" si="28"/>
        <v>178035.78693941989</v>
      </c>
      <c r="D222" s="321">
        <v>0.64129999999999998</v>
      </c>
      <c r="E222" s="327">
        <f t="shared" si="29"/>
        <v>6.9164100101570813</v>
      </c>
      <c r="F222" s="323">
        <f t="shared" si="30"/>
        <v>6.9164100101570813</v>
      </c>
      <c r="G222" s="324">
        <f t="shared" si="27"/>
        <v>2.5801059168177236</v>
      </c>
    </row>
    <row r="223" spans="1:7" ht="18" customHeight="1">
      <c r="A223" s="330">
        <v>2011</v>
      </c>
      <c r="B223" s="331" t="s">
        <v>70</v>
      </c>
      <c r="C223" s="332">
        <f t="shared" si="28"/>
        <v>179053.97360492643</v>
      </c>
      <c r="D223" s="333">
        <v>0.57189999999999996</v>
      </c>
      <c r="E223" s="334">
        <f>100*(C223/$C$222-1)</f>
        <v>0.57190000000000296</v>
      </c>
      <c r="F223" s="335">
        <f t="shared" si="30"/>
        <v>6.9929004567215625</v>
      </c>
      <c r="G223" s="336">
        <f t="shared" si="27"/>
        <v>2.5654341986357259</v>
      </c>
    </row>
    <row r="224" spans="1:7" ht="18" customHeight="1">
      <c r="A224" s="337">
        <v>2011</v>
      </c>
      <c r="B224" s="338" t="s">
        <v>71</v>
      </c>
      <c r="C224" s="339">
        <f t="shared" si="28"/>
        <v>180043.60491704088</v>
      </c>
      <c r="D224" s="340">
        <v>0.55269999999999997</v>
      </c>
      <c r="E224" s="341">
        <f t="shared" ref="E224:E234" si="31">100*(C224/$C$222-1)</f>
        <v>1.1277608913000003</v>
      </c>
      <c r="F224" s="342">
        <f t="shared" si="30"/>
        <v>7.0490051915879537</v>
      </c>
      <c r="G224" s="343">
        <f t="shared" si="27"/>
        <v>2.551332981248366</v>
      </c>
    </row>
    <row r="225" spans="1:7" ht="18" customHeight="1">
      <c r="A225" s="337">
        <v>2011</v>
      </c>
      <c r="B225" s="338" t="s">
        <v>72</v>
      </c>
      <c r="C225" s="339">
        <f t="shared" si="28"/>
        <v>181163.11605241505</v>
      </c>
      <c r="D225" s="340">
        <v>0.62180000000000002</v>
      </c>
      <c r="E225" s="341">
        <f t="shared" si="31"/>
        <v>1.7565733085221247</v>
      </c>
      <c r="F225" s="342">
        <f t="shared" si="30"/>
        <v>7.0939195481680928</v>
      </c>
      <c r="G225" s="343">
        <f t="shared" si="27"/>
        <v>2.5355668267198221</v>
      </c>
    </row>
    <row r="226" spans="1:7" ht="18" customHeight="1">
      <c r="A226" s="337">
        <v>2011</v>
      </c>
      <c r="B226" s="338" t="s">
        <v>73</v>
      </c>
      <c r="C226" s="339">
        <f t="shared" si="28"/>
        <v>182136.14314873258</v>
      </c>
      <c r="D226" s="340">
        <v>0.53710000000000002</v>
      </c>
      <c r="E226" s="341">
        <f t="shared" si="31"/>
        <v>2.3031078637621993</v>
      </c>
      <c r="F226" s="342">
        <f t="shared" si="30"/>
        <v>7.1334537214540417</v>
      </c>
      <c r="G226" s="343">
        <f t="shared" si="27"/>
        <v>2.5220210516514023</v>
      </c>
    </row>
    <row r="227" spans="1:7" ht="18" customHeight="1">
      <c r="A227" s="337">
        <v>2011</v>
      </c>
      <c r="B227" s="338" t="s">
        <v>74</v>
      </c>
      <c r="C227" s="339">
        <f t="shared" si="28"/>
        <v>183323.30652977602</v>
      </c>
      <c r="D227" s="340">
        <v>0.65180000000000005</v>
      </c>
      <c r="E227" s="341">
        <f t="shared" si="31"/>
        <v>2.9699195208181983</v>
      </c>
      <c r="F227" s="342">
        <f t="shared" si="30"/>
        <v>7.240532517043996</v>
      </c>
      <c r="G227" s="343">
        <f t="shared" si="27"/>
        <v>2.5056889709388228</v>
      </c>
    </row>
    <row r="228" spans="1:7" ht="18" customHeight="1">
      <c r="A228" s="337">
        <v>2011</v>
      </c>
      <c r="B228" s="338" t="s">
        <v>75</v>
      </c>
      <c r="C228" s="339">
        <f t="shared" si="28"/>
        <v>184445.24516573822</v>
      </c>
      <c r="D228" s="340">
        <v>0.61199999999999999</v>
      </c>
      <c r="E228" s="341">
        <f t="shared" si="31"/>
        <v>3.6000954282855879</v>
      </c>
      <c r="F228" s="342">
        <f t="shared" si="30"/>
        <v>7.2968406431716648</v>
      </c>
      <c r="G228" s="343">
        <f t="shared" si="27"/>
        <v>2.4904474326509991</v>
      </c>
    </row>
    <row r="229" spans="1:7" ht="18" customHeight="1">
      <c r="A229" s="337">
        <v>2011</v>
      </c>
      <c r="B229" s="338" t="s">
        <v>76</v>
      </c>
      <c r="C229" s="339">
        <f t="shared" si="28"/>
        <v>185595.26126934661</v>
      </c>
      <c r="D229" s="340">
        <v>0.62350000000000005</v>
      </c>
      <c r="E229" s="341">
        <f t="shared" si="31"/>
        <v>4.2460420232809604</v>
      </c>
      <c r="F229" s="342">
        <f t="shared" si="30"/>
        <v>7.3051585831851895</v>
      </c>
      <c r="G229" s="343">
        <f t="shared" si="27"/>
        <v>2.475015709701013</v>
      </c>
    </row>
    <row r="230" spans="1:7" ht="18" customHeight="1">
      <c r="A230" s="337">
        <v>2011</v>
      </c>
      <c r="B230" s="338" t="s">
        <v>77</v>
      </c>
      <c r="C230" s="339">
        <f t="shared" si="28"/>
        <v>186910.38929070119</v>
      </c>
      <c r="D230" s="340">
        <v>0.70860000000000001</v>
      </c>
      <c r="E230" s="341">
        <f t="shared" si="31"/>
        <v>4.9847294770579254</v>
      </c>
      <c r="F230" s="342">
        <f t="shared" si="30"/>
        <v>7.430180847374257</v>
      </c>
      <c r="G230" s="343">
        <f t="shared" si="27"/>
        <v>2.4576011479665225</v>
      </c>
    </row>
    <row r="231" spans="1:7" ht="18" customHeight="1">
      <c r="A231" s="337">
        <v>2011</v>
      </c>
      <c r="B231" s="338" t="s">
        <v>79</v>
      </c>
      <c r="C231" s="339">
        <f t="shared" si="28"/>
        <v>188033.34690955974</v>
      </c>
      <c r="D231" s="340">
        <v>0.6008</v>
      </c>
      <c r="E231" s="341">
        <f t="shared" si="31"/>
        <v>5.6154777317561022</v>
      </c>
      <c r="F231" s="342">
        <f t="shared" si="30"/>
        <v>7.4451333315159518</v>
      </c>
      <c r="G231" s="343">
        <f t="shared" si="27"/>
        <v>2.4429240602127642</v>
      </c>
    </row>
    <row r="232" spans="1:7" ht="18" customHeight="1">
      <c r="A232" s="337">
        <v>2011</v>
      </c>
      <c r="B232" s="338" t="s">
        <v>78</v>
      </c>
      <c r="C232" s="339">
        <f t="shared" si="28"/>
        <v>189090.65841923218</v>
      </c>
      <c r="D232" s="340">
        <v>0.56230000000000002</v>
      </c>
      <c r="E232" s="341">
        <f t="shared" si="31"/>
        <v>6.2093535630417529</v>
      </c>
      <c r="F232" s="342">
        <f t="shared" si="30"/>
        <v>7.461055498440583</v>
      </c>
      <c r="G232" s="343">
        <f t="shared" si="27"/>
        <v>2.4292643070144222</v>
      </c>
    </row>
    <row r="233" spans="1:7" ht="18" customHeight="1">
      <c r="A233" s="337">
        <v>2011</v>
      </c>
      <c r="B233" s="338" t="s">
        <v>68</v>
      </c>
      <c r="C233" s="339">
        <f t="shared" si="28"/>
        <v>190158.64245798401</v>
      </c>
      <c r="D233" s="340">
        <v>0.56479999999999997</v>
      </c>
      <c r="E233" s="341">
        <f t="shared" si="31"/>
        <v>6.8092239919658182</v>
      </c>
      <c r="F233" s="342">
        <f t="shared" si="30"/>
        <v>7.4941915454262986</v>
      </c>
      <c r="G233" s="343">
        <f t="shared" si="27"/>
        <v>2.415620880282586</v>
      </c>
    </row>
    <row r="234" spans="1:7" ht="18" customHeight="1">
      <c r="A234" s="337">
        <v>2011</v>
      </c>
      <c r="B234" s="338" t="s">
        <v>69</v>
      </c>
      <c r="C234" s="339">
        <f t="shared" si="28"/>
        <v>191288.56511146933</v>
      </c>
      <c r="D234" s="340">
        <v>0.59419999999999995</v>
      </c>
      <c r="E234" s="341">
        <f t="shared" si="31"/>
        <v>7.4438844009260707</v>
      </c>
      <c r="F234" s="342">
        <f t="shared" si="30"/>
        <v>7.4438844009260707</v>
      </c>
      <c r="G234" s="343">
        <f t="shared" si="27"/>
        <v>2.4013520464227422</v>
      </c>
    </row>
    <row r="235" spans="1:7" ht="18" customHeight="1">
      <c r="A235" s="337">
        <v>2012</v>
      </c>
      <c r="B235" s="338" t="s">
        <v>70</v>
      </c>
      <c r="C235" s="339">
        <f t="shared" si="28"/>
        <v>192411.04641154344</v>
      </c>
      <c r="D235" s="340">
        <v>0.58679999999999999</v>
      </c>
      <c r="E235" s="341">
        <f>100*(C235/$C$234-1)</f>
        <v>0.58679999999999843</v>
      </c>
      <c r="F235" s="342">
        <f t="shared" si="30"/>
        <v>7.4598025040699234</v>
      </c>
      <c r="G235" s="343">
        <f t="shared" si="27"/>
        <v>2.3873431170121151</v>
      </c>
    </row>
    <row r="236" spans="1:7" ht="18" customHeight="1">
      <c r="A236" s="337">
        <f>2012</f>
        <v>2012</v>
      </c>
      <c r="B236" s="338" t="s">
        <v>71</v>
      </c>
      <c r="C236" s="339">
        <f t="shared" si="28"/>
        <v>193373.10164360114</v>
      </c>
      <c r="D236" s="340">
        <v>0.5</v>
      </c>
      <c r="E236" s="341">
        <f t="shared" ref="E236:E246" si="32">100*(C236/$C$234-1)</f>
        <v>1.0897339999999867</v>
      </c>
      <c r="F236" s="342">
        <f t="shared" si="30"/>
        <v>7.4034824689841905</v>
      </c>
      <c r="G236" s="343">
        <f t="shared" si="27"/>
        <v>2.3754657880717565</v>
      </c>
    </row>
    <row r="237" spans="1:7" ht="18" customHeight="1">
      <c r="A237" s="337">
        <f>2012</f>
        <v>2012</v>
      </c>
      <c r="B237" s="338" t="s">
        <v>72</v>
      </c>
      <c r="C237" s="339">
        <f t="shared" si="28"/>
        <v>194547.45648988272</v>
      </c>
      <c r="D237" s="340">
        <v>0.60729999999999995</v>
      </c>
      <c r="E237" s="341">
        <f t="shared" si="32"/>
        <v>1.7036519545819973</v>
      </c>
      <c r="F237" s="342">
        <f t="shared" si="30"/>
        <v>7.3880052016743081</v>
      </c>
      <c r="G237" s="343">
        <f t="shared" si="27"/>
        <v>2.3611266658301702</v>
      </c>
    </row>
    <row r="238" spans="1:7" ht="18" customHeight="1">
      <c r="A238" s="337">
        <f>2012</f>
        <v>2012</v>
      </c>
      <c r="B238" s="338" t="s">
        <v>73</v>
      </c>
      <c r="C238" s="339">
        <f t="shared" si="28"/>
        <v>195564.55059241183</v>
      </c>
      <c r="D238" s="340">
        <v>0.52280000000000004</v>
      </c>
      <c r="E238" s="341">
        <f t="shared" si="32"/>
        <v>2.2353586470005515</v>
      </c>
      <c r="F238" s="342">
        <f t="shared" si="30"/>
        <v>7.3727307559782851</v>
      </c>
      <c r="G238" s="343">
        <f t="shared" si="27"/>
        <v>2.3488468942669423</v>
      </c>
    </row>
    <row r="239" spans="1:7" ht="18" customHeight="1">
      <c r="A239" s="337">
        <f>2012</f>
        <v>2012</v>
      </c>
      <c r="B239" s="338" t="s">
        <v>74</v>
      </c>
      <c r="C239" s="339">
        <f t="shared" si="28"/>
        <v>196634.28868415233</v>
      </c>
      <c r="D239" s="340">
        <v>0.54700000000000004</v>
      </c>
      <c r="E239" s="341">
        <f t="shared" si="32"/>
        <v>2.7945860587996307</v>
      </c>
      <c r="F239" s="342">
        <f t="shared" si="30"/>
        <v>7.2609328330079492</v>
      </c>
      <c r="G239" s="343">
        <f t="shared" si="27"/>
        <v>2.3360685990302468</v>
      </c>
    </row>
    <row r="240" spans="1:7" ht="18" customHeight="1">
      <c r="A240" s="337">
        <f>2012</f>
        <v>2012</v>
      </c>
      <c r="B240" s="338" t="s">
        <v>75</v>
      </c>
      <c r="C240" s="339">
        <f t="shared" si="28"/>
        <v>197583.63902991943</v>
      </c>
      <c r="D240" s="340">
        <v>0.48280000000000001</v>
      </c>
      <c r="E240" s="341">
        <f t="shared" si="32"/>
        <v>3.2908783202915348</v>
      </c>
      <c r="F240" s="342">
        <f t="shared" si="30"/>
        <v>7.1231946653736555</v>
      </c>
      <c r="G240" s="343">
        <f t="shared" si="27"/>
        <v>2.3248442509864842</v>
      </c>
    </row>
    <row r="241" spans="1:7" ht="18" customHeight="1">
      <c r="A241" s="337">
        <f>2012</f>
        <v>2012</v>
      </c>
      <c r="B241" s="338" t="s">
        <v>76</v>
      </c>
      <c r="C241" s="339">
        <f t="shared" si="28"/>
        <v>198566.2224668152</v>
      </c>
      <c r="D241" s="340">
        <v>0.49730000000000002</v>
      </c>
      <c r="E241" s="341">
        <f t="shared" si="32"/>
        <v>3.8045438581783442</v>
      </c>
      <c r="F241" s="342">
        <f t="shared" si="30"/>
        <v>6.988842877105772</v>
      </c>
      <c r="G241" s="343">
        <f t="shared" si="27"/>
        <v>2.3133400111112281</v>
      </c>
    </row>
    <row r="242" spans="1:7" ht="18" customHeight="1">
      <c r="A242" s="337">
        <f>2012</f>
        <v>2012</v>
      </c>
      <c r="B242" s="338" t="s">
        <v>77</v>
      </c>
      <c r="C242" s="339">
        <f t="shared" si="28"/>
        <v>199494.51955684758</v>
      </c>
      <c r="D242" s="340">
        <v>0.46750000000000003</v>
      </c>
      <c r="E242" s="341">
        <f t="shared" si="32"/>
        <v>4.2898301007153306</v>
      </c>
      <c r="F242" s="342">
        <f t="shared" si="30"/>
        <v>6.7327077504366617</v>
      </c>
      <c r="G242" s="343">
        <f t="shared" si="27"/>
        <v>2.3025754707853068</v>
      </c>
    </row>
    <row r="243" spans="1:7" ht="18" customHeight="1">
      <c r="A243" s="337">
        <f>2012</f>
        <v>2012</v>
      </c>
      <c r="B243" s="338" t="s">
        <v>79</v>
      </c>
      <c r="C243" s="339">
        <f t="shared" si="28"/>
        <v>200346.95963891398</v>
      </c>
      <c r="D243" s="340">
        <v>0.42730000000000001</v>
      </c>
      <c r="E243" s="341">
        <f t="shared" si="32"/>
        <v>4.7354605447356812</v>
      </c>
      <c r="F243" s="342">
        <f t="shared" si="30"/>
        <v>6.5486324270326524</v>
      </c>
      <c r="G243" s="343">
        <f t="shared" si="27"/>
        <v>2.2927784285600694</v>
      </c>
    </row>
    <row r="244" spans="1:7" ht="18" customHeight="1">
      <c r="A244" s="337">
        <f>2012</f>
        <v>2012</v>
      </c>
      <c r="B244" s="338" t="s">
        <v>78</v>
      </c>
      <c r="C244" s="339">
        <f t="shared" si="28"/>
        <v>201203.04219745105</v>
      </c>
      <c r="D244" s="340">
        <v>0.42730000000000001</v>
      </c>
      <c r="E244" s="341">
        <f t="shared" si="32"/>
        <v>5.1829951676433339</v>
      </c>
      <c r="F244" s="342">
        <f t="shared" si="30"/>
        <v>6.4055960667102729</v>
      </c>
      <c r="G244" s="343">
        <f t="shared" si="27"/>
        <v>2.2830230709777815</v>
      </c>
    </row>
    <row r="245" spans="1:7" ht="18" customHeight="1">
      <c r="A245" s="337">
        <f>2012</f>
        <v>2012</v>
      </c>
      <c r="B245" s="338" t="s">
        <v>68</v>
      </c>
      <c r="C245" s="339">
        <f t="shared" si="28"/>
        <v>202034.81557389532</v>
      </c>
      <c r="D245" s="340">
        <v>0.41339999999999999</v>
      </c>
      <c r="E245" s="341">
        <f t="shared" si="32"/>
        <v>5.6178216696663785</v>
      </c>
      <c r="F245" s="342">
        <f t="shared" si="30"/>
        <v>6.2454027660275191</v>
      </c>
      <c r="G245" s="343">
        <f t="shared" si="27"/>
        <v>2.2736239097349373</v>
      </c>
    </row>
    <row r="246" spans="1:7" ht="18" customHeight="1">
      <c r="A246" s="337">
        <f>2012</f>
        <v>2012</v>
      </c>
      <c r="B246" s="338" t="s">
        <v>69</v>
      </c>
      <c r="C246" s="339">
        <f t="shared" si="28"/>
        <v>202870.02750147783</v>
      </c>
      <c r="D246" s="340">
        <v>0.41339999999999999</v>
      </c>
      <c r="E246" s="341">
        <f t="shared" si="32"/>
        <v>6.0544457444487776</v>
      </c>
      <c r="F246" s="342">
        <f t="shared" si="30"/>
        <v>6.0544457444487776</v>
      </c>
      <c r="G246" s="343">
        <f t="shared" si="27"/>
        <v>2.2642634446547345</v>
      </c>
    </row>
    <row r="247" spans="1:7" ht="18" customHeight="1">
      <c r="A247" s="337">
        <f>2013</f>
        <v>2013</v>
      </c>
      <c r="B247" s="338" t="s">
        <v>70</v>
      </c>
      <c r="C247" s="339">
        <f t="shared" si="28"/>
        <v>203708.69219516896</v>
      </c>
      <c r="D247" s="340">
        <v>0.41339999999999999</v>
      </c>
      <c r="E247" s="341">
        <f t="shared" ref="E247:E258" si="33">100*(C247/$C$246-1)</f>
        <v>0.41340000000000821</v>
      </c>
      <c r="F247" s="342">
        <f t="shared" si="30"/>
        <v>5.8716201560804704</v>
      </c>
      <c r="G247" s="343">
        <f t="shared" si="27"/>
        <v>2.2549415164258297</v>
      </c>
    </row>
    <row r="248" spans="1:7" ht="18" customHeight="1">
      <c r="A248" s="337">
        <f>2013</f>
        <v>2013</v>
      </c>
      <c r="B248" s="338" t="s">
        <v>71</v>
      </c>
      <c r="C248" s="339">
        <f t="shared" si="28"/>
        <v>204550.82392870382</v>
      </c>
      <c r="D248" s="340">
        <v>0.41339999999999999</v>
      </c>
      <c r="E248" s="341">
        <f t="shared" si="33"/>
        <v>0.82850899560003022</v>
      </c>
      <c r="F248" s="342">
        <f t="shared" si="30"/>
        <v>5.7803914764235964</v>
      </c>
      <c r="G248" s="343">
        <f t="shared" si="27"/>
        <v>2.2456579663927618</v>
      </c>
    </row>
    <row r="249" spans="1:7" ht="18" customHeight="1">
      <c r="A249" s="337">
        <f>2013</f>
        <v>2013</v>
      </c>
      <c r="B249" s="338" t="s">
        <v>72</v>
      </c>
      <c r="C249" s="339">
        <f t="shared" si="28"/>
        <v>205396.4370348251</v>
      </c>
      <c r="D249" s="340">
        <v>0.41339999999999999</v>
      </c>
      <c r="E249" s="341">
        <f t="shared" si="33"/>
        <v>1.2453340517878386</v>
      </c>
      <c r="F249" s="342">
        <f t="shared" si="30"/>
        <v>5.5765214003229868</v>
      </c>
      <c r="G249" s="343">
        <f t="shared" si="27"/>
        <v>2.2364126365532502</v>
      </c>
    </row>
    <row r="250" spans="1:7" ht="18" customHeight="1">
      <c r="A250" s="337">
        <f>2013</f>
        <v>2013</v>
      </c>
      <c r="B250" s="338" t="s">
        <v>73</v>
      </c>
      <c r="C250" s="339">
        <f t="shared" si="28"/>
        <v>206245.54590552708</v>
      </c>
      <c r="D250" s="340">
        <v>0.41339999999999999</v>
      </c>
      <c r="E250" s="341">
        <f t="shared" si="33"/>
        <v>1.6638822627579319</v>
      </c>
      <c r="F250" s="342">
        <f t="shared" si="30"/>
        <v>5.4616213832005656</v>
      </c>
      <c r="G250" s="343">
        <f t="shared" si="27"/>
        <v>2.2272053695555076</v>
      </c>
    </row>
    <row r="251" spans="1:7" ht="18" customHeight="1">
      <c r="A251" s="337">
        <f>2013</f>
        <v>2013</v>
      </c>
      <c r="B251" s="338" t="s">
        <v>74</v>
      </c>
      <c r="C251" s="339">
        <f t="shared" si="28"/>
        <v>207126.83312318139</v>
      </c>
      <c r="D251" s="340">
        <v>0.42730000000000001</v>
      </c>
      <c r="E251" s="341">
        <f t="shared" si="33"/>
        <v>2.0982920316667153</v>
      </c>
      <c r="F251" s="342">
        <f t="shared" si="30"/>
        <v>5.3360705852695478</v>
      </c>
      <c r="G251" s="343">
        <f t="shared" si="27"/>
        <v>2.2177290134809038</v>
      </c>
    </row>
    <row r="252" spans="1:7" ht="18" customHeight="1">
      <c r="A252" s="337">
        <f>2013</f>
        <v>2013</v>
      </c>
      <c r="B252" s="338" t="s">
        <v>75</v>
      </c>
      <c r="C252" s="339">
        <f t="shared" si="28"/>
        <v>208069.46734072498</v>
      </c>
      <c r="D252" s="340">
        <v>0.4551</v>
      </c>
      <c r="E252" s="341">
        <f t="shared" si="33"/>
        <v>2.5629413587028083</v>
      </c>
      <c r="F252" s="342">
        <f t="shared" si="30"/>
        <v>5.307032688682134</v>
      </c>
      <c r="G252" s="343">
        <f t="shared" si="27"/>
        <v>2.2076818533662341</v>
      </c>
    </row>
    <row r="253" spans="1:7" ht="18" customHeight="1">
      <c r="A253" s="337">
        <f>2013</f>
        <v>2013</v>
      </c>
      <c r="B253" s="338" t="s">
        <v>76</v>
      </c>
      <c r="C253" s="339">
        <f t="shared" si="28"/>
        <v>209060.08607473416</v>
      </c>
      <c r="D253" s="340">
        <v>0.47610000000000002</v>
      </c>
      <c r="E253" s="341">
        <f t="shared" si="33"/>
        <v>3.0512435225116041</v>
      </c>
      <c r="F253" s="342">
        <f t="shared" si="30"/>
        <v>5.2848180710456605</v>
      </c>
      <c r="G253" s="343">
        <f t="shared" si="27"/>
        <v>2.1972208847340156</v>
      </c>
    </row>
    <row r="254" spans="1:7" ht="18" customHeight="1">
      <c r="A254" s="337">
        <f>2013</f>
        <v>2013</v>
      </c>
      <c r="B254" s="338" t="s">
        <v>77</v>
      </c>
      <c r="C254" s="339">
        <f t="shared" si="28"/>
        <v>210069.428170303</v>
      </c>
      <c r="D254" s="340">
        <v>0.48280000000000001</v>
      </c>
      <c r="E254" s="341">
        <f t="shared" si="33"/>
        <v>3.5487749262382851</v>
      </c>
      <c r="F254" s="342">
        <f t="shared" si="30"/>
        <v>5.3008516910370673</v>
      </c>
      <c r="G254" s="343">
        <f t="shared" si="27"/>
        <v>2.1866636725230739</v>
      </c>
    </row>
    <row r="255" spans="1:7" ht="18" customHeight="1">
      <c r="A255" s="337">
        <f>2013</f>
        <v>2013</v>
      </c>
      <c r="B255" s="338" t="s">
        <v>79</v>
      </c>
      <c r="C255" s="339">
        <f t="shared" si="28"/>
        <v>211136.37079597998</v>
      </c>
      <c r="D255" s="340">
        <v>0.50790000000000002</v>
      </c>
      <c r="E255" s="341">
        <f t="shared" si="33"/>
        <v>4.0746991540886679</v>
      </c>
      <c r="F255" s="342">
        <f t="shared" si="30"/>
        <v>5.3853630604186797</v>
      </c>
      <c r="G255" s="343">
        <f t="shared" si="27"/>
        <v>2.1756137303864413</v>
      </c>
    </row>
    <row r="256" spans="1:7" ht="18" customHeight="1">
      <c r="A256" s="337">
        <f>2013</f>
        <v>2013</v>
      </c>
      <c r="B256" s="338" t="s">
        <v>78</v>
      </c>
      <c r="C256" s="339">
        <f t="shared" si="28"/>
        <v>212387.35379294615</v>
      </c>
      <c r="D256" s="340">
        <v>0.59250000000000003</v>
      </c>
      <c r="E256" s="341">
        <f t="shared" si="33"/>
        <v>4.6913417465766383</v>
      </c>
      <c r="F256" s="342">
        <f t="shared" si="30"/>
        <v>5.5587189305613682</v>
      </c>
      <c r="G256" s="343">
        <f t="shared" si="27"/>
        <v>2.162799145449652</v>
      </c>
    </row>
    <row r="257" spans="1:7" ht="18" customHeight="1">
      <c r="A257" s="337">
        <f>2013</f>
        <v>2013</v>
      </c>
      <c r="B257" s="338" t="s">
        <v>68</v>
      </c>
      <c r="C257" s="339">
        <f t="shared" si="28"/>
        <v>213493.46713149984</v>
      </c>
      <c r="D257" s="340">
        <v>0.52080000000000004</v>
      </c>
      <c r="E257" s="341">
        <f t="shared" si="33"/>
        <v>5.2365742543928118</v>
      </c>
      <c r="F257" s="342">
        <f t="shared" si="30"/>
        <v>5.6716222523604864</v>
      </c>
      <c r="G257" s="343">
        <f t="shared" si="27"/>
        <v>2.1515936457426243</v>
      </c>
    </row>
    <row r="258" spans="1:7" ht="18" customHeight="1">
      <c r="A258" s="337">
        <f>2013</f>
        <v>2013</v>
      </c>
      <c r="B258" s="338" t="s">
        <v>69</v>
      </c>
      <c r="C258" s="339">
        <f t="shared" si="28"/>
        <v>214666.82722685454</v>
      </c>
      <c r="D258" s="340">
        <v>0.54959999999999998</v>
      </c>
      <c r="E258" s="341">
        <f t="shared" si="33"/>
        <v>5.8149544664949371</v>
      </c>
      <c r="F258" s="342">
        <f t="shared" si="30"/>
        <v>5.8149544664949371</v>
      </c>
      <c r="G258" s="343">
        <f t="shared" si="27"/>
        <v>2.1398331228991707</v>
      </c>
    </row>
    <row r="259" spans="1:7" ht="18" customHeight="1">
      <c r="A259" s="337">
        <f>2014</f>
        <v>2014</v>
      </c>
      <c r="B259" s="338" t="s">
        <v>70</v>
      </c>
      <c r="C259" s="339">
        <f t="shared" si="28"/>
        <v>215983.16421140963</v>
      </c>
      <c r="D259" s="340">
        <v>0.61319999999999997</v>
      </c>
      <c r="E259" s="341">
        <f t="shared" ref="E259:E270" si="34">100*(C259/$C$258-1)</f>
        <v>0.61320000000000263</v>
      </c>
      <c r="F259" s="342">
        <f t="shared" si="30"/>
        <v>6.0255023406074137</v>
      </c>
      <c r="G259" s="343">
        <f t="shared" si="27"/>
        <v>2.1267916365836395</v>
      </c>
    </row>
    <row r="260" spans="1:7" ht="18" customHeight="1">
      <c r="A260" s="337">
        <f>2014</f>
        <v>2014</v>
      </c>
      <c r="B260" s="338" t="s">
        <v>71</v>
      </c>
      <c r="C260" s="339">
        <f t="shared" si="28"/>
        <v>217179.71094114086</v>
      </c>
      <c r="D260" s="340">
        <v>0.55400000000000005</v>
      </c>
      <c r="E260" s="341">
        <f t="shared" si="34"/>
        <v>1.1705971280000282</v>
      </c>
      <c r="F260" s="342">
        <f t="shared" si="30"/>
        <v>6.1739604709873275</v>
      </c>
      <c r="G260" s="343">
        <f t="shared" si="27"/>
        <v>2.1150741259260095</v>
      </c>
    </row>
    <row r="261" spans="1:7" ht="18" customHeight="1">
      <c r="A261" s="337">
        <f>2014</f>
        <v>2014</v>
      </c>
      <c r="B261" s="338" t="s">
        <v>72</v>
      </c>
      <c r="C261" s="339">
        <f t="shared" si="28"/>
        <v>218323.59647866784</v>
      </c>
      <c r="D261" s="340">
        <v>0.52669999999999995</v>
      </c>
      <c r="E261" s="341">
        <f t="shared" si="34"/>
        <v>1.7034626630731964</v>
      </c>
      <c r="F261" s="342">
        <f t="shared" si="30"/>
        <v>6.2937603156431265</v>
      </c>
      <c r="G261" s="343">
        <f t="shared" si="27"/>
        <v>2.1039923979659227</v>
      </c>
    </row>
    <row r="262" spans="1:7" ht="18" customHeight="1">
      <c r="A262" s="337">
        <f>2014</f>
        <v>2014</v>
      </c>
      <c r="B262" s="338" t="s">
        <v>73</v>
      </c>
      <c r="C262" s="339">
        <f t="shared" si="28"/>
        <v>219515.86163903782</v>
      </c>
      <c r="D262" s="340">
        <v>0.54610000000000003</v>
      </c>
      <c r="E262" s="341">
        <f t="shared" si="34"/>
        <v>2.2588652726762248</v>
      </c>
      <c r="F262" s="342">
        <f t="shared" si="30"/>
        <v>6.4342314280034563</v>
      </c>
      <c r="G262" s="343">
        <f t="shared" si="27"/>
        <v>2.0925649010413365</v>
      </c>
    </row>
    <row r="263" spans="1:7" ht="18" customHeight="1">
      <c r="A263" s="337">
        <f>2014</f>
        <v>2014</v>
      </c>
      <c r="B263" s="338" t="s">
        <v>74</v>
      </c>
      <c r="C263" s="339">
        <f t="shared" si="28"/>
        <v>220746.68707524787</v>
      </c>
      <c r="D263" s="340">
        <v>0.56069999999999998</v>
      </c>
      <c r="E263" s="341">
        <f t="shared" si="34"/>
        <v>2.8322307302601102</v>
      </c>
      <c r="F263" s="342">
        <f t="shared" si="30"/>
        <v>6.5756105796135778</v>
      </c>
      <c r="G263" s="343">
        <f t="shared" ref="G263:G326" si="35">+$C$407/C263</f>
        <v>2.0808973098251471</v>
      </c>
    </row>
    <row r="264" spans="1:7" ht="18" customHeight="1">
      <c r="A264" s="337">
        <f>2014</f>
        <v>2014</v>
      </c>
      <c r="B264" s="338" t="s">
        <v>75</v>
      </c>
      <c r="C264" s="339">
        <f t="shared" si="28"/>
        <v>221953.50921348823</v>
      </c>
      <c r="D264" s="340">
        <v>0.54669999999999996</v>
      </c>
      <c r="E264" s="341">
        <f t="shared" si="34"/>
        <v>3.3944145356624267</v>
      </c>
      <c r="F264" s="342">
        <f t="shared" si="30"/>
        <v>6.6727915682253336</v>
      </c>
      <c r="G264" s="343">
        <f t="shared" si="35"/>
        <v>2.0695829001102446</v>
      </c>
    </row>
    <row r="265" spans="1:7" ht="18" customHeight="1">
      <c r="A265" s="337">
        <f>2014</f>
        <v>2014</v>
      </c>
      <c r="B265" s="338" t="s">
        <v>76</v>
      </c>
      <c r="C265" s="339">
        <f t="shared" si="28"/>
        <v>223298.32552581278</v>
      </c>
      <c r="D265" s="340">
        <v>0.60589999999999999</v>
      </c>
      <c r="E265" s="341">
        <f t="shared" si="34"/>
        <v>4.0208812933339999</v>
      </c>
      <c r="F265" s="342">
        <f t="shared" si="30"/>
        <v>6.8105967611573393</v>
      </c>
      <c r="G265" s="343">
        <f t="shared" si="35"/>
        <v>2.0571188171968489</v>
      </c>
    </row>
    <row r="266" spans="1:7" ht="18" customHeight="1">
      <c r="A266" s="337">
        <f>2014</f>
        <v>2014</v>
      </c>
      <c r="B266" s="338" t="s">
        <v>77</v>
      </c>
      <c r="C266" s="339">
        <f t="shared" si="28"/>
        <v>224549.91264038498</v>
      </c>
      <c r="D266" s="340">
        <v>0.5605</v>
      </c>
      <c r="E266" s="341">
        <f t="shared" si="34"/>
        <v>4.6039183329831701</v>
      </c>
      <c r="F266" s="342">
        <f t="shared" si="30"/>
        <v>6.8931898354779531</v>
      </c>
      <c r="G266" s="343">
        <f t="shared" si="35"/>
        <v>2.0456529325101291</v>
      </c>
    </row>
    <row r="267" spans="1:7" ht="18" customHeight="1">
      <c r="A267" s="337">
        <f>2014</f>
        <v>2014</v>
      </c>
      <c r="B267" s="338" t="s">
        <v>79</v>
      </c>
      <c r="C267" s="339">
        <f t="shared" si="28"/>
        <v>225869.5924769725</v>
      </c>
      <c r="D267" s="340">
        <v>0.5877</v>
      </c>
      <c r="E267" s="341">
        <f t="shared" si="34"/>
        <v>5.2186755610260871</v>
      </c>
      <c r="F267" s="342">
        <f t="shared" si="30"/>
        <v>6.9780595476982787</v>
      </c>
      <c r="G267" s="343">
        <f t="shared" si="35"/>
        <v>2.0337008724825494</v>
      </c>
    </row>
    <row r="268" spans="1:7" ht="18" customHeight="1">
      <c r="A268" s="337">
        <f>2014</f>
        <v>2014</v>
      </c>
      <c r="B268" s="338" t="s">
        <v>78</v>
      </c>
      <c r="C268" s="339">
        <f t="shared" ref="C268:C331" si="36">+C267*(1+D268/100)</f>
        <v>227234.52242431085</v>
      </c>
      <c r="D268" s="340">
        <v>0.60429999999999995</v>
      </c>
      <c r="E268" s="341">
        <f t="shared" si="34"/>
        <v>5.8545120174413823</v>
      </c>
      <c r="F268" s="342">
        <f t="shared" si="30"/>
        <v>6.9906086055571137</v>
      </c>
      <c r="G268" s="343">
        <f t="shared" si="35"/>
        <v>2.0214850383955252</v>
      </c>
    </row>
    <row r="269" spans="1:7" ht="18" customHeight="1">
      <c r="A269" s="337">
        <f>2014</f>
        <v>2014</v>
      </c>
      <c r="B269" s="338" t="s">
        <v>68</v>
      </c>
      <c r="C269" s="339">
        <f t="shared" si="36"/>
        <v>228480.9037798082</v>
      </c>
      <c r="D269" s="340">
        <v>0.54849999999999999</v>
      </c>
      <c r="E269" s="341">
        <f t="shared" si="34"/>
        <v>6.4351240158570411</v>
      </c>
      <c r="F269" s="342">
        <f t="shared" si="30"/>
        <v>7.0200914574481743</v>
      </c>
      <c r="G269" s="343">
        <f t="shared" si="35"/>
        <v>2.0104576780315222</v>
      </c>
    </row>
    <row r="270" spans="1:7" ht="18" customHeight="1">
      <c r="A270" s="337">
        <f>2014</f>
        <v>2014</v>
      </c>
      <c r="B270" s="338" t="s">
        <v>69</v>
      </c>
      <c r="C270" s="339">
        <f t="shared" si="36"/>
        <v>229865.04109490625</v>
      </c>
      <c r="D270" s="340">
        <v>0.60580000000000001</v>
      </c>
      <c r="E270" s="341">
        <f t="shared" si="34"/>
        <v>7.0799079971450851</v>
      </c>
      <c r="F270" s="342">
        <f t="shared" si="30"/>
        <v>7.0799079971450851</v>
      </c>
      <c r="G270" s="343">
        <f t="shared" si="35"/>
        <v>1.998351663653112</v>
      </c>
    </row>
    <row r="271" spans="1:7" ht="18" customHeight="1">
      <c r="A271" s="337">
        <f>2015</f>
        <v>2015</v>
      </c>
      <c r="B271" s="338" t="s">
        <v>70</v>
      </c>
      <c r="C271" s="339">
        <f t="shared" si="36"/>
        <v>231217.10726662647</v>
      </c>
      <c r="D271" s="340">
        <v>0.58819999999999995</v>
      </c>
      <c r="E271" s="341">
        <f t="shared" ref="E271:E282" si="37">100*(C271/$C$270-1)</f>
        <v>0.58819999999999428</v>
      </c>
      <c r="F271" s="342">
        <f t="shared" si="30"/>
        <v>7.0533011731902739</v>
      </c>
      <c r="G271" s="343">
        <f t="shared" si="35"/>
        <v>1.9866660936900276</v>
      </c>
    </row>
    <row r="272" spans="1:7" ht="18" customHeight="1">
      <c r="A272" s="337">
        <f>2015</f>
        <v>2015</v>
      </c>
      <c r="B272" s="338" t="s">
        <v>71</v>
      </c>
      <c r="C272" s="339">
        <f t="shared" si="36"/>
        <v>232412.26849408765</v>
      </c>
      <c r="D272" s="344">
        <v>0.51690000000000003</v>
      </c>
      <c r="E272" s="341">
        <f t="shared" si="37"/>
        <v>1.1081404057999844</v>
      </c>
      <c r="F272" s="342">
        <f t="shared" si="30"/>
        <v>7.0138032171315645</v>
      </c>
      <c r="G272" s="343">
        <f t="shared" si="35"/>
        <v>1.9764498245469444</v>
      </c>
    </row>
    <row r="273" spans="1:7" ht="18" customHeight="1">
      <c r="A273" s="337">
        <f>2015</f>
        <v>2015</v>
      </c>
      <c r="B273" s="338" t="s">
        <v>72</v>
      </c>
      <c r="C273" s="339">
        <f t="shared" si="36"/>
        <v>233876.93061013741</v>
      </c>
      <c r="D273" s="340">
        <v>0.63019999999999998</v>
      </c>
      <c r="E273" s="341">
        <f t="shared" si="37"/>
        <v>1.7453239066373527</v>
      </c>
      <c r="F273" s="342">
        <f t="shared" si="30"/>
        <v>7.1239821908069656</v>
      </c>
      <c r="G273" s="343">
        <f t="shared" si="35"/>
        <v>1.9640722412823826</v>
      </c>
    </row>
    <row r="274" spans="1:7" ht="18" customHeight="1">
      <c r="A274" s="337">
        <f>2015</f>
        <v>2015</v>
      </c>
      <c r="B274" s="338" t="s">
        <v>73</v>
      </c>
      <c r="C274" s="339">
        <f t="shared" si="36"/>
        <v>235298.66847131643</v>
      </c>
      <c r="D274" s="340">
        <v>0.6079</v>
      </c>
      <c r="E274" s="341">
        <f t="shared" si="37"/>
        <v>2.3638337306657986</v>
      </c>
      <c r="F274" s="342">
        <f t="shared" si="30"/>
        <v>7.1898252428934661</v>
      </c>
      <c r="G274" s="343">
        <f t="shared" si="35"/>
        <v>1.952204788373858</v>
      </c>
    </row>
    <row r="275" spans="1:7" ht="18" customHeight="1">
      <c r="A275" s="337">
        <f>2015</f>
        <v>2015</v>
      </c>
      <c r="B275" s="338" t="s">
        <v>74</v>
      </c>
      <c r="C275" s="339">
        <f t="shared" si="36"/>
        <v>236747.87297043129</v>
      </c>
      <c r="D275" s="340">
        <v>0.6159</v>
      </c>
      <c r="E275" s="341">
        <f t="shared" si="37"/>
        <v>2.9942925826129674</v>
      </c>
      <c r="F275" s="342">
        <f t="shared" ref="F275:F338" si="38">100*(C275/C263-1)</f>
        <v>7.2486641168612254</v>
      </c>
      <c r="G275" s="343">
        <f t="shared" si="35"/>
        <v>1.9402547593112598</v>
      </c>
    </row>
    <row r="276" spans="1:7" ht="18" customHeight="1">
      <c r="A276" s="337">
        <f>2015</f>
        <v>2015</v>
      </c>
      <c r="B276" s="338" t="s">
        <v>75</v>
      </c>
      <c r="C276" s="339">
        <f t="shared" si="36"/>
        <v>238362.96695983558</v>
      </c>
      <c r="D276" s="340">
        <v>0.68220000000000003</v>
      </c>
      <c r="E276" s="341">
        <f t="shared" si="37"/>
        <v>3.6969196466115628</v>
      </c>
      <c r="F276" s="342">
        <f t="shared" si="38"/>
        <v>7.3931959014731152</v>
      </c>
      <c r="G276" s="343">
        <f t="shared" si="35"/>
        <v>1.9271080283419111</v>
      </c>
    </row>
    <row r="277" spans="1:7" ht="18" customHeight="1">
      <c r="A277" s="337">
        <f>2015</f>
        <v>2015</v>
      </c>
      <c r="B277" s="338" t="s">
        <v>76</v>
      </c>
      <c r="C277" s="339">
        <f t="shared" si="36"/>
        <v>240107.06878908072</v>
      </c>
      <c r="D277" s="340">
        <v>0.73170000000000002</v>
      </c>
      <c r="E277" s="341">
        <f t="shared" si="37"/>
        <v>4.455670007665824</v>
      </c>
      <c r="F277" s="342">
        <f t="shared" si="38"/>
        <v>7.5274828970111951</v>
      </c>
      <c r="G277" s="343">
        <f t="shared" si="35"/>
        <v>1.9131098039067256</v>
      </c>
    </row>
    <row r="278" spans="1:7" ht="18" customHeight="1">
      <c r="A278" s="337">
        <f>2015</f>
        <v>2015</v>
      </c>
      <c r="B278" s="338" t="s">
        <v>77</v>
      </c>
      <c r="C278" s="339">
        <f t="shared" si="36"/>
        <v>241758.04499407447</v>
      </c>
      <c r="D278" s="340">
        <v>0.68759999999999999</v>
      </c>
      <c r="E278" s="341">
        <f t="shared" si="37"/>
        <v>5.1739071946385495</v>
      </c>
      <c r="F278" s="342">
        <f t="shared" si="38"/>
        <v>7.6633885764401111</v>
      </c>
      <c r="G278" s="343">
        <f t="shared" si="35"/>
        <v>1.9000450938414712</v>
      </c>
    </row>
    <row r="279" spans="1:7" ht="18" customHeight="1">
      <c r="A279" s="337">
        <f>2015</f>
        <v>2015</v>
      </c>
      <c r="B279" s="338" t="s">
        <v>79</v>
      </c>
      <c r="C279" s="339">
        <f t="shared" si="36"/>
        <v>243433.42824588344</v>
      </c>
      <c r="D279" s="340">
        <v>0.69299999999999995</v>
      </c>
      <c r="E279" s="341">
        <f t="shared" si="37"/>
        <v>5.9027623714974053</v>
      </c>
      <c r="F279" s="342">
        <f t="shared" si="38"/>
        <v>7.7760957445839329</v>
      </c>
      <c r="G279" s="343">
        <f t="shared" si="35"/>
        <v>1.8869684028099978</v>
      </c>
    </row>
    <row r="280" spans="1:7" ht="18" customHeight="1">
      <c r="A280" s="337">
        <f>2015</f>
        <v>2015</v>
      </c>
      <c r="B280" s="338" t="s">
        <v>78</v>
      </c>
      <c r="C280" s="339">
        <f t="shared" si="36"/>
        <v>245088.53212452721</v>
      </c>
      <c r="D280" s="340">
        <v>0.67989999999999995</v>
      </c>
      <c r="E280" s="341">
        <f t="shared" si="37"/>
        <v>6.6227952528612244</v>
      </c>
      <c r="F280" s="342">
        <f t="shared" si="38"/>
        <v>7.8570850545666149</v>
      </c>
      <c r="G280" s="343">
        <f t="shared" si="35"/>
        <v>1.8742255433408235</v>
      </c>
    </row>
    <row r="281" spans="1:7" ht="18" customHeight="1">
      <c r="A281" s="337">
        <f>2015</f>
        <v>2015</v>
      </c>
      <c r="B281" s="338" t="s">
        <v>68</v>
      </c>
      <c r="C281" s="339">
        <f t="shared" si="36"/>
        <v>246633.32514250808</v>
      </c>
      <c r="D281" s="340">
        <v>0.63029999999999997</v>
      </c>
      <c r="E281" s="341">
        <f t="shared" si="37"/>
        <v>7.2948387313400032</v>
      </c>
      <c r="F281" s="342">
        <f t="shared" si="38"/>
        <v>7.9448308643744525</v>
      </c>
      <c r="G281" s="343">
        <f t="shared" si="35"/>
        <v>1.8624862922408296</v>
      </c>
    </row>
    <row r="282" spans="1:7" ht="18" customHeight="1">
      <c r="A282" s="337">
        <f>2015</f>
        <v>2015</v>
      </c>
      <c r="B282" s="338" t="s">
        <v>69</v>
      </c>
      <c r="C282" s="339">
        <f t="shared" si="36"/>
        <v>248424.12971636781</v>
      </c>
      <c r="D282" s="340">
        <v>0.72609999999999997</v>
      </c>
      <c r="E282" s="341">
        <f t="shared" si="37"/>
        <v>8.0739065553682607</v>
      </c>
      <c r="F282" s="342">
        <f t="shared" si="38"/>
        <v>8.0739065553682607</v>
      </c>
      <c r="G282" s="343">
        <f t="shared" si="35"/>
        <v>1.8490602656519313</v>
      </c>
    </row>
    <row r="283" spans="1:7" ht="18" customHeight="1">
      <c r="A283" s="337">
        <f>2016</f>
        <v>2016</v>
      </c>
      <c r="B283" s="338" t="s">
        <v>70</v>
      </c>
      <c r="C283" s="339">
        <f t="shared" si="36"/>
        <v>249995.90918508326</v>
      </c>
      <c r="D283" s="340">
        <v>0.63270000000000004</v>
      </c>
      <c r="E283" s="341">
        <f t="shared" ref="E283:E294" si="39">100*(C283/$C$282-1)</f>
        <v>0.63269999999999715</v>
      </c>
      <c r="F283" s="342">
        <f t="shared" si="38"/>
        <v>8.1217182155999055</v>
      </c>
      <c r="G283" s="343">
        <f t="shared" si="35"/>
        <v>1.8374348155737958</v>
      </c>
    </row>
    <row r="284" spans="1:7" ht="18" customHeight="1">
      <c r="A284" s="337">
        <f>2016</f>
        <v>2016</v>
      </c>
      <c r="B284" s="338" t="s">
        <v>71</v>
      </c>
      <c r="C284" s="339">
        <f t="shared" si="36"/>
        <v>251486.38479564473</v>
      </c>
      <c r="D284" s="340">
        <v>0.59619999999999995</v>
      </c>
      <c r="E284" s="341">
        <f t="shared" si="39"/>
        <v>1.2326721573999944</v>
      </c>
      <c r="F284" s="342">
        <f t="shared" si="38"/>
        <v>8.2070178244666678</v>
      </c>
      <c r="G284" s="343">
        <f t="shared" si="35"/>
        <v>1.8265449545547405</v>
      </c>
    </row>
    <row r="285" spans="1:7" ht="18" customHeight="1">
      <c r="A285" s="337">
        <f>2016</f>
        <v>2016</v>
      </c>
      <c r="B285" s="338" t="s">
        <v>72</v>
      </c>
      <c r="C285" s="339">
        <f t="shared" si="36"/>
        <v>253291.80555209267</v>
      </c>
      <c r="D285" s="340">
        <v>0.71789999999999998</v>
      </c>
      <c r="E285" s="341">
        <f t="shared" si="39"/>
        <v>1.9594215108179824</v>
      </c>
      <c r="F285" s="342">
        <f t="shared" si="38"/>
        <v>8.3013210799824488</v>
      </c>
      <c r="G285" s="343">
        <f t="shared" si="35"/>
        <v>1.8135256538854965</v>
      </c>
    </row>
    <row r="286" spans="1:7" ht="18" customHeight="1">
      <c r="A286" s="337">
        <f>2016</f>
        <v>2016</v>
      </c>
      <c r="B286" s="338" t="s">
        <v>73</v>
      </c>
      <c r="C286" s="339">
        <f t="shared" si="36"/>
        <v>254890.33013693191</v>
      </c>
      <c r="D286" s="340">
        <v>0.63109999999999999</v>
      </c>
      <c r="E286" s="341">
        <f t="shared" si="39"/>
        <v>2.6028874199727436</v>
      </c>
      <c r="F286" s="342">
        <f t="shared" si="38"/>
        <v>8.3262951689859541</v>
      </c>
      <c r="G286" s="343">
        <f t="shared" si="35"/>
        <v>1.8021522709038225</v>
      </c>
    </row>
    <row r="287" spans="1:7" ht="18" customHeight="1">
      <c r="A287" s="337">
        <f>2016</f>
        <v>2016</v>
      </c>
      <c r="B287" s="338" t="s">
        <v>74</v>
      </c>
      <c r="C287" s="339">
        <f t="shared" si="36"/>
        <v>256557.56778635757</v>
      </c>
      <c r="D287" s="340">
        <v>0.65410000000000001</v>
      </c>
      <c r="E287" s="341">
        <f t="shared" si="39"/>
        <v>3.2740129065867762</v>
      </c>
      <c r="F287" s="342">
        <f t="shared" si="38"/>
        <v>8.3674225104444453</v>
      </c>
      <c r="G287" s="343">
        <f t="shared" si="35"/>
        <v>1.7904409963467187</v>
      </c>
    </row>
    <row r="288" spans="1:7" ht="18" customHeight="1">
      <c r="A288" s="337">
        <f>2016</f>
        <v>2016</v>
      </c>
      <c r="B288" s="338" t="s">
        <v>75</v>
      </c>
      <c r="C288" s="339">
        <f t="shared" si="36"/>
        <v>258367.06831195473</v>
      </c>
      <c r="D288" s="340">
        <v>0.70530000000000004</v>
      </c>
      <c r="E288" s="341">
        <f t="shared" si="39"/>
        <v>4.0024045196169311</v>
      </c>
      <c r="F288" s="342">
        <f t="shared" si="38"/>
        <v>8.3922857679019636</v>
      </c>
      <c r="G288" s="343">
        <f t="shared" si="35"/>
        <v>1.7779014573679031</v>
      </c>
    </row>
    <row r="289" spans="1:7" ht="18" customHeight="1">
      <c r="A289" s="337">
        <f>2016</f>
        <v>2016</v>
      </c>
      <c r="B289" s="338" t="s">
        <v>76</v>
      </c>
      <c r="C289" s="339">
        <f t="shared" si="36"/>
        <v>260079.78360779467</v>
      </c>
      <c r="D289" s="340">
        <v>0.66290000000000004</v>
      </c>
      <c r="E289" s="341">
        <f t="shared" si="39"/>
        <v>4.6918364591774564</v>
      </c>
      <c r="F289" s="342">
        <f t="shared" si="38"/>
        <v>8.3182535688937733</v>
      </c>
      <c r="G289" s="343">
        <f t="shared" si="35"/>
        <v>1.7661933615740288</v>
      </c>
    </row>
    <row r="290" spans="1:7" ht="18" customHeight="1">
      <c r="A290" s="337">
        <f>2016</f>
        <v>2016</v>
      </c>
      <c r="B290" s="338" t="s">
        <v>77</v>
      </c>
      <c r="C290" s="339">
        <f t="shared" si="36"/>
        <v>262045.46661230238</v>
      </c>
      <c r="D290" s="340">
        <v>0.75580000000000003</v>
      </c>
      <c r="E290" s="341">
        <f t="shared" si="39"/>
        <v>5.4830973591359244</v>
      </c>
      <c r="F290" s="342">
        <f t="shared" si="38"/>
        <v>8.3916221355633258</v>
      </c>
      <c r="G290" s="343">
        <f t="shared" si="35"/>
        <v>1.7529446062400664</v>
      </c>
    </row>
    <row r="291" spans="1:7" ht="18" customHeight="1">
      <c r="A291" s="337">
        <f>2016</f>
        <v>2016</v>
      </c>
      <c r="B291" s="338" t="s">
        <v>79</v>
      </c>
      <c r="C291" s="339">
        <f t="shared" si="36"/>
        <v>263770.51191901119</v>
      </c>
      <c r="D291" s="340">
        <v>0.6583</v>
      </c>
      <c r="E291" s="341">
        <f t="shared" si="39"/>
        <v>6.1774925890511367</v>
      </c>
      <c r="F291" s="342">
        <f t="shared" si="38"/>
        <v>8.3542690992241209</v>
      </c>
      <c r="G291" s="343">
        <f t="shared" si="35"/>
        <v>1.7414804405002531</v>
      </c>
    </row>
    <row r="292" spans="1:7" ht="18" customHeight="1">
      <c r="A292" s="337">
        <f>2016</f>
        <v>2016</v>
      </c>
      <c r="B292" s="338" t="s">
        <v>78</v>
      </c>
      <c r="C292" s="339">
        <f t="shared" si="36"/>
        <v>265513.77123228397</v>
      </c>
      <c r="D292" s="340">
        <v>0.66090000000000004</v>
      </c>
      <c r="E292" s="341">
        <f t="shared" si="39"/>
        <v>6.879219637572187</v>
      </c>
      <c r="F292" s="342">
        <f t="shared" si="38"/>
        <v>8.3338208159730911</v>
      </c>
      <c r="G292" s="343">
        <f t="shared" si="35"/>
        <v>1.7300465627669264</v>
      </c>
    </row>
    <row r="293" spans="1:7" ht="18" customHeight="1">
      <c r="A293" s="337">
        <f>2016</f>
        <v>2016</v>
      </c>
      <c r="B293" s="338" t="s">
        <v>68</v>
      </c>
      <c r="C293" s="339">
        <f t="shared" si="36"/>
        <v>267222.35235016368</v>
      </c>
      <c r="D293" s="340">
        <v>0.64349999999999996</v>
      </c>
      <c r="E293" s="341">
        <f t="shared" si="39"/>
        <v>7.5669874159399519</v>
      </c>
      <c r="F293" s="342">
        <f t="shared" si="38"/>
        <v>8.3480313115670732</v>
      </c>
      <c r="G293" s="343">
        <f t="shared" si="35"/>
        <v>1.7189848949678086</v>
      </c>
    </row>
    <row r="294" spans="1:7" ht="18" customHeight="1">
      <c r="A294" s="337">
        <f>2016</f>
        <v>2016</v>
      </c>
      <c r="B294" s="338" t="s">
        <v>69</v>
      </c>
      <c r="C294" s="339">
        <f t="shared" si="36"/>
        <v>269054.96324258111</v>
      </c>
      <c r="D294" s="340">
        <v>0.68579999999999997</v>
      </c>
      <c r="E294" s="341">
        <f t="shared" si="39"/>
        <v>8.3046818156384603</v>
      </c>
      <c r="F294" s="342">
        <f t="shared" si="38"/>
        <v>8.3046818156384603</v>
      </c>
      <c r="G294" s="343">
        <f t="shared" si="35"/>
        <v>1.7072763934614499</v>
      </c>
    </row>
    <row r="295" spans="1:7" ht="18" customHeight="1">
      <c r="A295" s="337">
        <f>2017</f>
        <v>2017</v>
      </c>
      <c r="B295" s="338" t="s">
        <v>70</v>
      </c>
      <c r="C295" s="339">
        <f t="shared" si="36"/>
        <v>270859.7839360123</v>
      </c>
      <c r="D295" s="340">
        <v>0.67079999999999995</v>
      </c>
      <c r="E295" s="341">
        <f t="shared" ref="E295:E306" si="40">100*(C295/$C$294-1)</f>
        <v>0.67079999999999362</v>
      </c>
      <c r="F295" s="342">
        <f t="shared" si="38"/>
        <v>8.3456864630063077</v>
      </c>
      <c r="G295" s="343">
        <f t="shared" si="35"/>
        <v>1.6959002942873707</v>
      </c>
    </row>
    <row r="296" spans="1:7" ht="18" customHeight="1">
      <c r="A296" s="337">
        <f>2017</f>
        <v>2017</v>
      </c>
      <c r="B296" s="338" t="s">
        <v>71</v>
      </c>
      <c r="C296" s="339">
        <f t="shared" si="36"/>
        <v>272296.42423000891</v>
      </c>
      <c r="D296" s="340">
        <v>0.53039999999999998</v>
      </c>
      <c r="E296" s="341">
        <f t="shared" si="40"/>
        <v>1.2047579231999839</v>
      </c>
      <c r="F296" s="342">
        <f t="shared" si="38"/>
        <v>8.2748175219402818</v>
      </c>
      <c r="G296" s="343">
        <f t="shared" si="35"/>
        <v>1.6869526971815199</v>
      </c>
    </row>
    <row r="297" spans="1:7" ht="18" customHeight="1">
      <c r="A297" s="337">
        <f>2017</f>
        <v>2017</v>
      </c>
      <c r="B297" s="338" t="s">
        <v>72</v>
      </c>
      <c r="C297" s="339">
        <f t="shared" si="36"/>
        <v>274073.70299095818</v>
      </c>
      <c r="D297" s="340">
        <v>0.65269999999999995</v>
      </c>
      <c r="E297" s="341">
        <f t="shared" si="40"/>
        <v>1.8653213781647082</v>
      </c>
      <c r="F297" s="342">
        <f t="shared" si="38"/>
        <v>8.204725531316658</v>
      </c>
      <c r="G297" s="343">
        <f t="shared" si="35"/>
        <v>1.6760133579938936</v>
      </c>
    </row>
    <row r="298" spans="1:7" ht="18" customHeight="1">
      <c r="A298" s="337">
        <f>2017</f>
        <v>2017</v>
      </c>
      <c r="B298" s="338" t="s">
        <v>73</v>
      </c>
      <c r="C298" s="339">
        <f t="shared" si="36"/>
        <v>275444.07150591293</v>
      </c>
      <c r="D298" s="340">
        <v>0.5</v>
      </c>
      <c r="E298" s="341">
        <f t="shared" si="40"/>
        <v>2.3746479850555113</v>
      </c>
      <c r="F298" s="342">
        <f t="shared" si="38"/>
        <v>8.0637587773295216</v>
      </c>
      <c r="G298" s="343">
        <f t="shared" si="35"/>
        <v>1.6676749830785014</v>
      </c>
    </row>
    <row r="299" spans="1:7" ht="18" customHeight="1">
      <c r="A299" s="337">
        <f>2017</f>
        <v>2017</v>
      </c>
      <c r="B299" s="338" t="s">
        <v>74</v>
      </c>
      <c r="C299" s="339">
        <f t="shared" si="36"/>
        <v>277032.83291035902</v>
      </c>
      <c r="D299" s="340">
        <v>0.57679999999999998</v>
      </c>
      <c r="E299" s="341">
        <f t="shared" si="40"/>
        <v>2.9651449546333142</v>
      </c>
      <c r="F299" s="342">
        <f t="shared" si="38"/>
        <v>7.9807683322955958</v>
      </c>
      <c r="G299" s="343">
        <f t="shared" si="35"/>
        <v>1.6581109988372085</v>
      </c>
    </row>
    <row r="300" spans="1:7" ht="18" customHeight="1">
      <c r="A300" s="337">
        <f>2017</f>
        <v>2017</v>
      </c>
      <c r="B300" s="338" t="s">
        <v>75</v>
      </c>
      <c r="C300" s="339">
        <f t="shared" si="36"/>
        <v>278567.31777184951</v>
      </c>
      <c r="D300" s="340">
        <v>0.55389999999999995</v>
      </c>
      <c r="E300" s="341">
        <f t="shared" si="40"/>
        <v>3.5354688925370414</v>
      </c>
      <c r="F300" s="342">
        <f t="shared" si="38"/>
        <v>7.8184304183475994</v>
      </c>
      <c r="G300" s="343">
        <f t="shared" si="35"/>
        <v>1.6489773134977443</v>
      </c>
    </row>
    <row r="301" spans="1:7" ht="18" customHeight="1">
      <c r="A301" s="337">
        <f>2017</f>
        <v>2017</v>
      </c>
      <c r="B301" s="338" t="s">
        <v>76</v>
      </c>
      <c r="C301" s="339">
        <f t="shared" si="36"/>
        <v>280134.53750163392</v>
      </c>
      <c r="D301" s="340">
        <v>0.56259999999999999</v>
      </c>
      <c r="E301" s="341">
        <f t="shared" si="40"/>
        <v>4.1179594405264419</v>
      </c>
      <c r="F301" s="342">
        <f t="shared" si="38"/>
        <v>7.7110006843446932</v>
      </c>
      <c r="G301" s="343">
        <f t="shared" si="35"/>
        <v>1.6397520683611446</v>
      </c>
    </row>
    <row r="302" spans="1:7" ht="18" customHeight="1">
      <c r="A302" s="337">
        <f>2017</f>
        <v>2017</v>
      </c>
      <c r="B302" s="338" t="s">
        <v>77</v>
      </c>
      <c r="C302" s="339">
        <f t="shared" si="36"/>
        <v>281678.63907234289</v>
      </c>
      <c r="D302" s="340">
        <v>0.55120000000000002</v>
      </c>
      <c r="E302" s="341">
        <f t="shared" si="40"/>
        <v>4.6918576329626038</v>
      </c>
      <c r="F302" s="342">
        <f t="shared" si="38"/>
        <v>7.4922770898715463</v>
      </c>
      <c r="G302" s="343">
        <f t="shared" si="35"/>
        <v>1.6307633010457805</v>
      </c>
    </row>
    <row r="303" spans="1:7" ht="18" customHeight="1">
      <c r="A303" s="337">
        <f>2017</f>
        <v>2017</v>
      </c>
      <c r="B303" s="338" t="s">
        <v>79</v>
      </c>
      <c r="C303" s="339">
        <f t="shared" si="36"/>
        <v>283087.03226770455</v>
      </c>
      <c r="D303" s="340">
        <v>0.5</v>
      </c>
      <c r="E303" s="341">
        <f t="shared" si="40"/>
        <v>5.2153169211273998</v>
      </c>
      <c r="F303" s="342">
        <f t="shared" si="38"/>
        <v>7.32322965450527</v>
      </c>
      <c r="G303" s="343">
        <f t="shared" si="35"/>
        <v>1.6226500507918218</v>
      </c>
    </row>
    <row r="304" spans="1:7" ht="18" customHeight="1">
      <c r="A304" s="337">
        <f>2017</f>
        <v>2017</v>
      </c>
      <c r="B304" s="338" t="s">
        <v>78</v>
      </c>
      <c r="C304" s="339">
        <f t="shared" si="36"/>
        <v>284414.71044904011</v>
      </c>
      <c r="D304" s="340">
        <v>0.46899999999999997</v>
      </c>
      <c r="E304" s="341">
        <f t="shared" si="40"/>
        <v>5.7087767574874881</v>
      </c>
      <c r="F304" s="342">
        <f t="shared" si="38"/>
        <v>7.1186285852648634</v>
      </c>
      <c r="G304" s="343">
        <f t="shared" si="35"/>
        <v>1.6150753474124571</v>
      </c>
    </row>
    <row r="305" spans="1:7" ht="18" customHeight="1">
      <c r="A305" s="337">
        <f>2017</f>
        <v>2017</v>
      </c>
      <c r="B305" s="338" t="s">
        <v>68</v>
      </c>
      <c r="C305" s="339">
        <f t="shared" si="36"/>
        <v>285630.01450678887</v>
      </c>
      <c r="D305" s="340">
        <v>0.42730000000000001</v>
      </c>
      <c r="E305" s="341">
        <f t="shared" si="40"/>
        <v>6.1604703605722344</v>
      </c>
      <c r="F305" s="342">
        <f t="shared" si="38"/>
        <v>6.8885188663050601</v>
      </c>
      <c r="G305" s="343">
        <f t="shared" si="35"/>
        <v>1.6082034938830947</v>
      </c>
    </row>
    <row r="306" spans="1:7" ht="18" customHeight="1">
      <c r="A306" s="337">
        <f>2017</f>
        <v>2017</v>
      </c>
      <c r="B306" s="338" t="s">
        <v>69</v>
      </c>
      <c r="C306" s="339">
        <f t="shared" si="36"/>
        <v>286850.51155877637</v>
      </c>
      <c r="D306" s="340">
        <v>0.42730000000000001</v>
      </c>
      <c r="E306" s="341">
        <f t="shared" si="40"/>
        <v>6.6140940504229695</v>
      </c>
      <c r="F306" s="342">
        <f t="shared" si="38"/>
        <v>6.6140940504229695</v>
      </c>
      <c r="G306" s="343">
        <f t="shared" si="35"/>
        <v>1.6013608788477782</v>
      </c>
    </row>
    <row r="307" spans="1:7" ht="18" customHeight="1">
      <c r="A307" s="337">
        <f>2018</f>
        <v>2018</v>
      </c>
      <c r="B307" s="338" t="s">
        <v>70</v>
      </c>
      <c r="C307" s="339">
        <f t="shared" si="36"/>
        <v>287996.19250194216</v>
      </c>
      <c r="D307" s="340">
        <v>0.39939999999999998</v>
      </c>
      <c r="E307" s="341">
        <f>100*(C307/$C$306-1)</f>
        <v>0.39940000000000531</v>
      </c>
      <c r="F307" s="342">
        <f t="shared" si="38"/>
        <v>6.3266714301072335</v>
      </c>
      <c r="G307" s="343">
        <f t="shared" si="35"/>
        <v>1.5949904868433258</v>
      </c>
    </row>
    <row r="308" spans="1:7" ht="18" customHeight="1">
      <c r="A308" s="337">
        <f>2018</f>
        <v>2018</v>
      </c>
      <c r="B308" s="338" t="s">
        <v>71</v>
      </c>
      <c r="C308" s="339">
        <f t="shared" si="36"/>
        <v>289146.44929479493</v>
      </c>
      <c r="D308" s="340">
        <v>0.39939999999999998</v>
      </c>
      <c r="E308" s="341">
        <f t="shared" ref="E308:E313" si="41">100*(C308/$C$307-1)</f>
        <v>0.39940000000000531</v>
      </c>
      <c r="F308" s="342">
        <f t="shared" si="38"/>
        <v>6.1881183759331382</v>
      </c>
      <c r="G308" s="343">
        <f t="shared" si="35"/>
        <v>1.5886454369680751</v>
      </c>
    </row>
    <row r="309" spans="1:7" ht="18" customHeight="1">
      <c r="A309" s="337">
        <f>2018</f>
        <v>2018</v>
      </c>
      <c r="B309" s="338" t="s">
        <v>72</v>
      </c>
      <c r="C309" s="339">
        <f t="shared" si="36"/>
        <v>290261.10885682632</v>
      </c>
      <c r="D309" s="340">
        <v>0.38550000000000001</v>
      </c>
      <c r="E309" s="341">
        <f t="shared" si="41"/>
        <v>0.78643968699998457</v>
      </c>
      <c r="F309" s="342">
        <f t="shared" si="38"/>
        <v>5.9062236505054821</v>
      </c>
      <c r="G309" s="343">
        <f t="shared" si="35"/>
        <v>1.5825447270453157</v>
      </c>
    </row>
    <row r="310" spans="1:7" ht="18" customHeight="1">
      <c r="A310" s="337">
        <f>2018</f>
        <v>2018</v>
      </c>
      <c r="B310" s="338" t="s">
        <v>73</v>
      </c>
      <c r="C310" s="339">
        <f t="shared" si="36"/>
        <v>291339.42887622939</v>
      </c>
      <c r="D310" s="340">
        <v>0.3715</v>
      </c>
      <c r="E310" s="341">
        <f t="shared" si="41"/>
        <v>1.1608613104371779</v>
      </c>
      <c r="F310" s="342">
        <f t="shared" si="38"/>
        <v>5.770811215290661</v>
      </c>
      <c r="G310" s="343">
        <f t="shared" si="35"/>
        <v>1.5766873336009883</v>
      </c>
    </row>
    <row r="311" spans="1:7" ht="18" customHeight="1">
      <c r="A311" s="337">
        <f>2018</f>
        <v>2018</v>
      </c>
      <c r="B311" s="338" t="s">
        <v>74</v>
      </c>
      <c r="C311" s="339">
        <f t="shared" si="36"/>
        <v>292421.75485450454</v>
      </c>
      <c r="D311" s="340">
        <v>0.3715</v>
      </c>
      <c r="E311" s="341">
        <f t="shared" si="41"/>
        <v>1.5366739102054439</v>
      </c>
      <c r="F311" s="342">
        <f t="shared" si="38"/>
        <v>5.5549090634773313</v>
      </c>
      <c r="G311" s="343">
        <f t="shared" si="35"/>
        <v>1.5708516198333078</v>
      </c>
    </row>
    <row r="312" spans="1:7" ht="18" customHeight="1">
      <c r="A312" s="337">
        <f>2018</f>
        <v>2018</v>
      </c>
      <c r="B312" s="338" t="s">
        <v>75</v>
      </c>
      <c r="C312" s="339">
        <f t="shared" si="36"/>
        <v>293508.10167378897</v>
      </c>
      <c r="D312" s="340">
        <v>0.3715</v>
      </c>
      <c r="E312" s="341">
        <f t="shared" si="41"/>
        <v>1.9138826537818288</v>
      </c>
      <c r="F312" s="342">
        <f t="shared" si="38"/>
        <v>5.3634374704990329</v>
      </c>
      <c r="G312" s="343">
        <f t="shared" si="35"/>
        <v>1.565037505500374</v>
      </c>
    </row>
    <row r="313" spans="1:7" ht="18" customHeight="1">
      <c r="A313" s="337">
        <f>2018</f>
        <v>2018</v>
      </c>
      <c r="B313" s="338" t="s">
        <v>76</v>
      </c>
      <c r="C313" s="339">
        <f t="shared" si="36"/>
        <v>294598.48427150707</v>
      </c>
      <c r="D313" s="340">
        <v>0.3715</v>
      </c>
      <c r="E313" s="341">
        <f t="shared" si="41"/>
        <v>2.2924927278406226</v>
      </c>
      <c r="F313" s="342">
        <f t="shared" si="38"/>
        <v>5.1632143965071764</v>
      </c>
      <c r="G313" s="343">
        <f t="shared" si="35"/>
        <v>1.5592449106572825</v>
      </c>
    </row>
    <row r="314" spans="1:7" ht="18" customHeight="1">
      <c r="A314" s="337">
        <f>2018</f>
        <v>2018</v>
      </c>
      <c r="B314" s="338" t="s">
        <v>77</v>
      </c>
      <c r="C314" s="339">
        <f t="shared" si="36"/>
        <v>295692.91764057567</v>
      </c>
      <c r="D314" s="340">
        <v>0.3715</v>
      </c>
      <c r="E314" s="341">
        <f>100*(C314/$C$307-1)</f>
        <v>2.6725093383245468</v>
      </c>
      <c r="F314" s="342">
        <f t="shared" si="38"/>
        <v>4.9752720385139115</v>
      </c>
      <c r="G314" s="343">
        <f t="shared" si="35"/>
        <v>1.5534737556550242</v>
      </c>
    </row>
    <row r="315" spans="1:7" ht="18" customHeight="1">
      <c r="A315" s="337">
        <f>2018</f>
        <v>2018</v>
      </c>
      <c r="B315" s="338" t="s">
        <v>79</v>
      </c>
      <c r="C315" s="339">
        <f t="shared" si="36"/>
        <v>296791.41682961036</v>
      </c>
      <c r="D315" s="340">
        <v>0.3715</v>
      </c>
      <c r="E315" s="341">
        <f>100*(C315/$C$307-1)</f>
        <v>3.0539377105163856</v>
      </c>
      <c r="F315" s="342">
        <f t="shared" si="38"/>
        <v>4.8410499245144178</v>
      </c>
      <c r="G315" s="343">
        <f t="shared" si="35"/>
        <v>1.5477239611393918</v>
      </c>
    </row>
    <row r="316" spans="1:7" ht="18" customHeight="1">
      <c r="A316" s="337">
        <f>2018</f>
        <v>2018</v>
      </c>
      <c r="B316" s="338" t="s">
        <v>78</v>
      </c>
      <c r="C316" s="339">
        <f t="shared" si="36"/>
        <v>297893.99694313231</v>
      </c>
      <c r="D316" s="340">
        <v>0.3715</v>
      </c>
      <c r="E316" s="341">
        <f>100*(C316/$C$307-1)</f>
        <v>3.4367830891109508</v>
      </c>
      <c r="F316" s="342">
        <f t="shared" si="38"/>
        <v>4.739307074803123</v>
      </c>
      <c r="G316" s="343">
        <f t="shared" si="35"/>
        <v>1.5419954480498865</v>
      </c>
    </row>
    <row r="317" spans="1:7" ht="18" customHeight="1">
      <c r="A317" s="337">
        <f>2018</f>
        <v>2018</v>
      </c>
      <c r="B317" s="338" t="s">
        <v>68</v>
      </c>
      <c r="C317" s="339">
        <f t="shared" si="36"/>
        <v>299000.673141776</v>
      </c>
      <c r="D317" s="340">
        <v>0.3715</v>
      </c>
      <c r="E317" s="341">
        <f>100*(C317/$C$307-1)</f>
        <v>3.8210507382869796</v>
      </c>
      <c r="F317" s="342">
        <f t="shared" si="38"/>
        <v>4.6811112123755327</v>
      </c>
      <c r="G317" s="343">
        <f t="shared" si="35"/>
        <v>1.5362881376186337</v>
      </c>
    </row>
    <row r="318" spans="1:7" ht="18" customHeight="1">
      <c r="A318" s="337">
        <f>2018</f>
        <v>2018</v>
      </c>
      <c r="B318" s="338" t="s">
        <v>69</v>
      </c>
      <c r="C318" s="339">
        <f t="shared" si="36"/>
        <v>300111.4606424977</v>
      </c>
      <c r="D318" s="340">
        <v>0.3715</v>
      </c>
      <c r="E318" s="341">
        <f>100*(C318/$C$307-1)</f>
        <v>4.2067459417796993</v>
      </c>
      <c r="F318" s="342">
        <f t="shared" si="38"/>
        <v>4.6229476850711881</v>
      </c>
      <c r="G318" s="343">
        <f t="shared" si="35"/>
        <v>1.5306019513692968</v>
      </c>
    </row>
    <row r="319" spans="1:7" ht="18" customHeight="1">
      <c r="A319" s="337">
        <f>2019</f>
        <v>2019</v>
      </c>
      <c r="B319" s="338" t="s">
        <v>70</v>
      </c>
      <c r="C319" s="339">
        <f t="shared" si="36"/>
        <v>301226.37471878453</v>
      </c>
      <c r="D319" s="340">
        <v>0.3715</v>
      </c>
      <c r="E319" s="341">
        <f t="shared" ref="E319:E330" si="42">100*(C319/$C$318-1)</f>
        <v>0.37149999999999128</v>
      </c>
      <c r="F319" s="342">
        <f t="shared" si="38"/>
        <v>4.5938740029534131</v>
      </c>
      <c r="G319" s="343">
        <f t="shared" si="35"/>
        <v>1.5249368111160011</v>
      </c>
    </row>
    <row r="320" spans="1:7" ht="18" customHeight="1">
      <c r="A320" s="345">
        <f>2019</f>
        <v>2019</v>
      </c>
      <c r="B320" s="346" t="s">
        <v>71</v>
      </c>
      <c r="C320" s="347">
        <f t="shared" si="36"/>
        <v>302345.43070086476</v>
      </c>
      <c r="D320" s="348">
        <v>0.3715</v>
      </c>
      <c r="E320" s="349">
        <f t="shared" si="42"/>
        <v>0.74438012249997687</v>
      </c>
      <c r="F320" s="350">
        <f t="shared" si="38"/>
        <v>4.5648084001242539</v>
      </c>
      <c r="G320" s="343">
        <f t="shared" si="35"/>
        <v>1.5192926389622565</v>
      </c>
    </row>
    <row r="321" spans="1:7" ht="18" customHeight="1">
      <c r="A321" s="345">
        <f>2019</f>
        <v>2019</v>
      </c>
      <c r="B321" s="346" t="s">
        <v>72</v>
      </c>
      <c r="C321" s="347">
        <f t="shared" si="36"/>
        <v>303468.64397591847</v>
      </c>
      <c r="D321" s="348">
        <v>0.3715</v>
      </c>
      <c r="E321" s="349">
        <f t="shared" si="42"/>
        <v>1.1186454946550572</v>
      </c>
      <c r="F321" s="350">
        <f t="shared" si="38"/>
        <v>4.5502255438591543</v>
      </c>
      <c r="G321" s="343">
        <f t="shared" si="35"/>
        <v>1.5136693572998874</v>
      </c>
    </row>
    <row r="322" spans="1:7" ht="18" customHeight="1">
      <c r="A322" s="345">
        <f>2019</f>
        <v>2019</v>
      </c>
      <c r="B322" s="346" t="s">
        <v>73</v>
      </c>
      <c r="C322" s="347">
        <f t="shared" si="36"/>
        <v>304596.029988289</v>
      </c>
      <c r="D322" s="348">
        <v>0.3715</v>
      </c>
      <c r="E322" s="349">
        <f t="shared" si="42"/>
        <v>1.4943012626676966</v>
      </c>
      <c r="F322" s="350">
        <f t="shared" si="38"/>
        <v>4.5502255438591765</v>
      </c>
      <c r="G322" s="343">
        <f t="shared" si="35"/>
        <v>1.5080668888079658</v>
      </c>
    </row>
    <row r="323" spans="1:7" ht="18" customHeight="1">
      <c r="A323" s="337">
        <f>2019</f>
        <v>2019</v>
      </c>
      <c r="B323" s="338" t="s">
        <v>74</v>
      </c>
      <c r="C323" s="339">
        <f t="shared" si="36"/>
        <v>305727.60423969547</v>
      </c>
      <c r="D323" s="340">
        <v>0.3715</v>
      </c>
      <c r="E323" s="341">
        <f t="shared" si="42"/>
        <v>1.8713525918584883</v>
      </c>
      <c r="F323" s="342">
        <f t="shared" si="38"/>
        <v>4.5502255438591765</v>
      </c>
      <c r="G323" s="343">
        <f t="shared" si="35"/>
        <v>1.5024851564517478</v>
      </c>
    </row>
    <row r="324" spans="1:7" ht="18" customHeight="1">
      <c r="A324" s="337">
        <f>2019</f>
        <v>2019</v>
      </c>
      <c r="B324" s="338" t="s">
        <v>75</v>
      </c>
      <c r="C324" s="339">
        <f t="shared" si="36"/>
        <v>306863.3822894459</v>
      </c>
      <c r="D324" s="340">
        <v>0.3715</v>
      </c>
      <c r="E324" s="341">
        <f t="shared" si="42"/>
        <v>2.2498046667372318</v>
      </c>
      <c r="F324" s="342">
        <f t="shared" si="38"/>
        <v>4.5502255438591765</v>
      </c>
      <c r="G324" s="343">
        <f t="shared" si="35"/>
        <v>1.4969240834816138</v>
      </c>
    </row>
    <row r="325" spans="1:7" ht="18" customHeight="1">
      <c r="A325" s="337">
        <f>2019</f>
        <v>2019</v>
      </c>
      <c r="B325" s="338" t="s">
        <v>76</v>
      </c>
      <c r="C325" s="339">
        <f t="shared" si="36"/>
        <v>308003.37975465116</v>
      </c>
      <c r="D325" s="340">
        <v>0.3715</v>
      </c>
      <c r="E325" s="341">
        <f t="shared" si="42"/>
        <v>2.6296626910741638</v>
      </c>
      <c r="F325" s="342">
        <f t="shared" si="38"/>
        <v>4.5502255438591765</v>
      </c>
      <c r="G325" s="343">
        <f t="shared" si="35"/>
        <v>1.4913835934320139</v>
      </c>
    </row>
    <row r="326" spans="1:7" ht="18" customHeight="1">
      <c r="A326" s="345">
        <f>2019</f>
        <v>2019</v>
      </c>
      <c r="B326" s="346" t="s">
        <v>77</v>
      </c>
      <c r="C326" s="347">
        <f t="shared" si="36"/>
        <v>309061.06336072861</v>
      </c>
      <c r="D326" s="348">
        <v>0.34339999999999998</v>
      </c>
      <c r="E326" s="349">
        <f t="shared" si="42"/>
        <v>2.9820929527553108</v>
      </c>
      <c r="F326" s="350">
        <f t="shared" si="38"/>
        <v>4.5209556680699148</v>
      </c>
      <c r="G326" s="343">
        <f t="shared" si="35"/>
        <v>1.4862797089116115</v>
      </c>
    </row>
    <row r="327" spans="1:7" ht="18" customHeight="1">
      <c r="A327" s="345">
        <f>2019</f>
        <v>2019</v>
      </c>
      <c r="B327" s="346" t="s">
        <v>79</v>
      </c>
      <c r="C327" s="347">
        <f t="shared" si="36"/>
        <v>310122.37905230932</v>
      </c>
      <c r="D327" s="348">
        <v>0.34339999999999998</v>
      </c>
      <c r="E327" s="349">
        <f t="shared" si="42"/>
        <v>3.3357334599550592</v>
      </c>
      <c r="F327" s="350">
        <f t="shared" si="38"/>
        <v>4.491693986673595</v>
      </c>
      <c r="G327" s="343">
        <f t="shared" ref="G327:G390" si="43">+$C$407/C327</f>
        <v>1.4811932911498034</v>
      </c>
    </row>
    <row r="328" spans="1:7" ht="18" customHeight="1">
      <c r="A328" s="345">
        <f>2019</f>
        <v>2019</v>
      </c>
      <c r="B328" s="346" t="s">
        <v>78</v>
      </c>
      <c r="C328" s="347">
        <f t="shared" si="36"/>
        <v>311100.19491346122</v>
      </c>
      <c r="D328" s="348">
        <v>0.31530000000000002</v>
      </c>
      <c r="E328" s="349">
        <f t="shared" si="42"/>
        <v>3.6615510275542773</v>
      </c>
      <c r="F328" s="350">
        <f t="shared" si="38"/>
        <v>4.4331870080785762</v>
      </c>
      <c r="G328" s="343">
        <f t="shared" si="43"/>
        <v>1.4765377675686595</v>
      </c>
    </row>
    <row r="329" spans="1:7" ht="18" customHeight="1">
      <c r="A329" s="345">
        <f>2019</f>
        <v>2019</v>
      </c>
      <c r="B329" s="346" t="s">
        <v>68</v>
      </c>
      <c r="C329" s="347">
        <f t="shared" si="36"/>
        <v>311993.36357305781</v>
      </c>
      <c r="D329" s="348">
        <v>0.28710000000000002</v>
      </c>
      <c r="E329" s="349">
        <f t="shared" si="42"/>
        <v>3.9591633405543947</v>
      </c>
      <c r="F329" s="350">
        <f t="shared" si="38"/>
        <v>4.3453716323645475</v>
      </c>
      <c r="G329" s="343">
        <f t="shared" si="43"/>
        <v>1.4723107633670325</v>
      </c>
    </row>
    <row r="330" spans="1:7" ht="18" customHeight="1">
      <c r="A330" s="345">
        <f>2019</f>
        <v>2019</v>
      </c>
      <c r="B330" s="346" t="s">
        <v>69</v>
      </c>
      <c r="C330" s="347">
        <f t="shared" si="36"/>
        <v>312889.0965198761</v>
      </c>
      <c r="D330" s="348">
        <v>0.28710000000000002</v>
      </c>
      <c r="E330" s="349">
        <f t="shared" si="42"/>
        <v>4.2576300985051496</v>
      </c>
      <c r="F330" s="350">
        <f t="shared" si="38"/>
        <v>4.2576300985051496</v>
      </c>
      <c r="G330" s="343">
        <f t="shared" si="43"/>
        <v>1.4680958601525345</v>
      </c>
    </row>
    <row r="331" spans="1:7" ht="18" customHeight="1">
      <c r="A331" s="345">
        <f>2020</f>
        <v>2020</v>
      </c>
      <c r="B331" s="346" t="s">
        <v>70</v>
      </c>
      <c r="C331" s="347">
        <f t="shared" si="36"/>
        <v>313698.85350166954</v>
      </c>
      <c r="D331" s="348">
        <v>0.25879999999999997</v>
      </c>
      <c r="E331" s="349">
        <f t="shared" ref="E331:E342" si="44">100*(C331/$C$330-1)</f>
        <v>0.25880000000000347</v>
      </c>
      <c r="F331" s="350">
        <f t="shared" si="38"/>
        <v>4.140566640132004</v>
      </c>
      <c r="G331" s="343">
        <f t="shared" si="43"/>
        <v>1.4643062356147634</v>
      </c>
    </row>
    <row r="332" spans="1:7" ht="18" customHeight="1">
      <c r="A332" s="345">
        <f>2020</f>
        <v>2020</v>
      </c>
      <c r="B332" s="346" t="s">
        <v>71</v>
      </c>
      <c r="C332" s="347">
        <f t="shared" ref="C332:C391" si="45">+C331*(1+D332/100)</f>
        <v>314510.70613453188</v>
      </c>
      <c r="D332" s="348">
        <v>0.25879999999999997</v>
      </c>
      <c r="E332" s="349">
        <f t="shared" si="44"/>
        <v>0.51826977440001532</v>
      </c>
      <c r="F332" s="350">
        <f t="shared" si="38"/>
        <v>4.0236346239686416</v>
      </c>
      <c r="G332" s="343">
        <f t="shared" si="43"/>
        <v>1.4605263933088799</v>
      </c>
    </row>
    <row r="333" spans="1:7" ht="18" customHeight="1">
      <c r="A333" s="345">
        <f>2020</f>
        <v>2020</v>
      </c>
      <c r="B333" s="346" t="s">
        <v>72</v>
      </c>
      <c r="C333" s="347">
        <f t="shared" si="45"/>
        <v>315279.99932173692</v>
      </c>
      <c r="D333" s="348">
        <v>0.24460000000000001</v>
      </c>
      <c r="E333" s="349">
        <f t="shared" si="44"/>
        <v>0.76413746226817736</v>
      </c>
      <c r="F333" s="350">
        <f t="shared" si="38"/>
        <v>3.892117218791058</v>
      </c>
      <c r="G333" s="343">
        <f t="shared" si="43"/>
        <v>1.4569626626360723</v>
      </c>
    </row>
    <row r="334" spans="1:7" ht="18" customHeight="1">
      <c r="A334" s="345">
        <f>2020</f>
        <v>2020</v>
      </c>
      <c r="B334" s="346" t="s">
        <v>73</v>
      </c>
      <c r="C334" s="347">
        <f t="shared" si="45"/>
        <v>315961.63468027051</v>
      </c>
      <c r="D334" s="348">
        <v>0.2162</v>
      </c>
      <c r="E334" s="349">
        <f t="shared" si="44"/>
        <v>0.98198952746160195</v>
      </c>
      <c r="F334" s="350">
        <f t="shared" si="38"/>
        <v>3.7313699369024844</v>
      </c>
      <c r="G334" s="343">
        <f t="shared" si="43"/>
        <v>1.4538195048665508</v>
      </c>
    </row>
    <row r="335" spans="1:7" ht="18" customHeight="1">
      <c r="A335" s="345">
        <f>2020</f>
        <v>2020</v>
      </c>
      <c r="B335" s="346" t="s">
        <v>74</v>
      </c>
      <c r="C335" s="347">
        <f t="shared" si="45"/>
        <v>316644.74373444926</v>
      </c>
      <c r="D335" s="348">
        <v>0.2162</v>
      </c>
      <c r="E335" s="349">
        <f t="shared" si="44"/>
        <v>1.200312588819985</v>
      </c>
      <c r="F335" s="350">
        <f t="shared" si="38"/>
        <v>3.5708713715607354</v>
      </c>
      <c r="G335" s="343">
        <f t="shared" si="43"/>
        <v>1.4506831279439358</v>
      </c>
    </row>
    <row r="336" spans="1:7" ht="18" customHeight="1">
      <c r="A336" s="345">
        <f>2020</f>
        <v>2020</v>
      </c>
      <c r="B336" s="346" t="s">
        <v>75</v>
      </c>
      <c r="C336" s="347">
        <f t="shared" si="45"/>
        <v>317193.48907534109</v>
      </c>
      <c r="D336" s="348">
        <v>0.17330000000000001</v>
      </c>
      <c r="E336" s="349">
        <f t="shared" si="44"/>
        <v>1.3756927305364153</v>
      </c>
      <c r="F336" s="350">
        <f t="shared" si="38"/>
        <v>3.366353687697865</v>
      </c>
      <c r="G336" s="343">
        <f t="shared" si="43"/>
        <v>1.4481734433665816</v>
      </c>
    </row>
    <row r="337" spans="1:7" ht="18" customHeight="1">
      <c r="A337" s="345">
        <f>2020</f>
        <v>2020</v>
      </c>
      <c r="B337" s="346" t="s">
        <v>76</v>
      </c>
      <c r="C337" s="347">
        <f t="shared" si="45"/>
        <v>317606.79219160625</v>
      </c>
      <c r="D337" s="348">
        <v>0.1303</v>
      </c>
      <c r="E337" s="349">
        <f t="shared" si="44"/>
        <v>1.507785258164307</v>
      </c>
      <c r="F337" s="350">
        <f t="shared" si="38"/>
        <v>3.1179568369038568</v>
      </c>
      <c r="G337" s="343">
        <f t="shared" si="43"/>
        <v>1.4462889288922349</v>
      </c>
    </row>
    <row r="338" spans="1:7" ht="18" customHeight="1">
      <c r="A338" s="345">
        <f>2020</f>
        <v>2020</v>
      </c>
      <c r="B338" s="346" t="s">
        <v>77</v>
      </c>
      <c r="C338" s="347">
        <f t="shared" si="45"/>
        <v>318020.63384183194</v>
      </c>
      <c r="D338" s="348">
        <v>0.1303</v>
      </c>
      <c r="E338" s="349">
        <f t="shared" si="44"/>
        <v>1.6400499023556891</v>
      </c>
      <c r="F338" s="350">
        <f t="shared" si="38"/>
        <v>2.8989644906016299</v>
      </c>
      <c r="G338" s="343">
        <f t="shared" si="43"/>
        <v>1.4444068667448664</v>
      </c>
    </row>
    <row r="339" spans="1:7" ht="18" customHeight="1">
      <c r="A339" s="345">
        <f>2020</f>
        <v>2020</v>
      </c>
      <c r="B339" s="346" t="s">
        <v>79</v>
      </c>
      <c r="C339" s="347">
        <f t="shared" si="45"/>
        <v>318389.21975645458</v>
      </c>
      <c r="D339" s="348">
        <v>0.1159</v>
      </c>
      <c r="E339" s="349">
        <f t="shared" si="44"/>
        <v>1.7578507201924998</v>
      </c>
      <c r="F339" s="350">
        <f t="shared" ref="F339:F391" si="46">100*(C339/C327-1)</f>
        <v>2.6656704780247065</v>
      </c>
      <c r="G339" s="343">
        <f t="shared" si="43"/>
        <v>1.4427347371844697</v>
      </c>
    </row>
    <row r="340" spans="1:7" ht="18" customHeight="1">
      <c r="A340" s="345">
        <f>2020</f>
        <v>2020</v>
      </c>
      <c r="B340" s="346" t="s">
        <v>78</v>
      </c>
      <c r="C340" s="347">
        <f t="shared" si="45"/>
        <v>318758.23286215228</v>
      </c>
      <c r="D340" s="348">
        <v>0.1159</v>
      </c>
      <c r="E340" s="349">
        <f t="shared" si="44"/>
        <v>1.8757880691772089</v>
      </c>
      <c r="F340" s="350">
        <f t="shared" si="46"/>
        <v>2.4615985698180909</v>
      </c>
      <c r="G340" s="343">
        <f t="shared" si="43"/>
        <v>1.4410645433786939</v>
      </c>
    </row>
    <row r="341" spans="1:7" ht="18" customHeight="1">
      <c r="A341" s="345">
        <f>2020</f>
        <v>2020</v>
      </c>
      <c r="B341" s="346" t="s">
        <v>68</v>
      </c>
      <c r="C341" s="347">
        <f t="shared" si="45"/>
        <v>319127.67365403951</v>
      </c>
      <c r="D341" s="348">
        <v>0.1159</v>
      </c>
      <c r="E341" s="349">
        <f t="shared" si="44"/>
        <v>1.9938621075493712</v>
      </c>
      <c r="F341" s="350">
        <f t="shared" si="46"/>
        <v>2.2866864856601721</v>
      </c>
      <c r="G341" s="343">
        <f t="shared" si="43"/>
        <v>1.4393962830865965</v>
      </c>
    </row>
    <row r="342" spans="1:7" ht="18" customHeight="1">
      <c r="A342" s="345">
        <f>2020</f>
        <v>2020</v>
      </c>
      <c r="B342" s="346" t="s">
        <v>69</v>
      </c>
      <c r="C342" s="347">
        <f t="shared" si="45"/>
        <v>319497.54262780451</v>
      </c>
      <c r="D342" s="348">
        <v>0.1159</v>
      </c>
      <c r="E342" s="349">
        <f t="shared" si="44"/>
        <v>2.1120729937320171</v>
      </c>
      <c r="F342" s="350">
        <f t="shared" si="46"/>
        <v>2.1120729937320171</v>
      </c>
      <c r="G342" s="343">
        <f t="shared" si="43"/>
        <v>1.4377299540698298</v>
      </c>
    </row>
    <row r="343" spans="1:7" ht="18" customHeight="1">
      <c r="A343" s="345">
        <f>2021</f>
        <v>2021</v>
      </c>
      <c r="B343" s="346" t="s">
        <v>70</v>
      </c>
      <c r="C343" s="347">
        <f t="shared" si="45"/>
        <v>319867.84027971013</v>
      </c>
      <c r="D343" s="348">
        <v>0.1159</v>
      </c>
      <c r="E343" s="349">
        <f t="shared" ref="E343:E354" si="47">100*(C343/$C$342-1)</f>
        <v>0.11589999999999101</v>
      </c>
      <c r="F343" s="350">
        <f t="shared" si="46"/>
        <v>1.9665315028025043</v>
      </c>
      <c r="G343" s="343">
        <f t="shared" si="43"/>
        <v>1.4360655540926364</v>
      </c>
    </row>
    <row r="344" spans="1:7" ht="18" customHeight="1">
      <c r="A344" s="345">
        <f>2021</f>
        <v>2021</v>
      </c>
      <c r="B344" s="346" t="s">
        <v>71</v>
      </c>
      <c r="C344" s="347">
        <f t="shared" si="45"/>
        <v>320238.56710659427</v>
      </c>
      <c r="D344" s="348">
        <v>0.1159</v>
      </c>
      <c r="E344" s="349">
        <f t="shared" si="47"/>
        <v>0.23193432809998082</v>
      </c>
      <c r="F344" s="350">
        <f t="shared" si="46"/>
        <v>1.8211974538037801</v>
      </c>
      <c r="G344" s="343">
        <f t="shared" si="43"/>
        <v>1.4344030809218482</v>
      </c>
    </row>
    <row r="345" spans="1:7" ht="18" customHeight="1">
      <c r="A345" s="345">
        <f>2021</f>
        <v>2021</v>
      </c>
      <c r="B345" s="346" t="s">
        <v>72</v>
      </c>
      <c r="C345" s="347">
        <f t="shared" si="45"/>
        <v>320609.72360587079</v>
      </c>
      <c r="D345" s="348">
        <v>0.1159</v>
      </c>
      <c r="E345" s="349">
        <f t="shared" si="47"/>
        <v>0.34810313998625553</v>
      </c>
      <c r="F345" s="350">
        <f t="shared" si="46"/>
        <v>1.6904733239024861</v>
      </c>
      <c r="G345" s="343">
        <f t="shared" si="43"/>
        <v>1.4327425323268814</v>
      </c>
    </row>
    <row r="346" spans="1:7" ht="18" customHeight="1">
      <c r="A346" s="345">
        <f>2021</f>
        <v>2021</v>
      </c>
      <c r="B346" s="346" t="s">
        <v>73</v>
      </c>
      <c r="C346" s="347">
        <f t="shared" si="45"/>
        <v>321119.49306640413</v>
      </c>
      <c r="D346" s="348">
        <v>0.159</v>
      </c>
      <c r="E346" s="349">
        <f t="shared" si="47"/>
        <v>0.50765662397882494</v>
      </c>
      <c r="F346" s="350">
        <f t="shared" si="46"/>
        <v>1.6324318588087472</v>
      </c>
      <c r="G346" s="343">
        <f t="shared" si="43"/>
        <v>1.4304680880668552</v>
      </c>
    </row>
    <row r="347" spans="1:7" ht="18" customHeight="1">
      <c r="A347" s="345">
        <f>2021</f>
        <v>2021</v>
      </c>
      <c r="B347" s="346" t="s">
        <v>74</v>
      </c>
      <c r="C347" s="347">
        <f t="shared" si="45"/>
        <v>321630.07306037971</v>
      </c>
      <c r="D347" s="348">
        <v>0.159</v>
      </c>
      <c r="E347" s="349">
        <f t="shared" si="47"/>
        <v>0.66746379801094768</v>
      </c>
      <c r="F347" s="350">
        <f t="shared" si="46"/>
        <v>1.5744235218100977</v>
      </c>
      <c r="G347" s="343">
        <f t="shared" si="43"/>
        <v>1.4281972544323078</v>
      </c>
    </row>
    <row r="348" spans="1:7" ht="18" customHeight="1">
      <c r="A348" s="345">
        <f>2021</f>
        <v>2021</v>
      </c>
      <c r="B348" s="346" t="s">
        <v>75</v>
      </c>
      <c r="C348" s="347">
        <f t="shared" si="45"/>
        <v>322279.44417788862</v>
      </c>
      <c r="D348" s="348">
        <v>0.2019</v>
      </c>
      <c r="E348" s="349">
        <f t="shared" si="47"/>
        <v>0.87071140741914466</v>
      </c>
      <c r="F348" s="350">
        <f t="shared" si="46"/>
        <v>1.6034235498886718</v>
      </c>
      <c r="G348" s="343">
        <f t="shared" si="43"/>
        <v>1.4253195342925711</v>
      </c>
    </row>
    <row r="349" spans="1:7" ht="18" customHeight="1">
      <c r="A349" s="345">
        <f>2021</f>
        <v>2021</v>
      </c>
      <c r="B349" s="346" t="s">
        <v>76</v>
      </c>
      <c r="C349" s="347">
        <f t="shared" si="45"/>
        <v>323067.73969834775</v>
      </c>
      <c r="D349" s="348">
        <v>0.24460000000000001</v>
      </c>
      <c r="E349" s="349">
        <f t="shared" si="47"/>
        <v>1.1174411675216822</v>
      </c>
      <c r="F349" s="350">
        <f t="shared" si="46"/>
        <v>1.7194051389955778</v>
      </c>
      <c r="G349" s="343">
        <f t="shared" si="43"/>
        <v>1.4218417094712044</v>
      </c>
    </row>
    <row r="350" spans="1:7" ht="18" customHeight="1">
      <c r="A350" s="345">
        <f>2021</f>
        <v>2021</v>
      </c>
      <c r="B350" s="346" t="s">
        <v>77</v>
      </c>
      <c r="C350" s="347">
        <f t="shared" si="45"/>
        <v>323857.96338964987</v>
      </c>
      <c r="D350" s="348">
        <v>0.24460000000000001</v>
      </c>
      <c r="E350" s="349">
        <f t="shared" si="47"/>
        <v>1.3647744286174435</v>
      </c>
      <c r="F350" s="350">
        <f t="shared" si="46"/>
        <v>1.8355191225488676</v>
      </c>
      <c r="G350" s="343">
        <f t="shared" si="43"/>
        <v>1.4183723706525884</v>
      </c>
    </row>
    <row r="351" spans="1:7" ht="18" customHeight="1">
      <c r="A351" s="345">
        <f>2021</f>
        <v>2021</v>
      </c>
      <c r="B351" s="346" t="s">
        <v>79</v>
      </c>
      <c r="C351" s="347">
        <f t="shared" si="45"/>
        <v>324833.42357537948</v>
      </c>
      <c r="D351" s="348">
        <v>0.30120000000000002</v>
      </c>
      <c r="E351" s="349">
        <f t="shared" si="47"/>
        <v>1.6700851291964192</v>
      </c>
      <c r="F351" s="350">
        <f t="shared" si="46"/>
        <v>2.0240018879578381</v>
      </c>
      <c r="G351" s="343">
        <f t="shared" si="43"/>
        <v>1.4141130621095146</v>
      </c>
    </row>
    <row r="352" spans="1:7" ht="18" customHeight="1">
      <c r="A352" s="345">
        <f>2021</f>
        <v>2021</v>
      </c>
      <c r="B352" s="346" t="s">
        <v>78</v>
      </c>
      <c r="C352" s="347">
        <f t="shared" si="45"/>
        <v>325994.70306466147</v>
      </c>
      <c r="D352" s="348">
        <v>0.35749999999999998</v>
      </c>
      <c r="E352" s="349">
        <f t="shared" si="47"/>
        <v>2.0335556835333168</v>
      </c>
      <c r="F352" s="350">
        <f t="shared" si="46"/>
        <v>2.2702065253444426</v>
      </c>
      <c r="G352" s="343">
        <f t="shared" si="43"/>
        <v>1.4090756167795278</v>
      </c>
    </row>
    <row r="353" spans="1:7" ht="18" customHeight="1">
      <c r="A353" s="345">
        <f>2021</f>
        <v>2021</v>
      </c>
      <c r="B353" s="346" t="s">
        <v>68</v>
      </c>
      <c r="C353" s="347">
        <f t="shared" si="45"/>
        <v>327432.9916945828</v>
      </c>
      <c r="D353" s="348">
        <v>0.44119999999999998</v>
      </c>
      <c r="E353" s="349">
        <f t="shared" si="47"/>
        <v>2.4837277312090622</v>
      </c>
      <c r="F353" s="350">
        <f t="shared" si="46"/>
        <v>2.6025063716495378</v>
      </c>
      <c r="G353" s="343">
        <f t="shared" si="43"/>
        <v>1.4028860833796566</v>
      </c>
    </row>
    <row r="354" spans="1:7" ht="18" customHeight="1">
      <c r="A354" s="345">
        <f>2021</f>
        <v>2021</v>
      </c>
      <c r="B354" s="346" t="s">
        <v>69</v>
      </c>
      <c r="C354" s="347">
        <f t="shared" si="45"/>
        <v>329038.06821986963</v>
      </c>
      <c r="D354" s="348">
        <v>0.49020000000000002</v>
      </c>
      <c r="E354" s="349">
        <f t="shared" si="47"/>
        <v>2.9861029645474435</v>
      </c>
      <c r="F354" s="350">
        <f t="shared" si="46"/>
        <v>2.9861029645474435</v>
      </c>
      <c r="G354" s="343">
        <f t="shared" si="43"/>
        <v>1.3960426821517486</v>
      </c>
    </row>
    <row r="355" spans="1:7" ht="18" customHeight="1">
      <c r="A355" s="345">
        <f>2022</f>
        <v>2022</v>
      </c>
      <c r="B355" s="346" t="s">
        <v>70</v>
      </c>
      <c r="C355" s="347">
        <f t="shared" si="45"/>
        <v>330883.31370644667</v>
      </c>
      <c r="D355" s="348">
        <v>0.56079999999999997</v>
      </c>
      <c r="E355" s="349">
        <f t="shared" ref="E355:E366" si="48">100*(C355/$C$354-1)</f>
        <v>0.56080000000000574</v>
      </c>
      <c r="F355" s="350">
        <f t="shared" si="46"/>
        <v>3.4437577147812037</v>
      </c>
      <c r="G355" s="343">
        <f t="shared" si="43"/>
        <v>1.3882573350169736</v>
      </c>
    </row>
    <row r="356" spans="1:7" ht="18" customHeight="1">
      <c r="A356" s="345">
        <f>2022</f>
        <v>2022</v>
      </c>
      <c r="B356" s="346" t="s">
        <v>71</v>
      </c>
      <c r="C356" s="347">
        <f t="shared" si="45"/>
        <v>332537.73027497885</v>
      </c>
      <c r="D356" s="348">
        <v>0.5</v>
      </c>
      <c r="E356" s="349">
        <f t="shared" si="48"/>
        <v>1.0636039999999847</v>
      </c>
      <c r="F356" s="350">
        <f t="shared" si="46"/>
        <v>3.8406252187266121</v>
      </c>
      <c r="G356" s="343">
        <f t="shared" si="43"/>
        <v>1.3813505821064416</v>
      </c>
    </row>
    <row r="357" spans="1:7" ht="18" customHeight="1">
      <c r="A357" s="345">
        <f>2022</f>
        <v>2022</v>
      </c>
      <c r="B357" s="346" t="s">
        <v>72</v>
      </c>
      <c r="C357" s="347">
        <f t="shared" si="45"/>
        <v>334524.97575110215</v>
      </c>
      <c r="D357" s="348">
        <v>0.59760000000000002</v>
      </c>
      <c r="E357" s="349">
        <f t="shared" si="48"/>
        <v>1.667560097503995</v>
      </c>
      <c r="F357" s="350">
        <f t="shared" si="46"/>
        <v>4.3402464493988768</v>
      </c>
      <c r="G357" s="343">
        <f t="shared" si="43"/>
        <v>1.373144669561144</v>
      </c>
    </row>
    <row r="358" spans="1:7" ht="18" customHeight="1">
      <c r="A358" s="345">
        <f>2022</f>
        <v>2022</v>
      </c>
      <c r="B358" s="346" t="s">
        <v>73</v>
      </c>
      <c r="C358" s="347">
        <f t="shared" si="45"/>
        <v>336384.26556632674</v>
      </c>
      <c r="D358" s="348">
        <v>0.55579999999999996</v>
      </c>
      <c r="E358" s="349">
        <f t="shared" si="48"/>
        <v>2.2326283965259153</v>
      </c>
      <c r="F358" s="350">
        <f t="shared" si="46"/>
        <v>4.753611297202065</v>
      </c>
      <c r="G358" s="343">
        <f t="shared" si="43"/>
        <v>1.3655549153416751</v>
      </c>
    </row>
    <row r="359" spans="1:7" ht="18" customHeight="1">
      <c r="A359" s="345">
        <f>2022</f>
        <v>2022</v>
      </c>
      <c r="B359" s="346" t="s">
        <v>74</v>
      </c>
      <c r="C359" s="347">
        <f t="shared" si="45"/>
        <v>338628.28500191972</v>
      </c>
      <c r="D359" s="348">
        <v>0.66710000000000003</v>
      </c>
      <c r="E359" s="349">
        <f t="shared" si="48"/>
        <v>2.914622260559141</v>
      </c>
      <c r="F359" s="350">
        <f t="shared" si="46"/>
        <v>5.2850194572287235</v>
      </c>
      <c r="G359" s="343">
        <f t="shared" si="43"/>
        <v>1.3565056660434989</v>
      </c>
    </row>
    <row r="360" spans="1:7" ht="18" customHeight="1">
      <c r="A360" s="345">
        <f>2022</f>
        <v>2022</v>
      </c>
      <c r="B360" s="346" t="s">
        <v>75</v>
      </c>
      <c r="C360" s="347">
        <f t="shared" si="45"/>
        <v>340826.32119986718</v>
      </c>
      <c r="D360" s="348">
        <v>0.64910000000000001</v>
      </c>
      <c r="E360" s="349">
        <f t="shared" si="48"/>
        <v>3.5826410736524261</v>
      </c>
      <c r="F360" s="350">
        <f t="shared" si="46"/>
        <v>5.7549053645944648</v>
      </c>
      <c r="G360" s="343">
        <f t="shared" si="43"/>
        <v>1.3477573729357728</v>
      </c>
    </row>
    <row r="361" spans="1:7" ht="18" customHeight="1">
      <c r="A361" s="345">
        <f>2022</f>
        <v>2022</v>
      </c>
      <c r="B361" s="346" t="s">
        <v>76</v>
      </c>
      <c r="C361" s="347">
        <f t="shared" si="45"/>
        <v>343089.06714631314</v>
      </c>
      <c r="D361" s="348">
        <v>0.66390000000000005</v>
      </c>
      <c r="E361" s="349">
        <f t="shared" si="48"/>
        <v>4.2703262277404175</v>
      </c>
      <c r="F361" s="350">
        <f t="shared" si="46"/>
        <v>6.1972536987628501</v>
      </c>
      <c r="G361" s="343">
        <f t="shared" si="43"/>
        <v>1.3388686241401064</v>
      </c>
    </row>
    <row r="362" spans="1:7" ht="18" customHeight="1">
      <c r="A362" s="345">
        <f>2022</f>
        <v>2022</v>
      </c>
      <c r="B362" s="346" t="s">
        <v>77</v>
      </c>
      <c r="C362" s="347">
        <f t="shared" si="45"/>
        <v>345635.13111360592</v>
      </c>
      <c r="D362" s="348">
        <v>0.74209999999999998</v>
      </c>
      <c r="E362" s="349">
        <f t="shared" si="48"/>
        <v>5.0441163186764726</v>
      </c>
      <c r="F362" s="350">
        <f t="shared" si="46"/>
        <v>6.7242958907127059</v>
      </c>
      <c r="G362" s="343">
        <f t="shared" si="43"/>
        <v>1.3290060700939395</v>
      </c>
    </row>
    <row r="363" spans="1:7" ht="18" customHeight="1">
      <c r="A363" s="345">
        <f>2022</f>
        <v>2022</v>
      </c>
      <c r="B363" s="346" t="s">
        <v>79</v>
      </c>
      <c r="C363" s="347">
        <f t="shared" si="45"/>
        <v>347990.28889701405</v>
      </c>
      <c r="D363" s="348">
        <v>0.68140000000000001</v>
      </c>
      <c r="E363" s="349">
        <f t="shared" si="48"/>
        <v>5.75988692727194</v>
      </c>
      <c r="F363" s="350">
        <f t="shared" si="46"/>
        <v>7.1288431672921426</v>
      </c>
      <c r="G363" s="343">
        <f t="shared" si="43"/>
        <v>1.320011511653532</v>
      </c>
    </row>
    <row r="364" spans="1:7" ht="18" customHeight="1">
      <c r="A364" s="345">
        <f>2022</f>
        <v>2022</v>
      </c>
      <c r="B364" s="346" t="s">
        <v>78</v>
      </c>
      <c r="C364" s="347">
        <f t="shared" si="45"/>
        <v>350252.57376513357</v>
      </c>
      <c r="D364" s="348">
        <v>0.65010000000000001</v>
      </c>
      <c r="E364" s="349">
        <f t="shared" si="48"/>
        <v>6.4474319521861556</v>
      </c>
      <c r="F364" s="350">
        <f t="shared" si="46"/>
        <v>7.4411855384228565</v>
      </c>
      <c r="G364" s="343">
        <f t="shared" si="43"/>
        <v>1.3114855441311355</v>
      </c>
    </row>
    <row r="365" spans="1:7" ht="18" customHeight="1">
      <c r="A365" s="345">
        <f>2022</f>
        <v>2022</v>
      </c>
      <c r="B365" s="346" t="s">
        <v>68</v>
      </c>
      <c r="C365" s="347">
        <f t="shared" si="45"/>
        <v>352534.46928321343</v>
      </c>
      <c r="D365" s="348">
        <v>0.65149999999999997</v>
      </c>
      <c r="E365" s="349">
        <f t="shared" si="48"/>
        <v>7.14093697135465</v>
      </c>
      <c r="F365" s="350">
        <f t="shared" si="46"/>
        <v>7.6661418443882301</v>
      </c>
      <c r="G365" s="343">
        <f t="shared" si="43"/>
        <v>1.3029965217916628</v>
      </c>
    </row>
    <row r="366" spans="1:7" ht="18" customHeight="1">
      <c r="A366" s="345">
        <f>2022</f>
        <v>2022</v>
      </c>
      <c r="B366" s="346" t="s">
        <v>69</v>
      </c>
      <c r="C366" s="347">
        <f t="shared" si="45"/>
        <v>355031.11839467718</v>
      </c>
      <c r="D366" s="348">
        <v>0.70820000000000005</v>
      </c>
      <c r="E366" s="349">
        <f t="shared" si="48"/>
        <v>7.8997090869857844</v>
      </c>
      <c r="F366" s="350">
        <f t="shared" si="46"/>
        <v>7.8997090869857844</v>
      </c>
      <c r="G366" s="343">
        <f t="shared" si="43"/>
        <v>1.2938335922910573</v>
      </c>
    </row>
    <row r="367" spans="1:7" ht="18" customHeight="1">
      <c r="A367" s="345">
        <f>2023</f>
        <v>2023</v>
      </c>
      <c r="B367" s="346" t="s">
        <v>70</v>
      </c>
      <c r="C367" s="347">
        <f t="shared" si="45"/>
        <v>357548.64405521384</v>
      </c>
      <c r="D367" s="348">
        <v>0.70909999999999995</v>
      </c>
      <c r="E367" s="349">
        <f t="shared" ref="E367:E378" si="49">100*(C367/$C$366-1)</f>
        <v>0.70909999999999584</v>
      </c>
      <c r="F367" s="350">
        <f t="shared" si="46"/>
        <v>8.0588319942975772</v>
      </c>
      <c r="G367" s="343">
        <f t="shared" si="43"/>
        <v>1.2847236171220449</v>
      </c>
    </row>
    <row r="368" spans="1:7" ht="18" customHeight="1">
      <c r="A368" s="345">
        <f>2023</f>
        <v>2023</v>
      </c>
      <c r="B368" s="346" t="s">
        <v>71</v>
      </c>
      <c r="C368" s="347">
        <f t="shared" si="45"/>
        <v>359634.58284463192</v>
      </c>
      <c r="D368" s="348">
        <v>0.58340000000000003</v>
      </c>
      <c r="E368" s="349">
        <f t="shared" si="49"/>
        <v>1.2966368893999825</v>
      </c>
      <c r="F368" s="350">
        <f t="shared" si="46"/>
        <v>8.1485046966689687</v>
      </c>
      <c r="G368" s="343">
        <f t="shared" si="43"/>
        <v>1.2772720122028536</v>
      </c>
    </row>
    <row r="369" spans="1:7" ht="18" customHeight="1">
      <c r="A369" s="345">
        <f>2023</f>
        <v>2023</v>
      </c>
      <c r="B369" s="346" t="s">
        <v>72</v>
      </c>
      <c r="C369" s="347">
        <f t="shared" si="45"/>
        <v>362297.31729601359</v>
      </c>
      <c r="D369" s="348">
        <v>0.74039999999999995</v>
      </c>
      <c r="E369" s="349">
        <f t="shared" si="49"/>
        <v>2.0466371889291013</v>
      </c>
      <c r="F369" s="350">
        <f t="shared" si="46"/>
        <v>8.3020233339991414</v>
      </c>
      <c r="G369" s="343">
        <f t="shared" si="43"/>
        <v>1.2678845946639616</v>
      </c>
    </row>
    <row r="370" spans="1:7" ht="18" customHeight="1">
      <c r="A370" s="345">
        <f>2023</f>
        <v>2023</v>
      </c>
      <c r="B370" s="346" t="s">
        <v>73</v>
      </c>
      <c r="C370" s="347">
        <f t="shared" si="45"/>
        <v>364407.69916926284</v>
      </c>
      <c r="D370" s="348">
        <v>0.58250000000000002</v>
      </c>
      <c r="E370" s="349">
        <f t="shared" si="49"/>
        <v>2.6410588505546118</v>
      </c>
      <c r="F370" s="350">
        <f t="shared" si="46"/>
        <v>8.330780143880002</v>
      </c>
      <c r="G370" s="343">
        <f t="shared" si="43"/>
        <v>1.2605419378758349</v>
      </c>
    </row>
    <row r="371" spans="1:7" ht="18" customHeight="1">
      <c r="A371" s="345">
        <f>2023</f>
        <v>2023</v>
      </c>
      <c r="B371" s="346" t="s">
        <v>74</v>
      </c>
      <c r="C371" s="347">
        <f t="shared" si="45"/>
        <v>367016.12947991642</v>
      </c>
      <c r="D371" s="348">
        <v>0.71579999999999999</v>
      </c>
      <c r="E371" s="349">
        <f t="shared" si="49"/>
        <v>3.3757635498068872</v>
      </c>
      <c r="F371" s="350">
        <f t="shared" si="46"/>
        <v>8.3831876235134217</v>
      </c>
      <c r="G371" s="343">
        <f t="shared" si="43"/>
        <v>1.2515831060030651</v>
      </c>
    </row>
    <row r="372" spans="1:7" ht="18" customHeight="1">
      <c r="A372" s="345">
        <f>2023</f>
        <v>2023</v>
      </c>
      <c r="B372" s="346" t="s">
        <v>75</v>
      </c>
      <c r="C372" s="347">
        <f t="shared" si="45"/>
        <v>369514.77528941567</v>
      </c>
      <c r="D372" s="348">
        <v>0.68079999999999996</v>
      </c>
      <c r="E372" s="349">
        <f t="shared" si="49"/>
        <v>4.0795457480539588</v>
      </c>
      <c r="F372" s="350">
        <f t="shared" si="46"/>
        <v>8.4173235178996109</v>
      </c>
      <c r="G372" s="343">
        <f t="shared" si="43"/>
        <v>1.243119945414682</v>
      </c>
    </row>
    <row r="373" spans="1:7" ht="18" customHeight="1">
      <c r="A373" s="345">
        <f>2023</f>
        <v>2023</v>
      </c>
      <c r="B373" s="346" t="s">
        <v>76</v>
      </c>
      <c r="C373" s="347">
        <f t="shared" si="45"/>
        <v>371949.50814379763</v>
      </c>
      <c r="D373" s="348">
        <v>0.65890000000000004</v>
      </c>
      <c r="E373" s="349">
        <f t="shared" si="49"/>
        <v>4.7653258749879024</v>
      </c>
      <c r="F373" s="350">
        <f t="shared" si="46"/>
        <v>8.4119384034982083</v>
      </c>
      <c r="G373" s="343">
        <f t="shared" si="43"/>
        <v>1.2349826447683037</v>
      </c>
    </row>
    <row r="374" spans="1:7" ht="18" customHeight="1">
      <c r="A374" s="345">
        <f>2023</f>
        <v>2023</v>
      </c>
      <c r="B374" s="346" t="s">
        <v>77</v>
      </c>
      <c r="C374" s="347">
        <f t="shared" si="45"/>
        <v>374616.75806669681</v>
      </c>
      <c r="D374" s="348">
        <v>0.71709999999999996</v>
      </c>
      <c r="E374" s="349">
        <f t="shared" si="49"/>
        <v>5.5165980268374382</v>
      </c>
      <c r="F374" s="350">
        <f t="shared" si="46"/>
        <v>8.3850350685460207</v>
      </c>
      <c r="G374" s="343">
        <f t="shared" si="43"/>
        <v>1.2261896388679812</v>
      </c>
    </row>
    <row r="375" spans="1:7" ht="18" customHeight="1">
      <c r="A375" s="345">
        <f>2023</f>
        <v>2023</v>
      </c>
      <c r="B375" s="346" t="s">
        <v>79</v>
      </c>
      <c r="C375" s="347">
        <f t="shared" si="45"/>
        <v>376915.40649419406</v>
      </c>
      <c r="D375" s="348">
        <v>0.61360000000000003</v>
      </c>
      <c r="E375" s="349">
        <f t="shared" si="49"/>
        <v>6.164047872330114</v>
      </c>
      <c r="F375" s="350">
        <f t="shared" si="46"/>
        <v>8.3120473530628569</v>
      </c>
      <c r="G375" s="343">
        <f t="shared" si="43"/>
        <v>1.2187116243410248</v>
      </c>
    </row>
    <row r="376" spans="1:7" ht="18" customHeight="1">
      <c r="A376" s="345">
        <f>2023</f>
        <v>2023</v>
      </c>
      <c r="B376" s="346" t="s">
        <v>78</v>
      </c>
      <c r="C376" s="347">
        <f t="shared" si="45"/>
        <v>379199.89077295543</v>
      </c>
      <c r="D376" s="348">
        <v>0.60609999999999997</v>
      </c>
      <c r="E376" s="349">
        <f t="shared" si="49"/>
        <v>6.8075081664843218</v>
      </c>
      <c r="F376" s="350">
        <f t="shared" si="46"/>
        <v>8.264697871209048</v>
      </c>
      <c r="G376" s="343">
        <f t="shared" si="43"/>
        <v>1.2113695137183775</v>
      </c>
    </row>
    <row r="377" spans="1:7" ht="18" customHeight="1">
      <c r="A377" s="345">
        <f>2023</f>
        <v>2023</v>
      </c>
      <c r="B377" s="346" t="s">
        <v>68</v>
      </c>
      <c r="C377" s="347">
        <f t="shared" si="45"/>
        <v>381391.28694173234</v>
      </c>
      <c r="D377" s="348">
        <v>0.57789999999999997</v>
      </c>
      <c r="E377" s="349">
        <f t="shared" si="49"/>
        <v>7.4247487561784231</v>
      </c>
      <c r="F377" s="350">
        <f t="shared" si="46"/>
        <v>8.1855308268697016</v>
      </c>
      <c r="G377" s="343">
        <f t="shared" si="43"/>
        <v>1.2044092327622444</v>
      </c>
    </row>
    <row r="378" spans="1:7" ht="18" customHeight="1">
      <c r="A378" s="345">
        <f>2023</f>
        <v>2023</v>
      </c>
      <c r="B378" s="346" t="s">
        <v>69</v>
      </c>
      <c r="C378" s="347">
        <f t="shared" si="45"/>
        <v>383562.5475382916</v>
      </c>
      <c r="D378" s="348">
        <v>0.56930000000000003</v>
      </c>
      <c r="E378" s="349">
        <f t="shared" si="49"/>
        <v>8.0363178508473521</v>
      </c>
      <c r="F378" s="350">
        <f t="shared" si="46"/>
        <v>8.0363178508473521</v>
      </c>
      <c r="G378" s="343">
        <f t="shared" si="43"/>
        <v>1.1975913452338283</v>
      </c>
    </row>
    <row r="379" spans="1:7" ht="18" customHeight="1">
      <c r="A379" s="345">
        <f>2024</f>
        <v>2024</v>
      </c>
      <c r="B379" s="346" t="s">
        <v>70</v>
      </c>
      <c r="C379" s="347">
        <f t="shared" si="45"/>
        <v>385817.5117552692</v>
      </c>
      <c r="D379" s="348">
        <v>0.58789999999999998</v>
      </c>
      <c r="E379" s="349">
        <f t="shared" ref="E379:E390" si="50">100*(C379/$C$378-1)</f>
        <v>0.58789999999999676</v>
      </c>
      <c r="F379" s="350">
        <f t="shared" si="46"/>
        <v>7.9062997916697464</v>
      </c>
      <c r="G379" s="343">
        <f t="shared" si="43"/>
        <v>1.1905918557140853</v>
      </c>
    </row>
    <row r="380" spans="1:7" ht="18" customHeight="1">
      <c r="A380" s="345">
        <f>2024</f>
        <v>2024</v>
      </c>
      <c r="B380" s="346" t="s">
        <v>71</v>
      </c>
      <c r="C380" s="347">
        <f t="shared" si="45"/>
        <v>387777.07889747422</v>
      </c>
      <c r="D380" s="348">
        <v>0.50790000000000002</v>
      </c>
      <c r="E380" s="349">
        <f t="shared" si="50"/>
        <v>1.0987859441000003</v>
      </c>
      <c r="F380" s="350">
        <f t="shared" si="46"/>
        <v>7.825303070200107</v>
      </c>
      <c r="G380" s="343">
        <f t="shared" si="43"/>
        <v>1.1845753972713442</v>
      </c>
    </row>
    <row r="381" spans="1:7" ht="18" customHeight="1">
      <c r="A381" s="345">
        <f>2024</f>
        <v>2024</v>
      </c>
      <c r="B381" s="346" t="s">
        <v>72</v>
      </c>
      <c r="C381" s="347">
        <f t="shared" si="45"/>
        <v>389845.09405923449</v>
      </c>
      <c r="D381" s="348">
        <v>0.5333</v>
      </c>
      <c r="E381" s="349">
        <f t="shared" si="50"/>
        <v>1.6379457695398836</v>
      </c>
      <c r="F381" s="350">
        <f t="shared" si="46"/>
        <v>7.6036380751649535</v>
      </c>
      <c r="G381" s="343">
        <f t="shared" si="43"/>
        <v>1.1782915683374007</v>
      </c>
    </row>
    <row r="382" spans="1:7" ht="18" customHeight="1">
      <c r="A382" s="345">
        <f>2024</f>
        <v>2024</v>
      </c>
      <c r="B382" s="346" t="s">
        <v>73</v>
      </c>
      <c r="C382" s="347">
        <f t="shared" si="45"/>
        <v>392195.0802862235</v>
      </c>
      <c r="D382" s="348">
        <v>0.6028</v>
      </c>
      <c r="E382" s="349">
        <f t="shared" si="50"/>
        <v>2.2506193066386571</v>
      </c>
      <c r="F382" s="350">
        <f t="shared" si="46"/>
        <v>7.6253551119549234</v>
      </c>
      <c r="G382" s="343">
        <f t="shared" si="43"/>
        <v>1.1712313855453336</v>
      </c>
    </row>
    <row r="383" spans="1:7" ht="18" customHeight="1">
      <c r="A383" s="345">
        <f>2024</f>
        <v>2024</v>
      </c>
      <c r="B383" s="346" t="s">
        <v>74</v>
      </c>
      <c r="C383" s="347">
        <f t="shared" si="45"/>
        <v>394498.83418782474</v>
      </c>
      <c r="D383" s="348">
        <v>0.58740000000000003</v>
      </c>
      <c r="E383" s="349">
        <f t="shared" si="50"/>
        <v>2.8512394444458522</v>
      </c>
      <c r="F383" s="350">
        <f t="shared" si="46"/>
        <v>7.4881462966908119</v>
      </c>
      <c r="G383" s="343">
        <f t="shared" si="43"/>
        <v>1.1643917484151431</v>
      </c>
    </row>
    <row r="384" spans="1:7" ht="18" customHeight="1">
      <c r="A384" s="345">
        <f>2024</f>
        <v>2024</v>
      </c>
      <c r="B384" s="346" t="s">
        <v>75</v>
      </c>
      <c r="C384" s="347">
        <f t="shared" si="45"/>
        <v>396616.10943091079</v>
      </c>
      <c r="D384" s="348">
        <v>0.53669999999999995</v>
      </c>
      <c r="E384" s="349">
        <f t="shared" si="50"/>
        <v>3.4032420465441859</v>
      </c>
      <c r="F384" s="350">
        <f t="shared" si="46"/>
        <v>7.3343032413977216</v>
      </c>
      <c r="G384" s="343">
        <f t="shared" si="43"/>
        <v>1.1581758187956668</v>
      </c>
    </row>
    <row r="385" spans="1:7" ht="18" customHeight="1">
      <c r="A385" s="345">
        <f>2024</f>
        <v>2024</v>
      </c>
      <c r="B385" s="346" t="s">
        <v>76</v>
      </c>
      <c r="C385" s="347">
        <f t="shared" si="45"/>
        <v>398893.87574737251</v>
      </c>
      <c r="D385" s="348">
        <v>0.57430000000000003</v>
      </c>
      <c r="E385" s="349">
        <f t="shared" si="50"/>
        <v>3.9970868656174829</v>
      </c>
      <c r="F385" s="350">
        <f t="shared" si="46"/>
        <v>7.2440928173396202</v>
      </c>
      <c r="G385" s="343">
        <f t="shared" si="43"/>
        <v>1.1515623959556931</v>
      </c>
    </row>
    <row r="386" spans="1:7" ht="18" customHeight="1">
      <c r="A386" s="345">
        <f>2024</f>
        <v>2024</v>
      </c>
      <c r="B386" s="346" t="s">
        <v>77</v>
      </c>
      <c r="C386" s="347">
        <f t="shared" si="45"/>
        <v>401171.95867176575</v>
      </c>
      <c r="D386" s="348">
        <v>0.57110000000000005</v>
      </c>
      <c r="E386" s="349">
        <f t="shared" si="50"/>
        <v>4.5910142287070244</v>
      </c>
      <c r="F386" s="350">
        <f t="shared" si="46"/>
        <v>7.088631256677802</v>
      </c>
      <c r="G386" s="343">
        <f t="shared" si="43"/>
        <v>1.1450231686395924</v>
      </c>
    </row>
    <row r="387" spans="1:7" ht="18" customHeight="1">
      <c r="A387" s="345">
        <f>2024</f>
        <v>2024</v>
      </c>
      <c r="B387" s="346" t="s">
        <v>79</v>
      </c>
      <c r="C387" s="347">
        <f t="shared" si="45"/>
        <v>403449.81305310404</v>
      </c>
      <c r="D387" s="348">
        <v>0.56779999999999997</v>
      </c>
      <c r="E387" s="349">
        <f t="shared" si="50"/>
        <v>5.1848820074976265</v>
      </c>
      <c r="F387" s="350">
        <f t="shared" si="46"/>
        <v>7.0398837780908607</v>
      </c>
      <c r="G387" s="343">
        <f t="shared" si="43"/>
        <v>1.1385584338521799</v>
      </c>
    </row>
    <row r="388" spans="1:7" ht="18" customHeight="1">
      <c r="A388" s="345">
        <f>2024</f>
        <v>2024</v>
      </c>
      <c r="B388" s="346" t="s">
        <v>78</v>
      </c>
      <c r="C388" s="347">
        <f t="shared" si="45"/>
        <v>405863.24983478768</v>
      </c>
      <c r="D388" s="348">
        <v>0.59819999999999995</v>
      </c>
      <c r="E388" s="349">
        <f t="shared" si="50"/>
        <v>5.8140979716664765</v>
      </c>
      <c r="F388" s="350">
        <f t="shared" si="46"/>
        <v>7.0314785712311423</v>
      </c>
      <c r="G388" s="343">
        <f t="shared" si="43"/>
        <v>1.1317880775721434</v>
      </c>
    </row>
    <row r="389" spans="1:7" ht="18" customHeight="1">
      <c r="A389" s="345">
        <f>2024</f>
        <v>2024</v>
      </c>
      <c r="B389" s="346" t="s">
        <v>68</v>
      </c>
      <c r="C389" s="347">
        <f t="shared" si="45"/>
        <v>408157.18892285391</v>
      </c>
      <c r="D389" s="348">
        <v>0.56520000000000004</v>
      </c>
      <c r="E389" s="349">
        <f t="shared" si="50"/>
        <v>6.4121592534023275</v>
      </c>
      <c r="F389" s="350">
        <f t="shared" si="46"/>
        <v>7.0179636760319575</v>
      </c>
      <c r="G389" s="343">
        <f t="shared" si="43"/>
        <v>1.1254271632454798</v>
      </c>
    </row>
    <row r="390" spans="1:7" ht="18" customHeight="1">
      <c r="A390" s="345">
        <f>2024</f>
        <v>2024</v>
      </c>
      <c r="B390" s="346" t="s">
        <v>69</v>
      </c>
      <c r="C390" s="347">
        <f t="shared" si="45"/>
        <v>410535.11270551849</v>
      </c>
      <c r="D390" s="348">
        <v>0.58260000000000001</v>
      </c>
      <c r="E390" s="349">
        <f t="shared" si="50"/>
        <v>7.0321164932126701</v>
      </c>
      <c r="F390" s="350">
        <f t="shared" si="46"/>
        <v>7.0321164932126701</v>
      </c>
      <c r="G390" s="343">
        <f t="shared" si="43"/>
        <v>1.1189084028902412</v>
      </c>
    </row>
    <row r="391" spans="1:7" ht="18" customHeight="1">
      <c r="A391" s="345">
        <f>2025</f>
        <v>2025</v>
      </c>
      <c r="B391" s="346" t="s">
        <v>70</v>
      </c>
      <c r="C391" s="347">
        <f t="shared" si="45"/>
        <v>413284.8768904201</v>
      </c>
      <c r="D391" s="348">
        <v>0.66979999999999995</v>
      </c>
      <c r="E391" s="349">
        <f t="shared" ref="E391:E396" si="51">100*(C391/$C$390-1)</f>
        <v>0.66980000000000928</v>
      </c>
      <c r="F391" s="350">
        <f t="shared" si="46"/>
        <v>7.1192634596052073</v>
      </c>
      <c r="G391" s="343">
        <f t="shared" ref="G391:G405" si="52">+$C$407/C391</f>
        <v>1.1114638182356984</v>
      </c>
    </row>
    <row r="392" spans="1:7" ht="18" customHeight="1">
      <c r="A392" s="345">
        <f>2025</f>
        <v>2025</v>
      </c>
      <c r="B392" s="346" t="s">
        <v>71</v>
      </c>
      <c r="C392" s="347">
        <f t="shared" ref="C392:C397" si="53">+C391*(1+D392/100)</f>
        <v>415901.38344601338</v>
      </c>
      <c r="D392" s="348">
        <v>0.6331</v>
      </c>
      <c r="E392" s="349">
        <f t="shared" si="51"/>
        <v>1.3071405038000083</v>
      </c>
      <c r="F392" s="350">
        <f t="shared" ref="F392:F397" si="54">100*(C392/C380-1)</f>
        <v>7.2526990580521256</v>
      </c>
      <c r="G392" s="343">
        <f t="shared" si="52"/>
        <v>1.1044714097406303</v>
      </c>
    </row>
    <row r="393" spans="1:7" ht="18" customHeight="1">
      <c r="A393" s="345">
        <f>2025</f>
        <v>2025</v>
      </c>
      <c r="B393" s="346" t="s">
        <v>72</v>
      </c>
      <c r="C393" s="347">
        <f t="shared" si="53"/>
        <v>418437.13418088376</v>
      </c>
      <c r="D393" s="348">
        <v>0.60970000000000002</v>
      </c>
      <c r="E393" s="349">
        <f t="shared" si="51"/>
        <v>1.9248101394516937</v>
      </c>
      <c r="F393" s="350">
        <f t="shared" si="54"/>
        <v>7.3342054465625584</v>
      </c>
      <c r="G393" s="343">
        <f t="shared" si="52"/>
        <v>1.0977782557155327</v>
      </c>
    </row>
    <row r="394" spans="1:7" ht="18" customHeight="1">
      <c r="A394" s="345">
        <f>2025</f>
        <v>2025</v>
      </c>
      <c r="B394" s="346" t="s">
        <v>73</v>
      </c>
      <c r="C394" s="347">
        <f t="shared" si="53"/>
        <v>421239.40766849311</v>
      </c>
      <c r="D394" s="348">
        <v>0.66969999999999996</v>
      </c>
      <c r="E394" s="349">
        <f t="shared" si="51"/>
        <v>2.6074005929555888</v>
      </c>
      <c r="F394" s="350">
        <f t="shared" si="54"/>
        <v>7.4055817735074747</v>
      </c>
      <c r="G394" s="343">
        <f t="shared" si="52"/>
        <v>1.0904753423478293</v>
      </c>
    </row>
    <row r="395" spans="1:7" ht="18" customHeight="1">
      <c r="A395" s="345">
        <f>2025</f>
        <v>2025</v>
      </c>
      <c r="B395" s="346" t="s">
        <v>74</v>
      </c>
      <c r="C395" s="347">
        <f t="shared" si="53"/>
        <v>424070.55772743304</v>
      </c>
      <c r="D395" s="348">
        <v>0.67210000000000003</v>
      </c>
      <c r="E395" s="349">
        <f t="shared" si="51"/>
        <v>3.2970249323408529</v>
      </c>
      <c r="F395" s="350">
        <f t="shared" si="54"/>
        <v>7.4960230492161273</v>
      </c>
      <c r="G395" s="343">
        <f t="shared" si="52"/>
        <v>1.0831951874926911</v>
      </c>
    </row>
    <row r="396" spans="1:7" ht="18" customHeight="1">
      <c r="A396" s="345">
        <f>2025</f>
        <v>2025</v>
      </c>
      <c r="B396" s="346" t="s">
        <v>75</v>
      </c>
      <c r="C396" s="347">
        <f t="shared" si="53"/>
        <v>426914.79895811097</v>
      </c>
      <c r="D396" s="348">
        <v>0.67069999999999996</v>
      </c>
      <c r="E396" s="349">
        <f t="shared" si="51"/>
        <v>3.989838078562058</v>
      </c>
      <c r="F396" s="350">
        <f t="shared" si="54"/>
        <v>7.6392987593657313</v>
      </c>
      <c r="G396" s="343">
        <f t="shared" si="52"/>
        <v>1.0759785990290034</v>
      </c>
    </row>
    <row r="397" spans="1:7" ht="18" customHeight="1">
      <c r="A397" s="345">
        <f>2025</f>
        <v>2025</v>
      </c>
      <c r="B397" s="346" t="s">
        <v>76</v>
      </c>
      <c r="C397" s="347">
        <f t="shared" si="53"/>
        <v>429803.73140266049</v>
      </c>
      <c r="D397" s="348">
        <v>0.67669999999999997</v>
      </c>
      <c r="E397" s="349">
        <f t="shared" ref="E397" si="55">100*(C397/$C$390-1)</f>
        <v>4.6935373128397018</v>
      </c>
      <c r="F397" s="350">
        <f t="shared" si="54"/>
        <v>7.7488920072725787</v>
      </c>
      <c r="G397" s="343">
        <f t="shared" si="52"/>
        <v>1.0687463921930331</v>
      </c>
    </row>
    <row r="398" spans="1:7" ht="18" customHeight="1">
      <c r="A398" s="345">
        <f>2025</f>
        <v>2025</v>
      </c>
      <c r="B398" s="346" t="s">
        <v>77</v>
      </c>
      <c r="C398" s="347">
        <f t="shared" ref="C398" si="56">+C397*(1+D398/100)</f>
        <v>432696.74031873181</v>
      </c>
      <c r="D398" s="348">
        <v>0.67310000000000003</v>
      </c>
      <c r="E398" s="349">
        <f t="shared" ref="E398" si="57">100*(C398/$C$390-1)</f>
        <v>5.3982295124924251</v>
      </c>
      <c r="F398" s="350">
        <f t="shared" ref="F398" si="58">100*(C398/C386-1)</f>
        <v>7.8581717803360318</v>
      </c>
      <c r="G398" s="343">
        <f t="shared" si="52"/>
        <v>1.0616007574943387</v>
      </c>
    </row>
    <row r="399" spans="1:7" ht="18" customHeight="1">
      <c r="A399" s="337">
        <f>2025</f>
        <v>2025</v>
      </c>
      <c r="B399" s="338" t="s">
        <v>79</v>
      </c>
      <c r="C399" s="339">
        <f t="shared" ref="C399" si="59">+C398*(1+D399/100)</f>
        <v>435617.87601262354</v>
      </c>
      <c r="D399" s="340">
        <v>0.67510000000000003</v>
      </c>
      <c r="E399" s="341">
        <f t="shared" ref="E399" si="60">100*(C399/$C$390-1)</f>
        <v>6.1097729599312478</v>
      </c>
      <c r="F399" s="342">
        <f t="shared" ref="F399" si="61">100*(C399/C387-1)</f>
        <v>7.9732501834832714</v>
      </c>
      <c r="G399" s="343">
        <f t="shared" si="52"/>
        <v>1.0544819498508955</v>
      </c>
    </row>
    <row r="400" spans="1:7" ht="18" customHeight="1">
      <c r="A400" s="337">
        <f>2025</f>
        <v>2025</v>
      </c>
      <c r="B400" s="338" t="s">
        <v>78</v>
      </c>
      <c r="C400" s="339">
        <f t="shared" ref="C400:C401" si="62">+C399*(1+D400/100)</f>
        <v>438565.70217960095</v>
      </c>
      <c r="D400" s="340">
        <v>0.67669999999999997</v>
      </c>
      <c r="E400" s="341">
        <f t="shared" ref="E400:E401" si="63">100*(C400/$C$390-1)</f>
        <v>6.8278177935511053</v>
      </c>
      <c r="F400" s="342">
        <f t="shared" ref="F400:F401" si="64">100*(C400/C388-1)</f>
        <v>8.0575051715387591</v>
      </c>
      <c r="G400" s="343">
        <f t="shared" si="52"/>
        <v>1.0473942330756725</v>
      </c>
    </row>
    <row r="401" spans="1:7" ht="18" customHeight="1">
      <c r="A401" s="345">
        <f>2025</f>
        <v>2025</v>
      </c>
      <c r="B401" s="346" t="s">
        <v>68</v>
      </c>
      <c r="C401" s="347">
        <f t="shared" si="62"/>
        <v>441478.65557347785</v>
      </c>
      <c r="D401" s="348">
        <v>0.66420000000000001</v>
      </c>
      <c r="E401" s="349">
        <f t="shared" si="63"/>
        <v>7.5373681593358555</v>
      </c>
      <c r="F401" s="350">
        <f t="shared" si="64"/>
        <v>8.1638808662321658</v>
      </c>
      <c r="G401" s="343">
        <f t="shared" si="52"/>
        <v>1.0404833427133702</v>
      </c>
    </row>
    <row r="402" spans="1:7" ht="18" customHeight="1">
      <c r="A402" s="345">
        <f>2025</f>
        <v>2025</v>
      </c>
      <c r="B402" s="346" t="s">
        <v>69</v>
      </c>
      <c r="C402" s="347">
        <f t="shared" ref="C402" si="65">+C401*(1+D402/100)</f>
        <v>444459.0779772544</v>
      </c>
      <c r="D402" s="348">
        <v>0.67510000000000003</v>
      </c>
      <c r="E402" s="349">
        <f t="shared" ref="E402" si="66">100*(C402/$C$390-1)</f>
        <v>8.2633529317795329</v>
      </c>
      <c r="F402" s="350">
        <f t="shared" ref="F402" si="67">100*(C402/C390-1)</f>
        <v>8.2633529317795329</v>
      </c>
      <c r="G402" s="343">
        <f t="shared" si="52"/>
        <v>1.0335061427437073</v>
      </c>
    </row>
    <row r="403" spans="1:7" ht="18" customHeight="1">
      <c r="A403" s="337">
        <f>2026</f>
        <v>2026</v>
      </c>
      <c r="B403" s="338" t="s">
        <v>70</v>
      </c>
      <c r="C403" s="339">
        <f t="shared" ref="C403" si="68">+C402*(1+D403/100)</f>
        <v>447448.95419480739</v>
      </c>
      <c r="D403" s="340">
        <v>0.67269999999999996</v>
      </c>
      <c r="E403" s="341">
        <f>100*(C403/$C$402-1)</f>
        <v>0.67269999999999275</v>
      </c>
      <c r="F403" s="342">
        <f t="shared" ref="F403" si="69">100*(C403/C391-1)</f>
        <v>8.2664716796413629</v>
      </c>
      <c r="G403" s="343">
        <f t="shared" si="52"/>
        <v>1.0266002031769361</v>
      </c>
    </row>
    <row r="404" spans="1:7" ht="18" customHeight="1">
      <c r="A404" s="337">
        <f>2026</f>
        <v>2026</v>
      </c>
      <c r="B404" s="338" t="s">
        <v>71</v>
      </c>
      <c r="C404" s="339">
        <f t="shared" ref="C404" si="70">+C403*(1+D404/100)</f>
        <v>450228.95454721974</v>
      </c>
      <c r="D404" s="340">
        <v>0.62129999999999996</v>
      </c>
      <c r="E404" s="341">
        <f>100*(C404/$C$402-1)</f>
        <v>1.2981794851000039</v>
      </c>
      <c r="F404" s="342">
        <f t="shared" ref="F404" si="71">100*(C404/C392-1)</f>
        <v>8.2537766084787023</v>
      </c>
      <c r="G404" s="343">
        <f t="shared" si="52"/>
        <v>1.0202613195982722</v>
      </c>
    </row>
    <row r="405" spans="1:7" ht="18" customHeight="1">
      <c r="A405" s="337">
        <f>2026</f>
        <v>2026</v>
      </c>
      <c r="B405" s="338" t="s">
        <v>72</v>
      </c>
      <c r="C405" s="339">
        <f t="shared" ref="C405:C406" si="72">+C404*(1+D405/100)</f>
        <v>453265.2986166862</v>
      </c>
      <c r="D405" s="340">
        <v>0.6744</v>
      </c>
      <c r="E405" s="341">
        <f t="shared" ref="E405:E406" si="73">100*(C405/$C$402-1)</f>
        <v>1.9813344075475081</v>
      </c>
      <c r="F405" s="342">
        <f t="shared" ref="F405:F406" si="74">100*(C405/C393-1)</f>
        <v>8.323392354739422</v>
      </c>
      <c r="G405" s="343">
        <f t="shared" si="52"/>
        <v>1.0134267694650001</v>
      </c>
    </row>
    <row r="406" spans="1:7" ht="18" customHeight="1">
      <c r="A406" s="337">
        <f>2026</f>
        <v>2026</v>
      </c>
      <c r="B406" s="338" t="s">
        <v>73</v>
      </c>
      <c r="C406" s="339">
        <f t="shared" si="72"/>
        <v>456296.28366853605</v>
      </c>
      <c r="D406" s="340">
        <v>0.66869999999999996</v>
      </c>
      <c r="E406" s="341">
        <f t="shared" si="73"/>
        <v>2.6632835907308028</v>
      </c>
      <c r="F406" s="342">
        <f t="shared" si="74"/>
        <v>8.3223163269738443</v>
      </c>
      <c r="G406" s="343">
        <f t="shared" ref="G406:G407" si="75">+$C$407/C406</f>
        <v>1.0066949999999999</v>
      </c>
    </row>
    <row r="407" spans="1:7" ht="18" customHeight="1" thickBot="1">
      <c r="A407" s="351">
        <f>2026</f>
        <v>2026</v>
      </c>
      <c r="B407" s="352" t="s">
        <v>74</v>
      </c>
      <c r="C407" s="353">
        <f t="shared" ref="C407" si="76">+C406*(1+D407/100)</f>
        <v>459351.18728769687</v>
      </c>
      <c r="D407" s="354">
        <v>0.66949999999999998</v>
      </c>
      <c r="E407" s="355">
        <f t="shared" ref="E407" si="77">100*(C407/$C$402-1)</f>
        <v>3.3506142743707334</v>
      </c>
      <c r="F407" s="356">
        <f t="shared" ref="F407" si="78">100*(C407/C395-1)</f>
        <v>8.3195187492691058</v>
      </c>
      <c r="G407" s="357">
        <f t="shared" si="75"/>
        <v>1</v>
      </c>
    </row>
    <row r="408" spans="1:7" ht="18" customHeight="1">
      <c r="A408" s="138" t="s">
        <v>157</v>
      </c>
      <c r="B408" s="358"/>
      <c r="C408" s="359"/>
      <c r="D408" s="360"/>
      <c r="E408" s="361"/>
      <c r="F408" s="362"/>
      <c r="G408" s="363"/>
    </row>
    <row r="409" spans="1:7" ht="18" customHeight="1">
      <c r="A409" s="639" t="s">
        <v>158</v>
      </c>
      <c r="B409" s="364"/>
      <c r="C409" s="365"/>
      <c r="D409" s="366"/>
      <c r="E409" s="367"/>
      <c r="F409" s="368"/>
      <c r="G409" s="369"/>
    </row>
    <row r="410" spans="1:7" ht="18" customHeight="1">
      <c r="A410" s="370" t="s">
        <v>88</v>
      </c>
    </row>
    <row r="411" spans="1:7" ht="18" customHeight="1">
      <c r="A411" s="370" t="s">
        <v>89</v>
      </c>
    </row>
    <row r="412" spans="1:7" ht="18" customHeight="1">
      <c r="A412" s="138" t="s">
        <v>90</v>
      </c>
    </row>
    <row r="413" spans="1:7" ht="18" customHeight="1">
      <c r="A413" s="219">
        <v>196</v>
      </c>
      <c r="B413" s="219" t="s">
        <v>159</v>
      </c>
    </row>
  </sheetData>
  <mergeCells count="6">
    <mergeCell ref="A1:G3"/>
    <mergeCell ref="A4:C4"/>
    <mergeCell ref="D4:G4"/>
    <mergeCell ref="A5:C5"/>
    <mergeCell ref="D5:F5"/>
    <mergeCell ref="G5:G6"/>
  </mergeCells>
  <phoneticPr fontId="77" type="noConversion"/>
  <hyperlinks>
    <hyperlink ref="A409" r:id="rId1" xr:uid="{8149ADA8-8A0B-4069-9F0E-540EA59E55C5}"/>
  </hyperlink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FA856-15EE-47C3-96F6-65AFCD41480C}">
  <sheetPr>
    <tabColor theme="5" tint="0.39997558519241921"/>
  </sheetPr>
  <dimension ref="A1:E212"/>
  <sheetViews>
    <sheetView showGridLines="0" workbookViewId="0">
      <pane ySplit="2865" topLeftCell="A198" activePane="bottomLeft"/>
      <selection pane="bottomLeft" activeCell="I207" sqref="I207"/>
      <selection activeCell="F75" sqref="F75"/>
    </sheetView>
  </sheetViews>
  <sheetFormatPr defaultColWidth="14" defaultRowHeight="12.75"/>
  <cols>
    <col min="1" max="1" width="5.5703125" style="219" bestFit="1" customWidth="1"/>
    <col min="2" max="2" width="5.7109375" style="431" customWidth="1"/>
    <col min="3" max="3" width="12.5703125" style="219" customWidth="1"/>
    <col min="4" max="4" width="25.85546875" style="219" customWidth="1"/>
    <col min="5" max="5" width="22.28515625" style="219" customWidth="1"/>
    <col min="6" max="16384" width="14" style="219"/>
  </cols>
  <sheetData>
    <row r="1" spans="1:5" s="55" customFormat="1" ht="21" customHeight="1">
      <c r="A1" s="706" t="s">
        <v>160</v>
      </c>
      <c r="B1" s="706"/>
      <c r="C1" s="706"/>
      <c r="D1" s="706"/>
      <c r="E1" s="706"/>
    </row>
    <row r="2" spans="1:5" s="55" customFormat="1" ht="15.75" customHeight="1">
      <c r="A2" s="706"/>
      <c r="B2" s="706"/>
      <c r="C2" s="706"/>
      <c r="D2" s="706"/>
      <c r="E2" s="706"/>
    </row>
    <row r="3" spans="1:5" s="55" customFormat="1" ht="12.75" customHeight="1" thickBot="1">
      <c r="A3" s="707"/>
      <c r="B3" s="707"/>
      <c r="C3" s="707"/>
      <c r="D3" s="707"/>
      <c r="E3" s="707"/>
    </row>
    <row r="4" spans="1:5" s="55" customFormat="1" ht="15" customHeight="1" thickBot="1">
      <c r="A4" s="771" t="s">
        <v>161</v>
      </c>
      <c r="B4" s="772"/>
      <c r="C4" s="772"/>
      <c r="D4" s="772"/>
      <c r="E4" s="773"/>
    </row>
    <row r="5" spans="1:5" s="55" customFormat="1" ht="15.75" customHeight="1" thickBot="1">
      <c r="A5" s="774" t="s">
        <v>162</v>
      </c>
      <c r="B5" s="775"/>
      <c r="C5" s="775"/>
      <c r="D5" s="775"/>
      <c r="E5" s="776" t="s">
        <v>163</v>
      </c>
    </row>
    <row r="6" spans="1:5" ht="13.5" customHeight="1" thickBot="1">
      <c r="A6" s="778" t="s">
        <v>164</v>
      </c>
      <c r="B6" s="779"/>
      <c r="C6" s="371" t="s">
        <v>165</v>
      </c>
      <c r="D6" s="372" t="s">
        <v>166</v>
      </c>
      <c r="E6" s="777"/>
    </row>
    <row r="7" spans="1:5" ht="17.45" hidden="1" customHeight="1">
      <c r="A7" s="780">
        <v>2003</v>
      </c>
      <c r="B7" s="373" t="s">
        <v>167</v>
      </c>
      <c r="C7" s="374">
        <v>37643</v>
      </c>
      <c r="D7" s="375" t="s">
        <v>168</v>
      </c>
      <c r="E7" s="376">
        <v>25.5</v>
      </c>
    </row>
    <row r="8" spans="1:5" ht="17.45" hidden="1" customHeight="1">
      <c r="A8" s="759"/>
      <c r="B8" s="377" t="s">
        <v>169</v>
      </c>
      <c r="C8" s="378">
        <v>37671</v>
      </c>
      <c r="D8" s="379" t="s">
        <v>170</v>
      </c>
      <c r="E8" s="380">
        <v>26.5</v>
      </c>
    </row>
    <row r="9" spans="1:5" ht="17.45" hidden="1" customHeight="1">
      <c r="A9" s="759"/>
      <c r="B9" s="377" t="s">
        <v>171</v>
      </c>
      <c r="C9" s="378">
        <v>37699</v>
      </c>
      <c r="D9" s="379" t="s">
        <v>172</v>
      </c>
      <c r="E9" s="380">
        <v>26.5</v>
      </c>
    </row>
    <row r="10" spans="1:5" ht="17.45" hidden="1" customHeight="1">
      <c r="A10" s="759"/>
      <c r="B10" s="377" t="s">
        <v>173</v>
      </c>
      <c r="C10" s="378">
        <v>37734</v>
      </c>
      <c r="D10" s="379" t="s">
        <v>174</v>
      </c>
      <c r="E10" s="380">
        <v>26.5</v>
      </c>
    </row>
    <row r="11" spans="1:5" ht="17.45" hidden="1" customHeight="1">
      <c r="A11" s="759"/>
      <c r="B11" s="377" t="s">
        <v>175</v>
      </c>
      <c r="C11" s="378">
        <v>37762</v>
      </c>
      <c r="D11" s="379" t="s">
        <v>176</v>
      </c>
      <c r="E11" s="380">
        <v>26.5</v>
      </c>
    </row>
    <row r="12" spans="1:5" ht="17.45" hidden="1" customHeight="1">
      <c r="A12" s="759"/>
      <c r="B12" s="377" t="s">
        <v>177</v>
      </c>
      <c r="C12" s="378">
        <v>37790</v>
      </c>
      <c r="D12" s="379" t="s">
        <v>178</v>
      </c>
      <c r="E12" s="380">
        <v>26</v>
      </c>
    </row>
    <row r="13" spans="1:5" ht="17.45" hidden="1" customHeight="1">
      <c r="A13" s="759"/>
      <c r="B13" s="377" t="s">
        <v>179</v>
      </c>
      <c r="C13" s="378">
        <v>37825</v>
      </c>
      <c r="D13" s="379" t="s">
        <v>180</v>
      </c>
      <c r="E13" s="380">
        <v>24.5</v>
      </c>
    </row>
    <row r="14" spans="1:5" ht="17.45" hidden="1" customHeight="1">
      <c r="A14" s="759"/>
      <c r="B14" s="377" t="s">
        <v>181</v>
      </c>
      <c r="C14" s="378">
        <v>37853</v>
      </c>
      <c r="D14" s="379" t="s">
        <v>182</v>
      </c>
      <c r="E14" s="380">
        <v>22</v>
      </c>
    </row>
    <row r="15" spans="1:5" ht="17.45" hidden="1" customHeight="1">
      <c r="A15" s="759"/>
      <c r="B15" s="377" t="s">
        <v>183</v>
      </c>
      <c r="C15" s="378">
        <v>37881</v>
      </c>
      <c r="D15" s="379" t="s">
        <v>184</v>
      </c>
      <c r="E15" s="380">
        <v>20</v>
      </c>
    </row>
    <row r="16" spans="1:5" ht="17.45" hidden="1" customHeight="1">
      <c r="A16" s="759"/>
      <c r="B16" s="377" t="s">
        <v>185</v>
      </c>
      <c r="C16" s="378">
        <v>37916</v>
      </c>
      <c r="D16" s="379" t="s">
        <v>186</v>
      </c>
      <c r="E16" s="380">
        <v>19</v>
      </c>
    </row>
    <row r="17" spans="1:5" ht="17.45" hidden="1" customHeight="1">
      <c r="A17" s="759"/>
      <c r="B17" s="377" t="s">
        <v>187</v>
      </c>
      <c r="C17" s="378">
        <v>37944</v>
      </c>
      <c r="D17" s="379" t="s">
        <v>188</v>
      </c>
      <c r="E17" s="380">
        <v>17.5</v>
      </c>
    </row>
    <row r="18" spans="1:5" ht="17.45" hidden="1" customHeight="1">
      <c r="A18" s="760"/>
      <c r="B18" s="381" t="s">
        <v>189</v>
      </c>
      <c r="C18" s="382">
        <v>37972</v>
      </c>
      <c r="D18" s="383" t="s">
        <v>190</v>
      </c>
      <c r="E18" s="384">
        <v>16.5</v>
      </c>
    </row>
    <row r="19" spans="1:5" ht="17.45" hidden="1" customHeight="1">
      <c r="A19" s="755">
        <v>2004</v>
      </c>
      <c r="B19" s="385" t="s">
        <v>191</v>
      </c>
      <c r="C19" s="386">
        <v>38007</v>
      </c>
      <c r="D19" s="387" t="s">
        <v>192</v>
      </c>
      <c r="E19" s="388">
        <v>16.5</v>
      </c>
    </row>
    <row r="20" spans="1:5" ht="17.45" hidden="1" customHeight="1">
      <c r="A20" s="781"/>
      <c r="B20" s="377" t="s">
        <v>193</v>
      </c>
      <c r="C20" s="378">
        <v>38035</v>
      </c>
      <c r="D20" s="379" t="s">
        <v>194</v>
      </c>
      <c r="E20" s="380">
        <v>16.5</v>
      </c>
    </row>
    <row r="21" spans="1:5" ht="17.45" hidden="1" customHeight="1">
      <c r="A21" s="781"/>
      <c r="B21" s="377" t="s">
        <v>195</v>
      </c>
      <c r="C21" s="378">
        <v>38063</v>
      </c>
      <c r="D21" s="379" t="s">
        <v>196</v>
      </c>
      <c r="E21" s="380">
        <v>16.25</v>
      </c>
    </row>
    <row r="22" spans="1:5" ht="17.45" hidden="1" customHeight="1">
      <c r="A22" s="781"/>
      <c r="B22" s="377" t="s">
        <v>197</v>
      </c>
      <c r="C22" s="378">
        <v>38091</v>
      </c>
      <c r="D22" s="379" t="s">
        <v>198</v>
      </c>
      <c r="E22" s="380">
        <v>16</v>
      </c>
    </row>
    <row r="23" spans="1:5" ht="17.45" hidden="1" customHeight="1">
      <c r="A23" s="781"/>
      <c r="B23" s="377" t="s">
        <v>199</v>
      </c>
      <c r="C23" s="378">
        <v>38126</v>
      </c>
      <c r="D23" s="379" t="s">
        <v>200</v>
      </c>
      <c r="E23" s="380">
        <v>16</v>
      </c>
    </row>
    <row r="24" spans="1:5" ht="17.45" hidden="1" customHeight="1">
      <c r="A24" s="781"/>
      <c r="B24" s="377" t="s">
        <v>201</v>
      </c>
      <c r="C24" s="378">
        <v>38154</v>
      </c>
      <c r="D24" s="379" t="s">
        <v>202</v>
      </c>
      <c r="E24" s="380">
        <v>16</v>
      </c>
    </row>
    <row r="25" spans="1:5" ht="17.45" hidden="1" customHeight="1">
      <c r="A25" s="781"/>
      <c r="B25" s="377" t="s">
        <v>203</v>
      </c>
      <c r="C25" s="378">
        <v>38189</v>
      </c>
      <c r="D25" s="379" t="s">
        <v>204</v>
      </c>
      <c r="E25" s="380">
        <v>16</v>
      </c>
    </row>
    <row r="26" spans="1:5" ht="17.45" hidden="1" customHeight="1">
      <c r="A26" s="781"/>
      <c r="B26" s="377" t="s">
        <v>205</v>
      </c>
      <c r="C26" s="378">
        <v>38217</v>
      </c>
      <c r="D26" s="379" t="s">
        <v>206</v>
      </c>
      <c r="E26" s="380">
        <v>16</v>
      </c>
    </row>
    <row r="27" spans="1:5" ht="17.45" hidden="1" customHeight="1">
      <c r="A27" s="781"/>
      <c r="B27" s="377" t="s">
        <v>207</v>
      </c>
      <c r="C27" s="378">
        <v>38245</v>
      </c>
      <c r="D27" s="379" t="s">
        <v>208</v>
      </c>
      <c r="E27" s="380">
        <v>16.25</v>
      </c>
    </row>
    <row r="28" spans="1:5" ht="17.45" hidden="1" customHeight="1">
      <c r="A28" s="781"/>
      <c r="B28" s="377" t="s">
        <v>209</v>
      </c>
      <c r="C28" s="378">
        <v>38280</v>
      </c>
      <c r="D28" s="379" t="s">
        <v>210</v>
      </c>
      <c r="E28" s="380">
        <v>16.75</v>
      </c>
    </row>
    <row r="29" spans="1:5" ht="17.45" hidden="1" customHeight="1">
      <c r="A29" s="781"/>
      <c r="B29" s="377" t="s">
        <v>211</v>
      </c>
      <c r="C29" s="378">
        <v>38308</v>
      </c>
      <c r="D29" s="379" t="s">
        <v>212</v>
      </c>
      <c r="E29" s="380">
        <v>17.25</v>
      </c>
    </row>
    <row r="30" spans="1:5" ht="17.45" hidden="1" customHeight="1">
      <c r="A30" s="782"/>
      <c r="B30" s="381" t="s">
        <v>213</v>
      </c>
      <c r="C30" s="382">
        <v>38336</v>
      </c>
      <c r="D30" s="383" t="s">
        <v>214</v>
      </c>
      <c r="E30" s="384">
        <v>17.75</v>
      </c>
    </row>
    <row r="31" spans="1:5" ht="17.45" hidden="1" customHeight="1">
      <c r="A31" s="758">
        <v>2005</v>
      </c>
      <c r="B31" s="385" t="s">
        <v>215</v>
      </c>
      <c r="C31" s="386">
        <v>38371</v>
      </c>
      <c r="D31" s="387" t="s">
        <v>216</v>
      </c>
      <c r="E31" s="388">
        <v>18.25</v>
      </c>
    </row>
    <row r="32" spans="1:5" ht="17.45" hidden="1" customHeight="1">
      <c r="A32" s="783"/>
      <c r="B32" s="377" t="s">
        <v>217</v>
      </c>
      <c r="C32" s="378">
        <v>38399</v>
      </c>
      <c r="D32" s="379" t="s">
        <v>218</v>
      </c>
      <c r="E32" s="380">
        <v>18.75</v>
      </c>
    </row>
    <row r="33" spans="1:5" ht="17.45" hidden="1" customHeight="1">
      <c r="A33" s="783"/>
      <c r="B33" s="377" t="s">
        <v>219</v>
      </c>
      <c r="C33" s="378">
        <v>38427</v>
      </c>
      <c r="D33" s="379" t="s">
        <v>220</v>
      </c>
      <c r="E33" s="380">
        <v>19.25</v>
      </c>
    </row>
    <row r="34" spans="1:5" ht="17.45" hidden="1" customHeight="1">
      <c r="A34" s="783"/>
      <c r="B34" s="377" t="s">
        <v>221</v>
      </c>
      <c r="C34" s="378">
        <v>38462</v>
      </c>
      <c r="D34" s="379" t="s">
        <v>222</v>
      </c>
      <c r="E34" s="380">
        <v>19.5</v>
      </c>
    </row>
    <row r="35" spans="1:5" ht="17.45" hidden="1" customHeight="1">
      <c r="A35" s="783"/>
      <c r="B35" s="377" t="s">
        <v>223</v>
      </c>
      <c r="C35" s="378">
        <v>38490</v>
      </c>
      <c r="D35" s="379" t="s">
        <v>224</v>
      </c>
      <c r="E35" s="380">
        <v>19.75</v>
      </c>
    </row>
    <row r="36" spans="1:5" ht="17.45" hidden="1" customHeight="1">
      <c r="A36" s="783"/>
      <c r="B36" s="377" t="s">
        <v>225</v>
      </c>
      <c r="C36" s="378">
        <v>38518</v>
      </c>
      <c r="D36" s="379" t="s">
        <v>226</v>
      </c>
      <c r="E36" s="380">
        <v>19.75</v>
      </c>
    </row>
    <row r="37" spans="1:5" ht="17.45" hidden="1" customHeight="1">
      <c r="A37" s="783"/>
      <c r="B37" s="377" t="s">
        <v>227</v>
      </c>
      <c r="C37" s="378">
        <v>38553</v>
      </c>
      <c r="D37" s="379" t="s">
        <v>228</v>
      </c>
      <c r="E37" s="380">
        <v>19.75</v>
      </c>
    </row>
    <row r="38" spans="1:5" ht="17.45" hidden="1" customHeight="1">
      <c r="A38" s="783"/>
      <c r="B38" s="377" t="s">
        <v>229</v>
      </c>
      <c r="C38" s="378">
        <v>38581</v>
      </c>
      <c r="D38" s="379" t="s">
        <v>230</v>
      </c>
      <c r="E38" s="380">
        <v>19.75</v>
      </c>
    </row>
    <row r="39" spans="1:5" ht="17.45" hidden="1" customHeight="1">
      <c r="A39" s="783"/>
      <c r="B39" s="377" t="s">
        <v>231</v>
      </c>
      <c r="C39" s="378">
        <v>38609</v>
      </c>
      <c r="D39" s="379" t="s">
        <v>232</v>
      </c>
      <c r="E39" s="380">
        <v>19.5</v>
      </c>
    </row>
    <row r="40" spans="1:5" ht="17.45" hidden="1" customHeight="1">
      <c r="A40" s="783"/>
      <c r="B40" s="377" t="s">
        <v>233</v>
      </c>
      <c r="C40" s="378">
        <v>38644</v>
      </c>
      <c r="D40" s="379" t="s">
        <v>234</v>
      </c>
      <c r="E40" s="380">
        <v>19</v>
      </c>
    </row>
    <row r="41" spans="1:5" ht="17.45" hidden="1" customHeight="1">
      <c r="A41" s="783"/>
      <c r="B41" s="377" t="s">
        <v>235</v>
      </c>
      <c r="C41" s="378">
        <v>38679</v>
      </c>
      <c r="D41" s="379" t="s">
        <v>236</v>
      </c>
      <c r="E41" s="380">
        <v>18.5</v>
      </c>
    </row>
    <row r="42" spans="1:5" ht="17.45" hidden="1" customHeight="1">
      <c r="A42" s="784"/>
      <c r="B42" s="381" t="s">
        <v>237</v>
      </c>
      <c r="C42" s="382">
        <v>38700</v>
      </c>
      <c r="D42" s="383" t="s">
        <v>238</v>
      </c>
      <c r="E42" s="384">
        <v>18</v>
      </c>
    </row>
    <row r="43" spans="1:5" ht="17.45" hidden="1" customHeight="1">
      <c r="A43" s="755">
        <v>2006</v>
      </c>
      <c r="B43" s="385" t="s">
        <v>239</v>
      </c>
      <c r="C43" s="386">
        <v>38735</v>
      </c>
      <c r="D43" s="387" t="s">
        <v>240</v>
      </c>
      <c r="E43" s="388">
        <v>17.25</v>
      </c>
    </row>
    <row r="44" spans="1:5" ht="17.45" hidden="1" customHeight="1">
      <c r="A44" s="756"/>
      <c r="B44" s="377" t="s">
        <v>241</v>
      </c>
      <c r="C44" s="378">
        <v>38784</v>
      </c>
      <c r="D44" s="379" t="s">
        <v>242</v>
      </c>
      <c r="E44" s="380">
        <v>16.5</v>
      </c>
    </row>
    <row r="45" spans="1:5" ht="17.45" hidden="1" customHeight="1">
      <c r="A45" s="756"/>
      <c r="B45" s="377" t="s">
        <v>243</v>
      </c>
      <c r="C45" s="378">
        <v>38826</v>
      </c>
      <c r="D45" s="379" t="s">
        <v>244</v>
      </c>
      <c r="E45" s="380">
        <v>15.75</v>
      </c>
    </row>
    <row r="46" spans="1:5" ht="17.45" hidden="1" customHeight="1">
      <c r="A46" s="756"/>
      <c r="B46" s="377" t="s">
        <v>245</v>
      </c>
      <c r="C46" s="378">
        <v>38868</v>
      </c>
      <c r="D46" s="379" t="s">
        <v>246</v>
      </c>
      <c r="E46" s="380">
        <v>15.25</v>
      </c>
    </row>
    <row r="47" spans="1:5" ht="17.45" hidden="1" customHeight="1">
      <c r="A47" s="756"/>
      <c r="B47" s="377" t="s">
        <v>247</v>
      </c>
      <c r="C47" s="378">
        <v>38917</v>
      </c>
      <c r="D47" s="379" t="s">
        <v>248</v>
      </c>
      <c r="E47" s="380">
        <v>14.75</v>
      </c>
    </row>
    <row r="48" spans="1:5" ht="17.45" hidden="1" customHeight="1">
      <c r="A48" s="756"/>
      <c r="B48" s="377" t="s">
        <v>249</v>
      </c>
      <c r="C48" s="378">
        <v>38959</v>
      </c>
      <c r="D48" s="379" t="s">
        <v>250</v>
      </c>
      <c r="E48" s="380">
        <v>14.25</v>
      </c>
    </row>
    <row r="49" spans="1:5" ht="17.45" hidden="1" customHeight="1">
      <c r="A49" s="756"/>
      <c r="B49" s="377" t="s">
        <v>251</v>
      </c>
      <c r="C49" s="378">
        <v>39008</v>
      </c>
      <c r="D49" s="379" t="s">
        <v>252</v>
      </c>
      <c r="E49" s="380">
        <v>13.75</v>
      </c>
    </row>
    <row r="50" spans="1:5" ht="17.45" hidden="1" customHeight="1">
      <c r="A50" s="757"/>
      <c r="B50" s="381" t="s">
        <v>253</v>
      </c>
      <c r="C50" s="382">
        <v>39050</v>
      </c>
      <c r="D50" s="383" t="s">
        <v>254</v>
      </c>
      <c r="E50" s="384">
        <v>13.25</v>
      </c>
    </row>
    <row r="51" spans="1:5" ht="17.45" hidden="1" customHeight="1">
      <c r="A51" s="758">
        <v>2007</v>
      </c>
      <c r="B51" s="385" t="s">
        <v>255</v>
      </c>
      <c r="C51" s="386">
        <v>39106</v>
      </c>
      <c r="D51" s="387" t="s">
        <v>256</v>
      </c>
      <c r="E51" s="388">
        <v>13</v>
      </c>
    </row>
    <row r="52" spans="1:5" ht="17.45" hidden="1" customHeight="1">
      <c r="A52" s="759"/>
      <c r="B52" s="377" t="s">
        <v>257</v>
      </c>
      <c r="C52" s="378">
        <v>39148</v>
      </c>
      <c r="D52" s="379" t="s">
        <v>258</v>
      </c>
      <c r="E52" s="380">
        <v>12.75</v>
      </c>
    </row>
    <row r="53" spans="1:5" ht="17.45" hidden="1" customHeight="1">
      <c r="A53" s="759"/>
      <c r="B53" s="377" t="s">
        <v>259</v>
      </c>
      <c r="C53" s="378">
        <v>39190</v>
      </c>
      <c r="D53" s="379" t="s">
        <v>260</v>
      </c>
      <c r="E53" s="380">
        <v>12.5</v>
      </c>
    </row>
    <row r="54" spans="1:5" ht="17.45" hidden="1" customHeight="1">
      <c r="A54" s="759"/>
      <c r="B54" s="377" t="s">
        <v>261</v>
      </c>
      <c r="C54" s="378">
        <v>39239</v>
      </c>
      <c r="D54" s="379" t="s">
        <v>262</v>
      </c>
      <c r="E54" s="380">
        <v>12</v>
      </c>
    </row>
    <row r="55" spans="1:5" ht="17.45" hidden="1" customHeight="1">
      <c r="A55" s="759"/>
      <c r="B55" s="377" t="s">
        <v>263</v>
      </c>
      <c r="C55" s="378">
        <v>39281</v>
      </c>
      <c r="D55" s="379" t="s">
        <v>264</v>
      </c>
      <c r="E55" s="380">
        <v>11.5</v>
      </c>
    </row>
    <row r="56" spans="1:5" ht="17.45" hidden="1" customHeight="1">
      <c r="A56" s="759"/>
      <c r="B56" s="377" t="s">
        <v>265</v>
      </c>
      <c r="C56" s="378">
        <v>39330</v>
      </c>
      <c r="D56" s="379" t="s">
        <v>266</v>
      </c>
      <c r="E56" s="380">
        <v>11.25</v>
      </c>
    </row>
    <row r="57" spans="1:5" ht="17.45" hidden="1" customHeight="1">
      <c r="A57" s="759"/>
      <c r="B57" s="377" t="s">
        <v>267</v>
      </c>
      <c r="C57" s="378">
        <v>39372</v>
      </c>
      <c r="D57" s="379" t="s">
        <v>268</v>
      </c>
      <c r="E57" s="380">
        <v>11.25</v>
      </c>
    </row>
    <row r="58" spans="1:5" ht="17.45" hidden="1" customHeight="1">
      <c r="A58" s="760"/>
      <c r="B58" s="381" t="s">
        <v>269</v>
      </c>
      <c r="C58" s="382">
        <v>39421</v>
      </c>
      <c r="D58" s="383" t="s">
        <v>270</v>
      </c>
      <c r="E58" s="384">
        <v>11.25</v>
      </c>
    </row>
    <row r="59" spans="1:5" ht="17.45" hidden="1" customHeight="1">
      <c r="A59" s="755">
        <v>2008</v>
      </c>
      <c r="B59" s="385" t="s">
        <v>271</v>
      </c>
      <c r="C59" s="386">
        <v>39470</v>
      </c>
      <c r="D59" s="387" t="s">
        <v>272</v>
      </c>
      <c r="E59" s="388">
        <v>11.25</v>
      </c>
    </row>
    <row r="60" spans="1:5" ht="17.45" hidden="1" customHeight="1">
      <c r="A60" s="756"/>
      <c r="B60" s="377" t="s">
        <v>273</v>
      </c>
      <c r="C60" s="378">
        <v>39512</v>
      </c>
      <c r="D60" s="379" t="s">
        <v>274</v>
      </c>
      <c r="E60" s="380">
        <v>11.25</v>
      </c>
    </row>
    <row r="61" spans="1:5" ht="17.45" hidden="1" customHeight="1">
      <c r="A61" s="756"/>
      <c r="B61" s="377" t="s">
        <v>275</v>
      </c>
      <c r="C61" s="378">
        <v>39554</v>
      </c>
      <c r="D61" s="379" t="s">
        <v>276</v>
      </c>
      <c r="E61" s="380">
        <v>11.75</v>
      </c>
    </row>
    <row r="62" spans="1:5" ht="17.45" hidden="1" customHeight="1">
      <c r="A62" s="756"/>
      <c r="B62" s="377" t="s">
        <v>277</v>
      </c>
      <c r="C62" s="378">
        <v>39603</v>
      </c>
      <c r="D62" s="379" t="s">
        <v>278</v>
      </c>
      <c r="E62" s="380">
        <v>12.25</v>
      </c>
    </row>
    <row r="63" spans="1:5" ht="17.45" hidden="1" customHeight="1">
      <c r="A63" s="756"/>
      <c r="B63" s="377" t="s">
        <v>279</v>
      </c>
      <c r="C63" s="378">
        <v>39652</v>
      </c>
      <c r="D63" s="379" t="s">
        <v>280</v>
      </c>
      <c r="E63" s="380">
        <v>13</v>
      </c>
    </row>
    <row r="64" spans="1:5" ht="17.45" hidden="1" customHeight="1">
      <c r="A64" s="756"/>
      <c r="B64" s="377" t="s">
        <v>281</v>
      </c>
      <c r="C64" s="378">
        <v>39701</v>
      </c>
      <c r="D64" s="379" t="s">
        <v>282</v>
      </c>
      <c r="E64" s="380">
        <v>13.75</v>
      </c>
    </row>
    <row r="65" spans="1:5" ht="17.45" hidden="1" customHeight="1">
      <c r="A65" s="756"/>
      <c r="B65" s="377" t="s">
        <v>283</v>
      </c>
      <c r="C65" s="378">
        <v>39750</v>
      </c>
      <c r="D65" s="379" t="s">
        <v>284</v>
      </c>
      <c r="E65" s="380">
        <v>13.75</v>
      </c>
    </row>
    <row r="66" spans="1:5" ht="17.45" hidden="1" customHeight="1">
      <c r="A66" s="757"/>
      <c r="B66" s="381" t="s">
        <v>285</v>
      </c>
      <c r="C66" s="382">
        <v>39792</v>
      </c>
      <c r="D66" s="383" t="s">
        <v>286</v>
      </c>
      <c r="E66" s="384">
        <v>13.75</v>
      </c>
    </row>
    <row r="67" spans="1:5" ht="17.45" hidden="1" customHeight="1">
      <c r="A67" s="758">
        <v>2009</v>
      </c>
      <c r="B67" s="385" t="s">
        <v>287</v>
      </c>
      <c r="C67" s="386">
        <v>39834</v>
      </c>
      <c r="D67" s="387" t="s">
        <v>288</v>
      </c>
      <c r="E67" s="388">
        <v>12.75</v>
      </c>
    </row>
    <row r="68" spans="1:5" ht="17.45" hidden="1" customHeight="1">
      <c r="A68" s="759"/>
      <c r="B68" s="377" t="s">
        <v>289</v>
      </c>
      <c r="C68" s="378">
        <v>39883</v>
      </c>
      <c r="D68" s="379" t="s">
        <v>290</v>
      </c>
      <c r="E68" s="380">
        <v>11.25</v>
      </c>
    </row>
    <row r="69" spans="1:5" ht="17.45" hidden="1" customHeight="1">
      <c r="A69" s="759"/>
      <c r="B69" s="377" t="s">
        <v>291</v>
      </c>
      <c r="C69" s="378">
        <v>39932</v>
      </c>
      <c r="D69" s="379" t="s">
        <v>292</v>
      </c>
      <c r="E69" s="380">
        <v>10.25</v>
      </c>
    </row>
    <row r="70" spans="1:5" ht="17.45" hidden="1" customHeight="1">
      <c r="A70" s="759"/>
      <c r="B70" s="377" t="s">
        <v>293</v>
      </c>
      <c r="C70" s="378">
        <v>39974</v>
      </c>
      <c r="D70" s="379" t="s">
        <v>294</v>
      </c>
      <c r="E70" s="380">
        <v>9.25</v>
      </c>
    </row>
    <row r="71" spans="1:5" ht="17.45" hidden="1" customHeight="1">
      <c r="A71" s="759"/>
      <c r="B71" s="377" t="s">
        <v>295</v>
      </c>
      <c r="C71" s="378">
        <v>40016</v>
      </c>
      <c r="D71" s="379" t="s">
        <v>296</v>
      </c>
      <c r="E71" s="380">
        <v>8.75</v>
      </c>
    </row>
    <row r="72" spans="1:5" ht="17.45" hidden="1" customHeight="1">
      <c r="A72" s="759"/>
      <c r="B72" s="377" t="s">
        <v>297</v>
      </c>
      <c r="C72" s="378">
        <v>40058</v>
      </c>
      <c r="D72" s="379" t="s">
        <v>298</v>
      </c>
      <c r="E72" s="380">
        <v>8.75</v>
      </c>
    </row>
    <row r="73" spans="1:5" ht="17.45" hidden="1" customHeight="1">
      <c r="A73" s="759"/>
      <c r="B73" s="377" t="s">
        <v>299</v>
      </c>
      <c r="C73" s="378">
        <v>40107</v>
      </c>
      <c r="D73" s="379" t="s">
        <v>300</v>
      </c>
      <c r="E73" s="380">
        <v>8.75</v>
      </c>
    </row>
    <row r="74" spans="1:5" ht="17.45" hidden="1" customHeight="1">
      <c r="A74" s="760"/>
      <c r="B74" s="381" t="s">
        <v>301</v>
      </c>
      <c r="C74" s="382">
        <v>40156</v>
      </c>
      <c r="D74" s="383" t="s">
        <v>302</v>
      </c>
      <c r="E74" s="384">
        <v>8.75</v>
      </c>
    </row>
    <row r="75" spans="1:5" ht="17.45" customHeight="1" thickBot="1">
      <c r="A75" s="755">
        <v>2010</v>
      </c>
      <c r="B75" s="389" t="s">
        <v>303</v>
      </c>
      <c r="C75" s="390">
        <v>40205</v>
      </c>
      <c r="D75" s="391" t="s">
        <v>304</v>
      </c>
      <c r="E75" s="392">
        <v>8.75</v>
      </c>
    </row>
    <row r="76" spans="1:5" ht="17.45" customHeight="1" thickBot="1">
      <c r="A76" s="756"/>
      <c r="B76" s="393" t="s">
        <v>305</v>
      </c>
      <c r="C76" s="394">
        <v>40254</v>
      </c>
      <c r="D76" s="395" t="s">
        <v>306</v>
      </c>
      <c r="E76" s="396">
        <v>8.75</v>
      </c>
    </row>
    <row r="77" spans="1:5" ht="17.45" customHeight="1" thickBot="1">
      <c r="A77" s="756"/>
      <c r="B77" s="393" t="s">
        <v>307</v>
      </c>
      <c r="C77" s="394">
        <v>40296</v>
      </c>
      <c r="D77" s="395" t="s">
        <v>308</v>
      </c>
      <c r="E77" s="396">
        <v>9.5</v>
      </c>
    </row>
    <row r="78" spans="1:5" ht="17.45" customHeight="1" thickBot="1">
      <c r="A78" s="756"/>
      <c r="B78" s="393" t="s">
        <v>309</v>
      </c>
      <c r="C78" s="394">
        <v>40338</v>
      </c>
      <c r="D78" s="395" t="s">
        <v>310</v>
      </c>
      <c r="E78" s="396">
        <v>10.25</v>
      </c>
    </row>
    <row r="79" spans="1:5" ht="17.45" customHeight="1" thickBot="1">
      <c r="A79" s="756"/>
      <c r="B79" s="393" t="s">
        <v>311</v>
      </c>
      <c r="C79" s="394">
        <v>40380</v>
      </c>
      <c r="D79" s="395" t="s">
        <v>312</v>
      </c>
      <c r="E79" s="396">
        <v>10.75</v>
      </c>
    </row>
    <row r="80" spans="1:5" ht="17.45" customHeight="1" thickBot="1">
      <c r="A80" s="756"/>
      <c r="B80" s="393" t="s">
        <v>313</v>
      </c>
      <c r="C80" s="394">
        <v>40422</v>
      </c>
      <c r="D80" s="395" t="s">
        <v>314</v>
      </c>
      <c r="E80" s="396">
        <v>10.75</v>
      </c>
    </row>
    <row r="81" spans="1:5" ht="17.45" customHeight="1" thickBot="1">
      <c r="A81" s="756"/>
      <c r="B81" s="393" t="s">
        <v>315</v>
      </c>
      <c r="C81" s="394">
        <v>40471</v>
      </c>
      <c r="D81" s="395" t="s">
        <v>316</v>
      </c>
      <c r="E81" s="396">
        <v>10.75</v>
      </c>
    </row>
    <row r="82" spans="1:5" ht="17.45" customHeight="1" thickBot="1">
      <c r="A82" s="757"/>
      <c r="B82" s="397" t="s">
        <v>317</v>
      </c>
      <c r="C82" s="398">
        <v>40520</v>
      </c>
      <c r="D82" s="399" t="s">
        <v>318</v>
      </c>
      <c r="E82" s="400">
        <v>10.75</v>
      </c>
    </row>
    <row r="83" spans="1:5" ht="17.45" customHeight="1" thickBot="1">
      <c r="A83" s="758">
        <v>2011</v>
      </c>
      <c r="B83" s="401" t="s">
        <v>319</v>
      </c>
      <c r="C83" s="402">
        <v>40562</v>
      </c>
      <c r="D83" s="402" t="s">
        <v>320</v>
      </c>
      <c r="E83" s="403">
        <v>11.25</v>
      </c>
    </row>
    <row r="84" spans="1:5" ht="17.45" customHeight="1" thickBot="1">
      <c r="A84" s="759"/>
      <c r="B84" s="393" t="s">
        <v>321</v>
      </c>
      <c r="C84" s="395">
        <v>40604</v>
      </c>
      <c r="D84" s="395" t="s">
        <v>322</v>
      </c>
      <c r="E84" s="396">
        <v>11.75</v>
      </c>
    </row>
    <row r="85" spans="1:5" ht="17.45" customHeight="1" thickBot="1">
      <c r="A85" s="759"/>
      <c r="B85" s="393" t="s">
        <v>323</v>
      </c>
      <c r="C85" s="395">
        <v>40653</v>
      </c>
      <c r="D85" s="395" t="s">
        <v>324</v>
      </c>
      <c r="E85" s="396">
        <v>12</v>
      </c>
    </row>
    <row r="86" spans="1:5" ht="17.45" customHeight="1" thickBot="1">
      <c r="A86" s="759"/>
      <c r="B86" s="393" t="s">
        <v>325</v>
      </c>
      <c r="C86" s="395">
        <v>40702</v>
      </c>
      <c r="D86" s="395" t="s">
        <v>326</v>
      </c>
      <c r="E86" s="396">
        <v>12.25</v>
      </c>
    </row>
    <row r="87" spans="1:5" ht="17.45" customHeight="1" thickBot="1">
      <c r="A87" s="759"/>
      <c r="B87" s="393" t="s">
        <v>327</v>
      </c>
      <c r="C87" s="395">
        <v>40744</v>
      </c>
      <c r="D87" s="395" t="s">
        <v>328</v>
      </c>
      <c r="E87" s="396">
        <v>12.5</v>
      </c>
    </row>
    <row r="88" spans="1:5" ht="17.45" customHeight="1" thickBot="1">
      <c r="A88" s="759"/>
      <c r="B88" s="393" t="s">
        <v>329</v>
      </c>
      <c r="C88" s="395">
        <v>40786</v>
      </c>
      <c r="D88" s="395" t="s">
        <v>330</v>
      </c>
      <c r="E88" s="396">
        <v>12</v>
      </c>
    </row>
    <row r="89" spans="1:5" ht="17.45" customHeight="1" thickBot="1">
      <c r="A89" s="759"/>
      <c r="B89" s="393" t="s">
        <v>331</v>
      </c>
      <c r="C89" s="395">
        <v>40835</v>
      </c>
      <c r="D89" s="395" t="s">
        <v>332</v>
      </c>
      <c r="E89" s="396">
        <v>11.5</v>
      </c>
    </row>
    <row r="90" spans="1:5" ht="17.45" customHeight="1" thickBot="1">
      <c r="A90" s="760"/>
      <c r="B90" s="397" t="s">
        <v>333</v>
      </c>
      <c r="C90" s="399">
        <v>40877</v>
      </c>
      <c r="D90" s="399" t="s">
        <v>334</v>
      </c>
      <c r="E90" s="400">
        <v>11</v>
      </c>
    </row>
    <row r="91" spans="1:5" ht="17.45" customHeight="1" thickBot="1">
      <c r="A91" s="755">
        <v>2012</v>
      </c>
      <c r="B91" s="401" t="s">
        <v>335</v>
      </c>
      <c r="C91" s="402">
        <v>40926</v>
      </c>
      <c r="D91" s="402" t="s">
        <v>336</v>
      </c>
      <c r="E91" s="403">
        <v>10.5</v>
      </c>
    </row>
    <row r="92" spans="1:5" ht="17.45" customHeight="1" thickBot="1">
      <c r="A92" s="756"/>
      <c r="B92" s="393" t="s">
        <v>337</v>
      </c>
      <c r="C92" s="395">
        <v>40975</v>
      </c>
      <c r="D92" s="395" t="s">
        <v>338</v>
      </c>
      <c r="E92" s="396">
        <v>9.75</v>
      </c>
    </row>
    <row r="93" spans="1:5" ht="17.45" customHeight="1" thickBot="1">
      <c r="A93" s="756"/>
      <c r="B93" s="393" t="s">
        <v>339</v>
      </c>
      <c r="C93" s="395">
        <v>41017</v>
      </c>
      <c r="D93" s="395" t="s">
        <v>340</v>
      </c>
      <c r="E93" s="396">
        <v>9</v>
      </c>
    </row>
    <row r="94" spans="1:5" ht="17.45" customHeight="1" thickBot="1">
      <c r="A94" s="756"/>
      <c r="B94" s="393" t="s">
        <v>341</v>
      </c>
      <c r="C94" s="395">
        <v>41059</v>
      </c>
      <c r="D94" s="395" t="s">
        <v>342</v>
      </c>
      <c r="E94" s="396">
        <v>8.5</v>
      </c>
    </row>
    <row r="95" spans="1:5" ht="17.45" customHeight="1" thickBot="1">
      <c r="A95" s="756"/>
      <c r="B95" s="393" t="s">
        <v>343</v>
      </c>
      <c r="C95" s="395">
        <v>41101</v>
      </c>
      <c r="D95" s="395" t="s">
        <v>344</v>
      </c>
      <c r="E95" s="396">
        <v>8</v>
      </c>
    </row>
    <row r="96" spans="1:5" ht="17.45" customHeight="1" thickBot="1">
      <c r="A96" s="756"/>
      <c r="B96" s="393" t="s">
        <v>345</v>
      </c>
      <c r="C96" s="395">
        <v>41150</v>
      </c>
      <c r="D96" s="395" t="s">
        <v>346</v>
      </c>
      <c r="E96" s="396">
        <v>7.5</v>
      </c>
    </row>
    <row r="97" spans="1:5" ht="17.45" customHeight="1" thickBot="1">
      <c r="A97" s="756"/>
      <c r="B97" s="393" t="s">
        <v>347</v>
      </c>
      <c r="C97" s="395">
        <v>41192</v>
      </c>
      <c r="D97" s="395" t="s">
        <v>348</v>
      </c>
      <c r="E97" s="396">
        <v>7.25</v>
      </c>
    </row>
    <row r="98" spans="1:5" ht="17.45" customHeight="1" thickBot="1">
      <c r="A98" s="757"/>
      <c r="B98" s="397" t="s">
        <v>349</v>
      </c>
      <c r="C98" s="399">
        <v>41241</v>
      </c>
      <c r="D98" s="399" t="s">
        <v>350</v>
      </c>
      <c r="E98" s="400">
        <v>7.25</v>
      </c>
    </row>
    <row r="99" spans="1:5" ht="17.45" customHeight="1" thickBot="1">
      <c r="A99" s="758">
        <v>2013</v>
      </c>
      <c r="B99" s="401" t="s">
        <v>351</v>
      </c>
      <c r="C99" s="402">
        <v>41290</v>
      </c>
      <c r="D99" s="402" t="s">
        <v>352</v>
      </c>
      <c r="E99" s="403">
        <v>7.25</v>
      </c>
    </row>
    <row r="100" spans="1:5" ht="17.45" customHeight="1" thickBot="1">
      <c r="A100" s="759"/>
      <c r="B100" s="393" t="s">
        <v>353</v>
      </c>
      <c r="C100" s="395">
        <v>41339</v>
      </c>
      <c r="D100" s="395" t="s">
        <v>354</v>
      </c>
      <c r="E100" s="396">
        <v>7.25</v>
      </c>
    </row>
    <row r="101" spans="1:5" ht="17.45" customHeight="1" thickBot="1">
      <c r="A101" s="759"/>
      <c r="B101" s="393" t="s">
        <v>355</v>
      </c>
      <c r="C101" s="395">
        <v>41381</v>
      </c>
      <c r="D101" s="395" t="s">
        <v>356</v>
      </c>
      <c r="E101" s="396">
        <v>7.5</v>
      </c>
    </row>
    <row r="102" spans="1:5" ht="17.45" customHeight="1" thickBot="1">
      <c r="A102" s="759"/>
      <c r="B102" s="393" t="s">
        <v>357</v>
      </c>
      <c r="C102" s="395">
        <v>41423</v>
      </c>
      <c r="D102" s="395" t="s">
        <v>358</v>
      </c>
      <c r="E102" s="396">
        <v>8</v>
      </c>
    </row>
    <row r="103" spans="1:5" ht="17.45" customHeight="1" thickBot="1">
      <c r="A103" s="759"/>
      <c r="B103" s="393" t="s">
        <v>359</v>
      </c>
      <c r="C103" s="395">
        <v>41465</v>
      </c>
      <c r="D103" s="395" t="s">
        <v>360</v>
      </c>
      <c r="E103" s="396">
        <v>8.5</v>
      </c>
    </row>
    <row r="104" spans="1:5" ht="17.45" customHeight="1" thickBot="1">
      <c r="A104" s="759"/>
      <c r="B104" s="393" t="s">
        <v>361</v>
      </c>
      <c r="C104" s="395">
        <v>41514</v>
      </c>
      <c r="D104" s="395" t="s">
        <v>362</v>
      </c>
      <c r="E104" s="396">
        <v>9</v>
      </c>
    </row>
    <row r="105" spans="1:5" ht="17.45" customHeight="1" thickBot="1">
      <c r="A105" s="759"/>
      <c r="B105" s="393" t="s">
        <v>363</v>
      </c>
      <c r="C105" s="395">
        <v>41556</v>
      </c>
      <c r="D105" s="395" t="s">
        <v>364</v>
      </c>
      <c r="E105" s="396">
        <v>9.5</v>
      </c>
    </row>
    <row r="106" spans="1:5" ht="17.45" customHeight="1" thickBot="1">
      <c r="A106" s="760"/>
      <c r="B106" s="397" t="s">
        <v>365</v>
      </c>
      <c r="C106" s="399">
        <v>41605</v>
      </c>
      <c r="D106" s="399" t="s">
        <v>366</v>
      </c>
      <c r="E106" s="400">
        <v>10</v>
      </c>
    </row>
    <row r="107" spans="1:5" ht="17.45" customHeight="1">
      <c r="A107" s="752">
        <v>2014</v>
      </c>
      <c r="B107" s="404" t="s">
        <v>367</v>
      </c>
      <c r="C107" s="402">
        <v>41654</v>
      </c>
      <c r="D107" s="402" t="s">
        <v>368</v>
      </c>
      <c r="E107" s="403">
        <v>10.5</v>
      </c>
    </row>
    <row r="108" spans="1:5" ht="17.45" customHeight="1">
      <c r="A108" s="753"/>
      <c r="B108" s="405" t="s">
        <v>369</v>
      </c>
      <c r="C108" s="395">
        <v>41696</v>
      </c>
      <c r="D108" s="395" t="s">
        <v>370</v>
      </c>
      <c r="E108" s="396">
        <v>10.75</v>
      </c>
    </row>
    <row r="109" spans="1:5" ht="17.45" customHeight="1">
      <c r="A109" s="753"/>
      <c r="B109" s="405" t="s">
        <v>371</v>
      </c>
      <c r="C109" s="395">
        <v>41731</v>
      </c>
      <c r="D109" s="395" t="s">
        <v>372</v>
      </c>
      <c r="E109" s="396">
        <v>11</v>
      </c>
    </row>
    <row r="110" spans="1:5" ht="17.45" customHeight="1">
      <c r="A110" s="753"/>
      <c r="B110" s="405" t="s">
        <v>373</v>
      </c>
      <c r="C110" s="395">
        <v>41787</v>
      </c>
      <c r="D110" s="395" t="s">
        <v>374</v>
      </c>
      <c r="E110" s="396">
        <v>11</v>
      </c>
    </row>
    <row r="111" spans="1:5" ht="17.45" customHeight="1">
      <c r="A111" s="753"/>
      <c r="B111" s="405" t="s">
        <v>375</v>
      </c>
      <c r="C111" s="395">
        <v>41836</v>
      </c>
      <c r="D111" s="395" t="s">
        <v>376</v>
      </c>
      <c r="E111" s="396">
        <v>11</v>
      </c>
    </row>
    <row r="112" spans="1:5" ht="17.45" customHeight="1">
      <c r="A112" s="753"/>
      <c r="B112" s="406" t="s">
        <v>377</v>
      </c>
      <c r="C112" s="395">
        <v>41885</v>
      </c>
      <c r="D112" s="395" t="s">
        <v>378</v>
      </c>
      <c r="E112" s="396">
        <v>11</v>
      </c>
    </row>
    <row r="113" spans="1:5" ht="17.45" customHeight="1">
      <c r="A113" s="753"/>
      <c r="B113" s="406" t="s">
        <v>379</v>
      </c>
      <c r="C113" s="395">
        <v>41941</v>
      </c>
      <c r="D113" s="407" t="s">
        <v>380</v>
      </c>
      <c r="E113" s="396">
        <v>11.25</v>
      </c>
    </row>
    <row r="114" spans="1:5" ht="17.45" customHeight="1" thickBot="1">
      <c r="A114" s="754"/>
      <c r="B114" s="408" t="s">
        <v>381</v>
      </c>
      <c r="C114" s="399">
        <v>41976</v>
      </c>
      <c r="D114" s="409" t="s">
        <v>382</v>
      </c>
      <c r="E114" s="400">
        <v>11.75</v>
      </c>
    </row>
    <row r="115" spans="1:5" ht="17.25" customHeight="1">
      <c r="A115" s="768">
        <v>2015</v>
      </c>
      <c r="B115" s="410" t="s">
        <v>383</v>
      </c>
      <c r="C115" s="402">
        <v>42025</v>
      </c>
      <c r="D115" s="411" t="s">
        <v>384</v>
      </c>
      <c r="E115" s="403">
        <v>12.25</v>
      </c>
    </row>
    <row r="116" spans="1:5" ht="15">
      <c r="A116" s="769"/>
      <c r="B116" s="406" t="s">
        <v>385</v>
      </c>
      <c r="C116" s="395">
        <v>42067</v>
      </c>
      <c r="D116" s="407" t="s">
        <v>386</v>
      </c>
      <c r="E116" s="396">
        <v>12.75</v>
      </c>
    </row>
    <row r="117" spans="1:5" ht="15">
      <c r="A117" s="769"/>
      <c r="B117" s="406" t="s">
        <v>387</v>
      </c>
      <c r="C117" s="395">
        <v>42123</v>
      </c>
      <c r="D117" s="407" t="s">
        <v>388</v>
      </c>
      <c r="E117" s="396">
        <v>13.25</v>
      </c>
    </row>
    <row r="118" spans="1:5" ht="15">
      <c r="A118" s="769"/>
      <c r="B118" s="406" t="s">
        <v>389</v>
      </c>
      <c r="C118" s="395">
        <v>42158</v>
      </c>
      <c r="D118" s="407" t="s">
        <v>390</v>
      </c>
      <c r="E118" s="396">
        <v>13.75</v>
      </c>
    </row>
    <row r="119" spans="1:5" ht="15">
      <c r="A119" s="769"/>
      <c r="B119" s="406" t="s">
        <v>391</v>
      </c>
      <c r="C119" s="395">
        <v>42214</v>
      </c>
      <c r="D119" s="407" t="s">
        <v>392</v>
      </c>
      <c r="E119" s="396">
        <v>14.25</v>
      </c>
    </row>
    <row r="120" spans="1:5" ht="15">
      <c r="A120" s="769"/>
      <c r="B120" s="406" t="s">
        <v>393</v>
      </c>
      <c r="C120" s="395">
        <v>42249</v>
      </c>
      <c r="D120" s="407" t="s">
        <v>394</v>
      </c>
      <c r="E120" s="396">
        <v>14.25</v>
      </c>
    </row>
    <row r="121" spans="1:5" ht="15">
      <c r="A121" s="769"/>
      <c r="B121" s="406" t="s">
        <v>395</v>
      </c>
      <c r="C121" s="395">
        <v>42298</v>
      </c>
      <c r="D121" s="407" t="s">
        <v>396</v>
      </c>
      <c r="E121" s="396">
        <v>14.25</v>
      </c>
    </row>
    <row r="122" spans="1:5" ht="15.75" customHeight="1" thickBot="1">
      <c r="A122" s="770"/>
      <c r="B122" s="408" t="s">
        <v>397</v>
      </c>
      <c r="C122" s="399">
        <v>42333</v>
      </c>
      <c r="D122" s="409" t="s">
        <v>398</v>
      </c>
      <c r="E122" s="400">
        <v>14.25</v>
      </c>
    </row>
    <row r="123" spans="1:5" ht="15.75" customHeight="1">
      <c r="A123" s="752">
        <v>2016</v>
      </c>
      <c r="B123" s="410" t="s">
        <v>399</v>
      </c>
      <c r="C123" s="402">
        <v>42389</v>
      </c>
      <c r="D123" s="411" t="s">
        <v>400</v>
      </c>
      <c r="E123" s="403">
        <v>14.25</v>
      </c>
    </row>
    <row r="124" spans="1:5" ht="20.25" customHeight="1">
      <c r="A124" s="753"/>
      <c r="B124" s="406" t="s">
        <v>401</v>
      </c>
      <c r="C124" s="395">
        <v>42431</v>
      </c>
      <c r="D124" s="407" t="s">
        <v>402</v>
      </c>
      <c r="E124" s="396">
        <v>14.25</v>
      </c>
    </row>
    <row r="125" spans="1:5" ht="20.25" customHeight="1">
      <c r="A125" s="753"/>
      <c r="B125" s="406" t="s">
        <v>403</v>
      </c>
      <c r="C125" s="395">
        <v>42487</v>
      </c>
      <c r="D125" s="407" t="s">
        <v>404</v>
      </c>
      <c r="E125" s="396">
        <v>14.25</v>
      </c>
    </row>
    <row r="126" spans="1:5" ht="20.25" customHeight="1">
      <c r="A126" s="753"/>
      <c r="B126" s="406" t="s">
        <v>405</v>
      </c>
      <c r="C126" s="395">
        <v>42529</v>
      </c>
      <c r="D126" s="407" t="s">
        <v>406</v>
      </c>
      <c r="E126" s="396">
        <v>14.25</v>
      </c>
    </row>
    <row r="127" spans="1:5" ht="20.25" customHeight="1">
      <c r="A127" s="753"/>
      <c r="B127" s="406" t="s">
        <v>407</v>
      </c>
      <c r="C127" s="395">
        <v>42571</v>
      </c>
      <c r="D127" s="407" t="s">
        <v>408</v>
      </c>
      <c r="E127" s="396">
        <v>14.25</v>
      </c>
    </row>
    <row r="128" spans="1:5" ht="20.25" customHeight="1">
      <c r="A128" s="753"/>
      <c r="B128" s="412" t="s">
        <v>409</v>
      </c>
      <c r="C128" s="413">
        <v>42613</v>
      </c>
      <c r="D128" s="414" t="s">
        <v>410</v>
      </c>
      <c r="E128" s="415">
        <v>14.25</v>
      </c>
    </row>
    <row r="129" spans="1:5" ht="20.25" customHeight="1">
      <c r="A129" s="753"/>
      <c r="B129" s="406" t="s">
        <v>411</v>
      </c>
      <c r="C129" s="395">
        <v>42662</v>
      </c>
      <c r="D129" s="407" t="s">
        <v>412</v>
      </c>
      <c r="E129" s="396">
        <v>14</v>
      </c>
    </row>
    <row r="130" spans="1:5" ht="20.25" customHeight="1" thickBot="1">
      <c r="A130" s="754"/>
      <c r="B130" s="408" t="s">
        <v>413</v>
      </c>
      <c r="C130" s="399">
        <v>42704</v>
      </c>
      <c r="D130" s="409" t="s">
        <v>414</v>
      </c>
      <c r="E130" s="400">
        <v>13.75</v>
      </c>
    </row>
    <row r="131" spans="1:5" ht="20.25" customHeight="1">
      <c r="A131" s="761">
        <v>2017</v>
      </c>
      <c r="B131" s="410" t="s">
        <v>415</v>
      </c>
      <c r="C131" s="402">
        <v>42746</v>
      </c>
      <c r="D131" s="411" t="s">
        <v>416</v>
      </c>
      <c r="E131" s="403">
        <v>13</v>
      </c>
    </row>
    <row r="132" spans="1:5" ht="20.25" customHeight="1">
      <c r="A132" s="762"/>
      <c r="B132" s="406" t="s">
        <v>417</v>
      </c>
      <c r="C132" s="395">
        <v>42788</v>
      </c>
      <c r="D132" s="407" t="s">
        <v>418</v>
      </c>
      <c r="E132" s="396">
        <v>12.25</v>
      </c>
    </row>
    <row r="133" spans="1:5" ht="20.25" customHeight="1">
      <c r="A133" s="762"/>
      <c r="B133" s="406" t="s">
        <v>419</v>
      </c>
      <c r="C133" s="395">
        <v>42837</v>
      </c>
      <c r="D133" s="407" t="s">
        <v>420</v>
      </c>
      <c r="E133" s="396">
        <v>11.25</v>
      </c>
    </row>
    <row r="134" spans="1:5" ht="20.25" customHeight="1">
      <c r="A134" s="762"/>
      <c r="B134" s="406" t="s">
        <v>421</v>
      </c>
      <c r="C134" s="395">
        <v>42886</v>
      </c>
      <c r="D134" s="407" t="s">
        <v>422</v>
      </c>
      <c r="E134" s="396">
        <v>10.25</v>
      </c>
    </row>
    <row r="135" spans="1:5" ht="20.25" customHeight="1">
      <c r="A135" s="762"/>
      <c r="B135" s="416" t="s">
        <v>423</v>
      </c>
      <c r="C135" s="395">
        <v>42942</v>
      </c>
      <c r="D135" s="407" t="s">
        <v>424</v>
      </c>
      <c r="E135" s="396">
        <v>9.25</v>
      </c>
    </row>
    <row r="136" spans="1:5" ht="20.25" customHeight="1">
      <c r="A136" s="762"/>
      <c r="B136" s="406" t="s">
        <v>425</v>
      </c>
      <c r="C136" s="395">
        <v>42984</v>
      </c>
      <c r="D136" s="407" t="s">
        <v>426</v>
      </c>
      <c r="E136" s="396">
        <v>8.25</v>
      </c>
    </row>
    <row r="137" spans="1:5" ht="20.25" customHeight="1">
      <c r="A137" s="762"/>
      <c r="B137" s="406" t="s">
        <v>427</v>
      </c>
      <c r="C137" s="395">
        <v>43033</v>
      </c>
      <c r="D137" s="407" t="s">
        <v>428</v>
      </c>
      <c r="E137" s="396">
        <v>7.5</v>
      </c>
    </row>
    <row r="138" spans="1:5" ht="20.25" customHeight="1" thickBot="1">
      <c r="A138" s="762"/>
      <c r="B138" s="408" t="s">
        <v>429</v>
      </c>
      <c r="C138" s="399">
        <v>43034</v>
      </c>
      <c r="D138" s="409" t="s">
        <v>430</v>
      </c>
      <c r="E138" s="400">
        <v>7</v>
      </c>
    </row>
    <row r="139" spans="1:5" ht="20.25" customHeight="1">
      <c r="A139" s="752">
        <v>2018</v>
      </c>
      <c r="B139" s="410" t="s">
        <v>431</v>
      </c>
      <c r="C139" s="402">
        <v>43138</v>
      </c>
      <c r="D139" s="411" t="s">
        <v>432</v>
      </c>
      <c r="E139" s="403">
        <v>6.75</v>
      </c>
    </row>
    <row r="140" spans="1:5" ht="20.25" customHeight="1">
      <c r="A140" s="753"/>
      <c r="B140" s="406" t="s">
        <v>433</v>
      </c>
      <c r="C140" s="395">
        <v>43180</v>
      </c>
      <c r="D140" s="407" t="s">
        <v>434</v>
      </c>
      <c r="E140" s="396">
        <v>6.5</v>
      </c>
    </row>
    <row r="141" spans="1:5" ht="20.25" customHeight="1">
      <c r="A141" s="753"/>
      <c r="B141" s="406" t="s">
        <v>435</v>
      </c>
      <c r="C141" s="395">
        <v>43236</v>
      </c>
      <c r="D141" s="407" t="s">
        <v>436</v>
      </c>
      <c r="E141" s="396">
        <v>6.5</v>
      </c>
    </row>
    <row r="142" spans="1:5" ht="20.25" customHeight="1">
      <c r="A142" s="753"/>
      <c r="B142" s="406" t="s">
        <v>437</v>
      </c>
      <c r="C142" s="395">
        <v>43271</v>
      </c>
      <c r="D142" s="407" t="s">
        <v>438</v>
      </c>
      <c r="E142" s="396">
        <v>6.5</v>
      </c>
    </row>
    <row r="143" spans="1:5" ht="20.25" customHeight="1">
      <c r="A143" s="753"/>
      <c r="B143" s="406" t="s">
        <v>439</v>
      </c>
      <c r="C143" s="395">
        <v>43313</v>
      </c>
      <c r="D143" s="407" t="s">
        <v>440</v>
      </c>
      <c r="E143" s="396">
        <v>6.5</v>
      </c>
    </row>
    <row r="144" spans="1:5" ht="20.25" customHeight="1">
      <c r="A144" s="753"/>
      <c r="B144" s="406" t="s">
        <v>441</v>
      </c>
      <c r="C144" s="395">
        <v>43362</v>
      </c>
      <c r="D144" s="407" t="s">
        <v>442</v>
      </c>
      <c r="E144" s="396">
        <v>6.5</v>
      </c>
    </row>
    <row r="145" spans="1:5" ht="20.25" customHeight="1">
      <c r="A145" s="753"/>
      <c r="B145" s="406" t="s">
        <v>443</v>
      </c>
      <c r="C145" s="395">
        <v>43404</v>
      </c>
      <c r="D145" s="407" t="s">
        <v>444</v>
      </c>
      <c r="E145" s="396">
        <v>6.5</v>
      </c>
    </row>
    <row r="146" spans="1:5" ht="20.25" customHeight="1" thickBot="1">
      <c r="A146" s="753"/>
      <c r="B146" s="408" t="s">
        <v>445</v>
      </c>
      <c r="C146" s="399">
        <v>43446</v>
      </c>
      <c r="D146" s="409" t="s">
        <v>446</v>
      </c>
      <c r="E146" s="400">
        <v>6.5</v>
      </c>
    </row>
    <row r="147" spans="1:5" ht="20.25" customHeight="1">
      <c r="A147" s="761">
        <v>2019</v>
      </c>
      <c r="B147" s="417" t="s">
        <v>447</v>
      </c>
      <c r="C147" s="402">
        <v>43502</v>
      </c>
      <c r="D147" s="411" t="s">
        <v>448</v>
      </c>
      <c r="E147" s="403">
        <v>6.5</v>
      </c>
    </row>
    <row r="148" spans="1:5" ht="20.25" customHeight="1">
      <c r="A148" s="762"/>
      <c r="B148" s="418" t="s">
        <v>449</v>
      </c>
      <c r="C148" s="395">
        <v>43544</v>
      </c>
      <c r="D148" s="407" t="s">
        <v>450</v>
      </c>
      <c r="E148" s="396">
        <v>6.5</v>
      </c>
    </row>
    <row r="149" spans="1:5" ht="20.25" customHeight="1">
      <c r="A149" s="762"/>
      <c r="B149" s="418" t="s">
        <v>451</v>
      </c>
      <c r="C149" s="395">
        <v>43593</v>
      </c>
      <c r="D149" s="407" t="s">
        <v>452</v>
      </c>
      <c r="E149" s="396">
        <v>6.5</v>
      </c>
    </row>
    <row r="150" spans="1:5" ht="20.25" customHeight="1">
      <c r="A150" s="762"/>
      <c r="B150" s="418" t="s">
        <v>453</v>
      </c>
      <c r="C150" s="395">
        <v>43635</v>
      </c>
      <c r="D150" s="407" t="s">
        <v>454</v>
      </c>
      <c r="E150" s="396">
        <v>6.5</v>
      </c>
    </row>
    <row r="151" spans="1:5" ht="20.25" customHeight="1">
      <c r="A151" s="762"/>
      <c r="B151" s="418" t="s">
        <v>455</v>
      </c>
      <c r="C151" s="395">
        <v>43677</v>
      </c>
      <c r="D151" s="407" t="s">
        <v>456</v>
      </c>
      <c r="E151" s="396">
        <v>6</v>
      </c>
    </row>
    <row r="152" spans="1:5" ht="20.25" customHeight="1">
      <c r="A152" s="762"/>
      <c r="B152" s="418" t="s">
        <v>457</v>
      </c>
      <c r="C152" s="395">
        <v>43726</v>
      </c>
      <c r="D152" s="407" t="s">
        <v>458</v>
      </c>
      <c r="E152" s="396">
        <v>5.5</v>
      </c>
    </row>
    <row r="153" spans="1:5" ht="20.25" customHeight="1">
      <c r="A153" s="762"/>
      <c r="B153" s="418" t="s">
        <v>459</v>
      </c>
      <c r="C153" s="395">
        <v>43768</v>
      </c>
      <c r="D153" s="407" t="s">
        <v>460</v>
      </c>
      <c r="E153" s="396">
        <v>5</v>
      </c>
    </row>
    <row r="154" spans="1:5" ht="20.25" customHeight="1" thickBot="1">
      <c r="A154" s="763"/>
      <c r="B154" s="419" t="s">
        <v>461</v>
      </c>
      <c r="C154" s="399">
        <v>43810</v>
      </c>
      <c r="D154" s="409" t="s">
        <v>462</v>
      </c>
      <c r="E154" s="400">
        <v>4.5</v>
      </c>
    </row>
    <row r="155" spans="1:5" ht="20.25" customHeight="1">
      <c r="A155" s="752">
        <v>2020</v>
      </c>
      <c r="B155" s="420" t="s">
        <v>463</v>
      </c>
      <c r="C155" s="421">
        <v>43866</v>
      </c>
      <c r="D155" s="422" t="s">
        <v>464</v>
      </c>
      <c r="E155" s="423">
        <v>4.25</v>
      </c>
    </row>
    <row r="156" spans="1:5" ht="20.25" customHeight="1">
      <c r="A156" s="753"/>
      <c r="B156" s="424" t="s">
        <v>465</v>
      </c>
      <c r="C156" s="425">
        <v>43908</v>
      </c>
      <c r="D156" s="426" t="s">
        <v>466</v>
      </c>
      <c r="E156" s="427">
        <v>3.75</v>
      </c>
    </row>
    <row r="157" spans="1:5" ht="20.25" customHeight="1">
      <c r="A157" s="753"/>
      <c r="B157" s="424" t="s">
        <v>467</v>
      </c>
      <c r="C157" s="425" t="s">
        <v>468</v>
      </c>
      <c r="D157" s="426" t="s">
        <v>469</v>
      </c>
      <c r="E157" s="427">
        <v>3</v>
      </c>
    </row>
    <row r="158" spans="1:5" ht="20.25" customHeight="1">
      <c r="A158" s="753"/>
      <c r="B158" s="424" t="s">
        <v>470</v>
      </c>
      <c r="C158" s="425" t="s">
        <v>471</v>
      </c>
      <c r="D158" s="426" t="s">
        <v>472</v>
      </c>
      <c r="E158" s="427">
        <v>2.25</v>
      </c>
    </row>
    <row r="159" spans="1:5" ht="20.25" customHeight="1">
      <c r="A159" s="753"/>
      <c r="B159" s="424" t="s">
        <v>473</v>
      </c>
      <c r="C159" s="425" t="s">
        <v>474</v>
      </c>
      <c r="D159" s="426" t="s">
        <v>475</v>
      </c>
      <c r="E159" s="427">
        <v>2</v>
      </c>
    </row>
    <row r="160" spans="1:5" ht="20.25" customHeight="1">
      <c r="A160" s="753"/>
      <c r="B160" s="424" t="s">
        <v>476</v>
      </c>
      <c r="C160" s="425">
        <v>44090</v>
      </c>
      <c r="D160" s="426" t="s">
        <v>477</v>
      </c>
      <c r="E160" s="427">
        <v>2</v>
      </c>
    </row>
    <row r="161" spans="1:5" ht="20.25" customHeight="1">
      <c r="A161" s="753"/>
      <c r="B161" s="418" t="s">
        <v>478</v>
      </c>
      <c r="C161" s="395">
        <v>44132</v>
      </c>
      <c r="D161" s="407" t="s">
        <v>479</v>
      </c>
      <c r="E161" s="396">
        <v>2</v>
      </c>
    </row>
    <row r="162" spans="1:5" ht="20.25" customHeight="1" thickBot="1">
      <c r="A162" s="754"/>
      <c r="B162" s="420" t="s">
        <v>480</v>
      </c>
      <c r="C162" s="421">
        <v>44174</v>
      </c>
      <c r="D162" s="422" t="s">
        <v>481</v>
      </c>
      <c r="E162" s="423">
        <v>2</v>
      </c>
    </row>
    <row r="163" spans="1:5" ht="20.25" customHeight="1">
      <c r="A163" s="764">
        <v>2021</v>
      </c>
      <c r="B163" s="428" t="s">
        <v>482</v>
      </c>
      <c r="C163" s="391">
        <v>44216</v>
      </c>
      <c r="D163" s="429" t="s">
        <v>483</v>
      </c>
      <c r="E163" s="392">
        <v>2</v>
      </c>
    </row>
    <row r="164" spans="1:5" ht="20.25" customHeight="1">
      <c r="A164" s="765"/>
      <c r="B164" s="420" t="s">
        <v>484</v>
      </c>
      <c r="C164" s="421">
        <v>44272</v>
      </c>
      <c r="D164" s="422" t="s">
        <v>485</v>
      </c>
      <c r="E164" s="423">
        <v>2.75</v>
      </c>
    </row>
    <row r="165" spans="1:5" ht="20.25" customHeight="1">
      <c r="A165" s="765"/>
      <c r="B165" s="424" t="s">
        <v>486</v>
      </c>
      <c r="C165" s="425">
        <v>44321</v>
      </c>
      <c r="D165" s="426" t="s">
        <v>487</v>
      </c>
      <c r="E165" s="427">
        <v>3.5</v>
      </c>
    </row>
    <row r="166" spans="1:5" ht="20.25" customHeight="1">
      <c r="A166" s="765"/>
      <c r="B166" s="424" t="s">
        <v>488</v>
      </c>
      <c r="C166" s="425">
        <v>44363</v>
      </c>
      <c r="D166" s="426" t="s">
        <v>489</v>
      </c>
      <c r="E166" s="427">
        <v>4.25</v>
      </c>
    </row>
    <row r="167" spans="1:5" ht="20.25" customHeight="1">
      <c r="A167" s="765"/>
      <c r="B167" s="424" t="s">
        <v>490</v>
      </c>
      <c r="C167" s="425">
        <v>44412</v>
      </c>
      <c r="D167" s="426" t="s">
        <v>491</v>
      </c>
      <c r="E167" s="427">
        <v>5.25</v>
      </c>
    </row>
    <row r="168" spans="1:5" ht="20.25" customHeight="1">
      <c r="A168" s="765"/>
      <c r="B168" s="424" t="s">
        <v>492</v>
      </c>
      <c r="C168" s="425">
        <v>44461</v>
      </c>
      <c r="D168" s="426" t="s">
        <v>493</v>
      </c>
      <c r="E168" s="427">
        <v>6.25</v>
      </c>
    </row>
    <row r="169" spans="1:5" ht="20.25" customHeight="1">
      <c r="A169" s="765"/>
      <c r="B169" s="424" t="s">
        <v>494</v>
      </c>
      <c r="C169" s="425">
        <v>44496</v>
      </c>
      <c r="D169" s="426" t="s">
        <v>495</v>
      </c>
      <c r="E169" s="427">
        <v>7.75</v>
      </c>
    </row>
    <row r="170" spans="1:5" ht="20.25" customHeight="1" thickBot="1">
      <c r="A170" s="765"/>
      <c r="B170" s="419" t="s">
        <v>496</v>
      </c>
      <c r="C170" s="399">
        <v>44538</v>
      </c>
      <c r="D170" s="409" t="s">
        <v>497</v>
      </c>
      <c r="E170" s="400">
        <v>9.25</v>
      </c>
    </row>
    <row r="171" spans="1:5" ht="20.25" customHeight="1">
      <c r="A171" s="752">
        <v>2022</v>
      </c>
      <c r="B171" s="420" t="s">
        <v>498</v>
      </c>
      <c r="C171" s="421">
        <v>44594</v>
      </c>
      <c r="D171" s="422" t="s">
        <v>499</v>
      </c>
      <c r="E171" s="423">
        <v>10.75</v>
      </c>
    </row>
    <row r="172" spans="1:5" ht="20.25" customHeight="1">
      <c r="A172" s="753"/>
      <c r="B172" s="424" t="s">
        <v>500</v>
      </c>
      <c r="C172" s="425">
        <v>44636</v>
      </c>
      <c r="D172" s="426" t="s">
        <v>501</v>
      </c>
      <c r="E172" s="427">
        <v>11.75</v>
      </c>
    </row>
    <row r="173" spans="1:5" ht="20.25" customHeight="1">
      <c r="A173" s="753"/>
      <c r="B173" s="424" t="s">
        <v>502</v>
      </c>
      <c r="C173" s="425">
        <v>44685</v>
      </c>
      <c r="D173" s="426" t="s">
        <v>503</v>
      </c>
      <c r="E173" s="427">
        <v>12.75</v>
      </c>
    </row>
    <row r="174" spans="1:5" ht="20.25" customHeight="1">
      <c r="A174" s="753"/>
      <c r="B174" s="418" t="s">
        <v>504</v>
      </c>
      <c r="C174" s="395">
        <v>44727</v>
      </c>
      <c r="D174" s="407" t="s">
        <v>505</v>
      </c>
      <c r="E174" s="396">
        <v>13.25</v>
      </c>
    </row>
    <row r="175" spans="1:5" ht="20.25" customHeight="1">
      <c r="A175" s="753"/>
      <c r="B175" s="418" t="s">
        <v>506</v>
      </c>
      <c r="C175" s="395">
        <v>44776</v>
      </c>
      <c r="D175" s="407" t="s">
        <v>507</v>
      </c>
      <c r="E175" s="396">
        <v>13.75</v>
      </c>
    </row>
    <row r="176" spans="1:5" ht="20.25" customHeight="1">
      <c r="A176" s="753"/>
      <c r="B176" s="418" t="s">
        <v>508</v>
      </c>
      <c r="C176" s="395">
        <v>44825</v>
      </c>
      <c r="D176" s="407" t="s">
        <v>509</v>
      </c>
      <c r="E176" s="396">
        <v>13.75</v>
      </c>
    </row>
    <row r="177" spans="1:5" ht="20.25" customHeight="1">
      <c r="A177" s="753"/>
      <c r="B177" s="418" t="s">
        <v>510</v>
      </c>
      <c r="C177" s="395">
        <v>44860</v>
      </c>
      <c r="D177" s="407" t="s">
        <v>511</v>
      </c>
      <c r="E177" s="396">
        <v>13.75</v>
      </c>
    </row>
    <row r="178" spans="1:5" ht="20.25" customHeight="1" thickBot="1">
      <c r="A178" s="754"/>
      <c r="B178" s="419" t="s">
        <v>512</v>
      </c>
      <c r="C178" s="399">
        <v>44902</v>
      </c>
      <c r="D178" s="409" t="s">
        <v>513</v>
      </c>
      <c r="E178" s="400">
        <v>13.75</v>
      </c>
    </row>
    <row r="179" spans="1:5" ht="20.25" customHeight="1">
      <c r="A179" s="761">
        <v>2023</v>
      </c>
      <c r="B179" s="417" t="s">
        <v>514</v>
      </c>
      <c r="C179" s="402">
        <v>44958</v>
      </c>
      <c r="D179" s="411" t="s">
        <v>515</v>
      </c>
      <c r="E179" s="403">
        <v>13.75</v>
      </c>
    </row>
    <row r="180" spans="1:5" ht="20.25" customHeight="1">
      <c r="A180" s="762"/>
      <c r="B180" s="424" t="s">
        <v>516</v>
      </c>
      <c r="C180" s="425">
        <v>45007</v>
      </c>
      <c r="D180" s="426" t="s">
        <v>517</v>
      </c>
      <c r="E180" s="427">
        <v>13.75</v>
      </c>
    </row>
    <row r="181" spans="1:5" ht="20.25" customHeight="1">
      <c r="A181" s="762"/>
      <c r="B181" s="424" t="s">
        <v>518</v>
      </c>
      <c r="C181" s="425">
        <v>45049</v>
      </c>
      <c r="D181" s="426" t="s">
        <v>519</v>
      </c>
      <c r="E181" s="427">
        <v>13.75</v>
      </c>
    </row>
    <row r="182" spans="1:5" ht="20.25" customHeight="1">
      <c r="A182" s="762"/>
      <c r="B182" s="424" t="s">
        <v>520</v>
      </c>
      <c r="C182" s="425" t="s">
        <v>521</v>
      </c>
      <c r="D182" s="426" t="s">
        <v>522</v>
      </c>
      <c r="E182" s="427">
        <v>13.75</v>
      </c>
    </row>
    <row r="183" spans="1:5" ht="20.25" customHeight="1">
      <c r="A183" s="762"/>
      <c r="B183" s="424" t="s">
        <v>523</v>
      </c>
      <c r="C183" s="425">
        <v>45140</v>
      </c>
      <c r="D183" s="426" t="s">
        <v>524</v>
      </c>
      <c r="E183" s="427">
        <v>13.25</v>
      </c>
    </row>
    <row r="184" spans="1:5" ht="20.25" customHeight="1">
      <c r="A184" s="762"/>
      <c r="B184" s="424" t="s">
        <v>525</v>
      </c>
      <c r="C184" s="425">
        <v>45189</v>
      </c>
      <c r="D184" s="426" t="s">
        <v>526</v>
      </c>
      <c r="E184" s="427">
        <v>12.75</v>
      </c>
    </row>
    <row r="185" spans="1:5" ht="20.25" customHeight="1" thickBot="1">
      <c r="A185" s="763"/>
      <c r="B185" s="424" t="s">
        <v>527</v>
      </c>
      <c r="C185" s="425">
        <v>45231</v>
      </c>
      <c r="D185" s="426" t="s">
        <v>528</v>
      </c>
      <c r="E185" s="427">
        <v>12.25</v>
      </c>
    </row>
    <row r="186" spans="1:5" ht="20.25" customHeight="1" thickBot="1">
      <c r="A186" s="430"/>
      <c r="B186" s="419" t="s">
        <v>529</v>
      </c>
      <c r="C186" s="399">
        <v>45273</v>
      </c>
      <c r="D186" s="409" t="s">
        <v>530</v>
      </c>
      <c r="E186" s="400">
        <v>11.75</v>
      </c>
    </row>
    <row r="187" spans="1:5" ht="20.25" customHeight="1">
      <c r="A187" s="752">
        <v>2024</v>
      </c>
      <c r="B187" s="420" t="s">
        <v>531</v>
      </c>
      <c r="C187" s="421">
        <v>45322</v>
      </c>
      <c r="D187" s="422" t="s">
        <v>532</v>
      </c>
      <c r="E187" s="423">
        <v>11.25</v>
      </c>
    </row>
    <row r="188" spans="1:5" ht="20.25" customHeight="1">
      <c r="A188" s="753"/>
      <c r="B188" s="424" t="s">
        <v>533</v>
      </c>
      <c r="C188" s="425">
        <v>45371</v>
      </c>
      <c r="D188" s="426" t="s">
        <v>534</v>
      </c>
      <c r="E188" s="427">
        <v>10.75</v>
      </c>
    </row>
    <row r="189" spans="1:5" ht="20.25" customHeight="1">
      <c r="A189" s="753"/>
      <c r="B189" s="424" t="s">
        <v>535</v>
      </c>
      <c r="C189" s="425" t="s">
        <v>536</v>
      </c>
      <c r="D189" s="426" t="s">
        <v>537</v>
      </c>
      <c r="E189" s="427">
        <v>10.5</v>
      </c>
    </row>
    <row r="190" spans="1:5" ht="20.25" customHeight="1">
      <c r="A190" s="753"/>
      <c r="B190" s="424" t="s">
        <v>538</v>
      </c>
      <c r="C190" s="425">
        <v>45462</v>
      </c>
      <c r="D190" s="426" t="s">
        <v>539</v>
      </c>
      <c r="E190" s="427">
        <v>10.5</v>
      </c>
    </row>
    <row r="191" spans="1:5" ht="20.25" customHeight="1">
      <c r="A191" s="753"/>
      <c r="B191" s="424" t="s">
        <v>540</v>
      </c>
      <c r="C191" s="425">
        <v>45504</v>
      </c>
      <c r="D191" s="426" t="s">
        <v>541</v>
      </c>
      <c r="E191" s="427">
        <v>10.5</v>
      </c>
    </row>
    <row r="192" spans="1:5" ht="20.25" customHeight="1">
      <c r="A192" s="753"/>
      <c r="B192" s="424" t="s">
        <v>542</v>
      </c>
      <c r="C192" s="425">
        <v>45553</v>
      </c>
      <c r="D192" s="426" t="s">
        <v>543</v>
      </c>
      <c r="E192" s="427">
        <v>10.75</v>
      </c>
    </row>
    <row r="193" spans="1:5" ht="20.25" customHeight="1">
      <c r="A193" s="753"/>
      <c r="B193" s="424" t="s">
        <v>544</v>
      </c>
      <c r="C193" s="425">
        <v>45602</v>
      </c>
      <c r="D193" s="426" t="s">
        <v>545</v>
      </c>
      <c r="E193" s="427">
        <v>11.25</v>
      </c>
    </row>
    <row r="194" spans="1:5" ht="20.25" customHeight="1" thickBot="1">
      <c r="A194" s="754"/>
      <c r="B194" s="419" t="s">
        <v>546</v>
      </c>
      <c r="C194" s="399">
        <v>45637</v>
      </c>
      <c r="D194" s="409" t="s">
        <v>547</v>
      </c>
      <c r="E194" s="400">
        <v>12.25</v>
      </c>
    </row>
    <row r="195" spans="1:5" ht="20.25" customHeight="1">
      <c r="A195" s="766">
        <v>2025</v>
      </c>
      <c r="B195" s="420" t="s">
        <v>548</v>
      </c>
      <c r="C195" s="421">
        <v>45686</v>
      </c>
      <c r="D195" s="422" t="s">
        <v>549</v>
      </c>
      <c r="E195" s="423">
        <v>13.25</v>
      </c>
    </row>
    <row r="196" spans="1:5" ht="20.25" customHeight="1">
      <c r="A196" s="767"/>
      <c r="B196" s="424" t="s">
        <v>550</v>
      </c>
      <c r="C196" s="425">
        <v>45735</v>
      </c>
      <c r="D196" s="426" t="s">
        <v>551</v>
      </c>
      <c r="E196" s="427">
        <v>14.25</v>
      </c>
    </row>
    <row r="197" spans="1:5" ht="20.25" customHeight="1">
      <c r="A197" s="767"/>
      <c r="B197" s="424" t="s">
        <v>552</v>
      </c>
      <c r="C197" s="425">
        <v>45736</v>
      </c>
      <c r="D197" s="426" t="s">
        <v>553</v>
      </c>
      <c r="E197" s="427">
        <v>14.75</v>
      </c>
    </row>
    <row r="198" spans="1:5" ht="20.25" customHeight="1">
      <c r="A198" s="767"/>
      <c r="B198" s="424" t="s">
        <v>554</v>
      </c>
      <c r="C198" s="425">
        <v>45826</v>
      </c>
      <c r="D198" s="426" t="s">
        <v>555</v>
      </c>
      <c r="E198" s="427">
        <v>15</v>
      </c>
    </row>
    <row r="199" spans="1:5" ht="20.25" customHeight="1">
      <c r="A199" s="767"/>
      <c r="B199" s="424" t="s">
        <v>556</v>
      </c>
      <c r="C199" s="425">
        <v>45868</v>
      </c>
      <c r="D199" s="426" t="s">
        <v>557</v>
      </c>
      <c r="E199" s="427">
        <v>15</v>
      </c>
    </row>
    <row r="200" spans="1:5" ht="20.25" customHeight="1">
      <c r="A200" s="767"/>
      <c r="B200" s="424" t="s">
        <v>558</v>
      </c>
      <c r="C200" s="425">
        <v>45917</v>
      </c>
      <c r="D200" s="426" t="s">
        <v>559</v>
      </c>
      <c r="E200" s="427">
        <v>15</v>
      </c>
    </row>
    <row r="201" spans="1:5" ht="20.25" customHeight="1" thickBot="1">
      <c r="A201" s="767"/>
      <c r="B201" s="424" t="s">
        <v>560</v>
      </c>
      <c r="C201" s="425">
        <v>45966</v>
      </c>
      <c r="D201" s="426" t="s">
        <v>561</v>
      </c>
      <c r="E201" s="674">
        <v>15</v>
      </c>
    </row>
    <row r="202" spans="1:5" ht="20.25" customHeight="1">
      <c r="A202" s="752">
        <v>2026</v>
      </c>
      <c r="B202" s="428" t="s">
        <v>562</v>
      </c>
      <c r="C202" s="391">
        <v>46001</v>
      </c>
      <c r="D202" s="429" t="s">
        <v>563</v>
      </c>
      <c r="E202" s="679">
        <v>15</v>
      </c>
    </row>
    <row r="203" spans="1:5" ht="20.25" customHeight="1">
      <c r="A203" s="753"/>
      <c r="B203" s="418" t="s">
        <v>564</v>
      </c>
      <c r="C203" s="395">
        <v>46050</v>
      </c>
      <c r="D203" s="407" t="s">
        <v>565</v>
      </c>
      <c r="E203" s="689">
        <v>15</v>
      </c>
    </row>
    <row r="204" spans="1:5" ht="20.25" customHeight="1">
      <c r="A204" s="753"/>
      <c r="B204" s="418" t="s">
        <v>566</v>
      </c>
      <c r="C204" s="690">
        <v>46099</v>
      </c>
      <c r="D204" s="691" t="s">
        <v>567</v>
      </c>
      <c r="E204" s="689">
        <v>14.75</v>
      </c>
    </row>
    <row r="205" spans="1:5" ht="20.25" customHeight="1" thickBot="1">
      <c r="A205" s="753"/>
      <c r="B205" s="419" t="s">
        <v>568</v>
      </c>
      <c r="C205" s="692">
        <v>46141</v>
      </c>
      <c r="D205" s="693" t="s">
        <v>569</v>
      </c>
      <c r="E205" s="694">
        <v>14.5</v>
      </c>
    </row>
    <row r="206" spans="1:5" ht="27.75" customHeight="1" thickBot="1">
      <c r="A206" s="754"/>
      <c r="B206" s="675" t="s">
        <v>570</v>
      </c>
      <c r="C206" s="676">
        <v>46190</v>
      </c>
      <c r="D206" s="677" t="s">
        <v>571</v>
      </c>
      <c r="E206" s="678">
        <v>14.25</v>
      </c>
    </row>
    <row r="207" spans="1:5" ht="12.75" customHeight="1">
      <c r="A207" s="257" t="s">
        <v>572</v>
      </c>
    </row>
    <row r="208" spans="1:5" ht="12.75" customHeight="1">
      <c r="A208" s="164">
        <v>432</v>
      </c>
    </row>
    <row r="209" spans="1:1" ht="12.75" customHeight="1"/>
    <row r="210" spans="1:1" ht="12.75" customHeight="1">
      <c r="A210" s="219" t="s">
        <v>573</v>
      </c>
    </row>
    <row r="211" spans="1:1" ht="12.75" customHeight="1"/>
    <row r="212" spans="1:1" ht="13.5" customHeight="1"/>
  </sheetData>
  <mergeCells count="29">
    <mergeCell ref="A1:E3"/>
    <mergeCell ref="A123:A130"/>
    <mergeCell ref="A131:A138"/>
    <mergeCell ref="A139:A146"/>
    <mergeCell ref="A147:A154"/>
    <mergeCell ref="A115:A122"/>
    <mergeCell ref="A67:A74"/>
    <mergeCell ref="A4:E4"/>
    <mergeCell ref="A5:D5"/>
    <mergeCell ref="E5:E6"/>
    <mergeCell ref="A6:B6"/>
    <mergeCell ref="A7:A18"/>
    <mergeCell ref="A19:A30"/>
    <mergeCell ref="A31:A42"/>
    <mergeCell ref="A202:A206"/>
    <mergeCell ref="A43:A50"/>
    <mergeCell ref="A51:A58"/>
    <mergeCell ref="A59:A66"/>
    <mergeCell ref="A187:A194"/>
    <mergeCell ref="A171:A178"/>
    <mergeCell ref="A179:A185"/>
    <mergeCell ref="A155:A162"/>
    <mergeCell ref="A163:A170"/>
    <mergeCell ref="A75:A82"/>
    <mergeCell ref="A83:A90"/>
    <mergeCell ref="A91:A98"/>
    <mergeCell ref="A99:A106"/>
    <mergeCell ref="A107:A114"/>
    <mergeCell ref="A195:A201"/>
  </mergeCells>
  <phoneticPr fontId="77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2081-9EE0-45C9-9843-26AEA325C530}">
  <sheetPr>
    <tabColor rgb="FF92D050"/>
  </sheetPr>
  <dimension ref="A1:E375"/>
  <sheetViews>
    <sheetView showGridLines="0" workbookViewId="0">
      <pane ySplit="2880" topLeftCell="A361" activePane="bottomLeft"/>
      <selection pane="bottomLeft" activeCell="G371" sqref="G371"/>
      <selection activeCell="H1" sqref="H1:J1048576"/>
    </sheetView>
  </sheetViews>
  <sheetFormatPr defaultColWidth="11.42578125" defaultRowHeight="15.75"/>
  <cols>
    <col min="1" max="1" width="15.140625" style="432" customWidth="1"/>
    <col min="2" max="2" width="11.7109375" style="432" customWidth="1"/>
    <col min="3" max="3" width="18" style="432" customWidth="1"/>
    <col min="4" max="4" width="17.7109375" style="432" customWidth="1"/>
    <col min="5" max="16384" width="11.42578125" style="432"/>
  </cols>
  <sheetData>
    <row r="1" spans="1:4" ht="53.25" customHeight="1" thickBot="1">
      <c r="A1" s="791" t="s">
        <v>574</v>
      </c>
      <c r="B1" s="791"/>
      <c r="C1" s="791"/>
      <c r="D1" s="791"/>
    </row>
    <row r="2" spans="1:4" ht="22.5" customHeight="1" thickBot="1">
      <c r="A2" s="785" t="s">
        <v>575</v>
      </c>
      <c r="B2" s="786"/>
      <c r="C2" s="786"/>
      <c r="D2" s="787"/>
    </row>
    <row r="3" spans="1:4" ht="19.5" thickBot="1">
      <c r="A3" s="788" t="s">
        <v>576</v>
      </c>
      <c r="B3" s="789"/>
      <c r="C3" s="789"/>
      <c r="D3" s="790"/>
    </row>
    <row r="4" spans="1:4" ht="18" thickBot="1">
      <c r="A4" s="433" t="s">
        <v>49</v>
      </c>
      <c r="B4" s="434" t="s">
        <v>50</v>
      </c>
      <c r="C4" s="435" t="s">
        <v>577</v>
      </c>
      <c r="D4" s="436" t="s">
        <v>578</v>
      </c>
    </row>
    <row r="5" spans="1:4" ht="16.5" hidden="1" customHeight="1">
      <c r="A5" s="213">
        <v>1994</v>
      </c>
      <c r="B5" s="277" t="s">
        <v>150</v>
      </c>
      <c r="C5" s="437">
        <f>100*((1+D5/100)^0.083333-1)</f>
        <v>23.456193569835015</v>
      </c>
      <c r="D5" s="438">
        <v>1153.5999999999999</v>
      </c>
    </row>
    <row r="6" spans="1:4" ht="16.5" hidden="1" thickBot="1">
      <c r="A6" s="220"/>
      <c r="B6" s="262"/>
      <c r="C6" s="283"/>
      <c r="D6" s="285"/>
    </row>
    <row r="7" spans="1:4" ht="16.5" hidden="1" thickBot="1">
      <c r="A7" s="220">
        <v>1995</v>
      </c>
      <c r="B7" s="262" t="s">
        <v>150</v>
      </c>
      <c r="C7" s="283">
        <f>100*((1+D7/100)^0.083333-1)</f>
        <v>3.61250500084076</v>
      </c>
      <c r="D7" s="439">
        <v>53.09</v>
      </c>
    </row>
    <row r="8" spans="1:4" ht="16.5" hidden="1" thickBot="1">
      <c r="A8" s="220"/>
      <c r="B8" s="262"/>
      <c r="C8" s="283"/>
      <c r="D8" s="439"/>
    </row>
    <row r="9" spans="1:4" ht="16.5" hidden="1" thickBot="1">
      <c r="A9" s="220">
        <v>1996</v>
      </c>
      <c r="B9" s="262" t="s">
        <v>150</v>
      </c>
      <c r="C9" s="283">
        <f>100*((1+D9/100)^0.083333-1)</f>
        <v>2.0391716989235364</v>
      </c>
      <c r="D9" s="439">
        <v>27.41</v>
      </c>
    </row>
    <row r="10" spans="1:4" ht="16.5" hidden="1" thickBot="1">
      <c r="A10" s="220"/>
      <c r="B10" s="262"/>
      <c r="C10" s="283"/>
      <c r="D10" s="439"/>
    </row>
    <row r="11" spans="1:4" ht="16.5" hidden="1" thickBot="1">
      <c r="A11" s="220">
        <v>1997</v>
      </c>
      <c r="B11" s="440" t="s">
        <v>56</v>
      </c>
      <c r="C11" s="283"/>
      <c r="D11" s="441"/>
    </row>
    <row r="12" spans="1:4" ht="16.5" hidden="1" thickBot="1">
      <c r="A12" s="220">
        <v>1997</v>
      </c>
      <c r="B12" s="440" t="s">
        <v>57</v>
      </c>
      <c r="C12" s="283"/>
      <c r="D12" s="441"/>
    </row>
    <row r="13" spans="1:4" ht="16.5" hidden="1" thickBot="1">
      <c r="A13" s="220">
        <v>1997</v>
      </c>
      <c r="B13" s="440" t="s">
        <v>58</v>
      </c>
      <c r="C13" s="283"/>
      <c r="D13" s="441"/>
    </row>
    <row r="14" spans="1:4" ht="16.5" hidden="1" thickBot="1">
      <c r="A14" s="220">
        <v>1997</v>
      </c>
      <c r="B14" s="440" t="s">
        <v>59</v>
      </c>
      <c r="C14" s="283">
        <v>1.66</v>
      </c>
      <c r="D14" s="439">
        <f t="shared" ref="D14:D22" si="0">100*((1+C14/100)^12-1)</f>
        <v>21.84319100326071</v>
      </c>
    </row>
    <row r="15" spans="1:4" ht="16.5" hidden="1" thickBot="1">
      <c r="A15" s="220">
        <v>1997</v>
      </c>
      <c r="B15" s="440" t="s">
        <v>60</v>
      </c>
      <c r="C15" s="283">
        <v>1.58</v>
      </c>
      <c r="D15" s="439">
        <f t="shared" si="0"/>
        <v>20.697563152516384</v>
      </c>
    </row>
    <row r="16" spans="1:4" ht="16.5" hidden="1" thickBot="1">
      <c r="A16" s="220">
        <v>1997</v>
      </c>
      <c r="B16" s="440" t="s">
        <v>61</v>
      </c>
      <c r="C16" s="283">
        <v>1.61</v>
      </c>
      <c r="D16" s="439">
        <f t="shared" si="0"/>
        <v>21.126011385078193</v>
      </c>
    </row>
    <row r="17" spans="1:4" ht="16.5" hidden="1" thickBot="1">
      <c r="A17" s="220">
        <v>1997</v>
      </c>
      <c r="B17" s="440" t="s">
        <v>62</v>
      </c>
      <c r="C17" s="283">
        <v>1.6</v>
      </c>
      <c r="D17" s="439">
        <f t="shared" si="0"/>
        <v>20.98304065090819</v>
      </c>
    </row>
    <row r="18" spans="1:4" ht="16.5" hidden="1" thickBot="1">
      <c r="A18" s="220">
        <v>1997</v>
      </c>
      <c r="B18" s="440" t="s">
        <v>63</v>
      </c>
      <c r="C18" s="283">
        <v>1.59</v>
      </c>
      <c r="D18" s="439">
        <f t="shared" si="0"/>
        <v>20.840224624122182</v>
      </c>
    </row>
    <row r="19" spans="1:4" ht="16.5" hidden="1" thickBot="1">
      <c r="A19" s="220">
        <v>1997</v>
      </c>
      <c r="B19" s="440" t="s">
        <v>64</v>
      </c>
      <c r="C19" s="283">
        <v>1.59</v>
      </c>
      <c r="D19" s="439">
        <f t="shared" si="0"/>
        <v>20.840224624122182</v>
      </c>
    </row>
    <row r="20" spans="1:4" ht="16.5" hidden="1" thickBot="1">
      <c r="A20" s="220">
        <v>1997</v>
      </c>
      <c r="B20" s="440" t="s">
        <v>65</v>
      </c>
      <c r="C20" s="283">
        <v>1.67</v>
      </c>
      <c r="D20" s="439">
        <f t="shared" si="0"/>
        <v>21.987093185571016</v>
      </c>
    </row>
    <row r="21" spans="1:4" ht="16.5" hidden="1" thickBot="1">
      <c r="A21" s="220">
        <v>1997</v>
      </c>
      <c r="B21" s="440" t="s">
        <v>66</v>
      </c>
      <c r="C21" s="283">
        <v>3.04</v>
      </c>
      <c r="D21" s="439">
        <f t="shared" si="0"/>
        <v>43.241941956989116</v>
      </c>
    </row>
    <row r="22" spans="1:4" ht="16.5" hidden="1" thickBot="1">
      <c r="A22" s="220">
        <v>1997</v>
      </c>
      <c r="B22" s="440" t="s">
        <v>55</v>
      </c>
      <c r="C22" s="283">
        <v>2.97</v>
      </c>
      <c r="D22" s="439">
        <f t="shared" si="0"/>
        <v>42.078562002958897</v>
      </c>
    </row>
    <row r="23" spans="1:4" ht="16.5" hidden="1" thickBot="1">
      <c r="A23" s="220"/>
      <c r="B23" s="440"/>
      <c r="C23" s="283"/>
      <c r="D23" s="439"/>
    </row>
    <row r="24" spans="1:4" ht="16.5" hidden="1" thickBot="1">
      <c r="A24" s="220">
        <v>1998</v>
      </c>
      <c r="B24" s="440" t="s">
        <v>56</v>
      </c>
      <c r="C24" s="283">
        <v>2.67</v>
      </c>
      <c r="D24" s="439">
        <f t="shared" ref="D24:D35" si="1">100*((1+C24/100)^12-1)</f>
        <v>37.190091028805639</v>
      </c>
    </row>
    <row r="25" spans="1:4" ht="16.5" hidden="1" thickBot="1">
      <c r="A25" s="220">
        <v>1998</v>
      </c>
      <c r="B25" s="440" t="s">
        <v>57</v>
      </c>
      <c r="C25" s="283">
        <v>2.13</v>
      </c>
      <c r="D25" s="439">
        <f t="shared" si="1"/>
        <v>28.777497970699105</v>
      </c>
    </row>
    <row r="26" spans="1:4" ht="16.5" hidden="1" thickBot="1">
      <c r="A26" s="220">
        <v>1998</v>
      </c>
      <c r="B26" s="440" t="s">
        <v>58</v>
      </c>
      <c r="C26" s="283">
        <v>2.2000000000000002</v>
      </c>
      <c r="D26" s="439">
        <f t="shared" si="1"/>
        <v>29.840670516253788</v>
      </c>
    </row>
    <row r="27" spans="1:4" ht="16.5" hidden="1" thickBot="1">
      <c r="A27" s="220">
        <v>1998</v>
      </c>
      <c r="B27" s="440" t="s">
        <v>59</v>
      </c>
      <c r="C27" s="283">
        <v>1.71</v>
      </c>
      <c r="D27" s="439">
        <f t="shared" si="1"/>
        <v>22.564261214267756</v>
      </c>
    </row>
    <row r="28" spans="1:4" ht="16.5" hidden="1" thickBot="1">
      <c r="A28" s="220">
        <v>1998</v>
      </c>
      <c r="B28" s="440" t="s">
        <v>60</v>
      </c>
      <c r="C28" s="283">
        <v>1.63</v>
      </c>
      <c r="D28" s="439">
        <f t="shared" si="1"/>
        <v>21.41241758505863</v>
      </c>
    </row>
    <row r="29" spans="1:4" ht="16.5" hidden="1" thickBot="1">
      <c r="A29" s="220">
        <v>1998</v>
      </c>
      <c r="B29" s="440" t="s">
        <v>61</v>
      </c>
      <c r="C29" s="283">
        <v>1.6</v>
      </c>
      <c r="D29" s="439">
        <f t="shared" si="1"/>
        <v>20.98304065090819</v>
      </c>
    </row>
    <row r="30" spans="1:4" ht="16.5" hidden="1" thickBot="1">
      <c r="A30" s="220">
        <v>1998</v>
      </c>
      <c r="B30" s="440" t="s">
        <v>62</v>
      </c>
      <c r="C30" s="283">
        <v>1.7</v>
      </c>
      <c r="D30" s="439">
        <f t="shared" si="1"/>
        <v>22.419735005332385</v>
      </c>
    </row>
    <row r="31" spans="1:4" ht="16.5" hidden="1" thickBot="1">
      <c r="A31" s="220">
        <v>1998</v>
      </c>
      <c r="B31" s="440" t="s">
        <v>63</v>
      </c>
      <c r="C31" s="283">
        <v>1.48</v>
      </c>
      <c r="D31" s="439">
        <f t="shared" si="1"/>
        <v>19.279415582807637</v>
      </c>
    </row>
    <row r="32" spans="1:4" ht="16.5" hidden="1" thickBot="1">
      <c r="A32" s="220">
        <v>1998</v>
      </c>
      <c r="B32" s="440" t="s">
        <v>64</v>
      </c>
      <c r="C32" s="283">
        <v>2.4900000000000002</v>
      </c>
      <c r="D32" s="439">
        <f t="shared" si="1"/>
        <v>34.331516483804528</v>
      </c>
    </row>
    <row r="33" spans="1:4" ht="16.5" hidden="1" thickBot="1">
      <c r="A33" s="220">
        <v>1998</v>
      </c>
      <c r="B33" s="440" t="s">
        <v>65</v>
      </c>
      <c r="C33" s="283">
        <v>2.94</v>
      </c>
      <c r="D33" s="439">
        <f t="shared" si="1"/>
        <v>41.582627250850649</v>
      </c>
    </row>
    <row r="34" spans="1:4" ht="16.5" hidden="1" thickBot="1">
      <c r="A34" s="220">
        <v>1998</v>
      </c>
      <c r="B34" s="440" t="s">
        <v>66</v>
      </c>
      <c r="C34" s="283">
        <v>2.63</v>
      </c>
      <c r="D34" s="439">
        <f t="shared" si="1"/>
        <v>36.550076208952717</v>
      </c>
    </row>
    <row r="35" spans="1:4" ht="16.5" hidden="1" thickBot="1">
      <c r="A35" s="220">
        <v>1998</v>
      </c>
      <c r="B35" s="440" t="s">
        <v>55</v>
      </c>
      <c r="C35" s="283">
        <v>2.4</v>
      </c>
      <c r="D35" s="439">
        <f t="shared" si="1"/>
        <v>32.922799578491578</v>
      </c>
    </row>
    <row r="36" spans="1:4" ht="16.5" hidden="1" thickBot="1">
      <c r="A36" s="220"/>
      <c r="B36" s="440"/>
      <c r="C36" s="283"/>
      <c r="D36" s="439"/>
    </row>
    <row r="37" spans="1:4" ht="16.5" hidden="1" thickBot="1">
      <c r="A37" s="220">
        <v>1999</v>
      </c>
      <c r="B37" s="440" t="s">
        <v>56</v>
      </c>
      <c r="C37" s="283">
        <v>2.1800000000000002</v>
      </c>
      <c r="D37" s="439">
        <f t="shared" ref="D37:D48" si="2">100*((1+C37/100)^12-1)</f>
        <v>29.536088884774571</v>
      </c>
    </row>
    <row r="38" spans="1:4" ht="16.5" hidden="1" thickBot="1">
      <c r="A38" s="220">
        <v>1999</v>
      </c>
      <c r="B38" s="440" t="s">
        <v>57</v>
      </c>
      <c r="C38" s="283">
        <v>2.38</v>
      </c>
      <c r="D38" s="439">
        <f t="shared" si="2"/>
        <v>32.611596208956371</v>
      </c>
    </row>
    <row r="39" spans="1:4" ht="16.5" hidden="1" thickBot="1">
      <c r="A39" s="220">
        <v>1999</v>
      </c>
      <c r="B39" s="440" t="s">
        <v>58</v>
      </c>
      <c r="C39" s="283">
        <v>3.33</v>
      </c>
      <c r="D39" s="439">
        <f t="shared" si="2"/>
        <v>48.155286505076674</v>
      </c>
    </row>
    <row r="40" spans="1:4" ht="16.5" hidden="1" thickBot="1">
      <c r="A40" s="220">
        <v>1999</v>
      </c>
      <c r="B40" s="440" t="s">
        <v>59</v>
      </c>
      <c r="C40" s="283">
        <v>2.35</v>
      </c>
      <c r="D40" s="439">
        <f t="shared" si="2"/>
        <v>32.146043272603933</v>
      </c>
    </row>
    <row r="41" spans="1:4" ht="16.5" hidden="1" thickBot="1">
      <c r="A41" s="220">
        <v>1999</v>
      </c>
      <c r="B41" s="440" t="s">
        <v>60</v>
      </c>
      <c r="C41" s="283">
        <v>2.02</v>
      </c>
      <c r="D41" s="439">
        <f t="shared" si="2"/>
        <v>27.122911315225217</v>
      </c>
    </row>
    <row r="42" spans="1:4" ht="16.5" hidden="1" thickBot="1">
      <c r="A42" s="220">
        <v>1999</v>
      </c>
      <c r="B42" s="440" t="s">
        <v>61</v>
      </c>
      <c r="C42" s="283">
        <v>1.67</v>
      </c>
      <c r="D42" s="439">
        <f t="shared" si="2"/>
        <v>21.987093185571016</v>
      </c>
    </row>
    <row r="43" spans="1:4" ht="16.5" hidden="1" thickBot="1">
      <c r="A43" s="220">
        <v>1999</v>
      </c>
      <c r="B43" s="440" t="s">
        <v>62</v>
      </c>
      <c r="C43" s="283">
        <v>1.66</v>
      </c>
      <c r="D43" s="439">
        <f t="shared" si="2"/>
        <v>21.84319100326071</v>
      </c>
    </row>
    <row r="44" spans="1:4" ht="16.5" hidden="1" thickBot="1">
      <c r="A44" s="220">
        <v>1999</v>
      </c>
      <c r="B44" s="440" t="s">
        <v>63</v>
      </c>
      <c r="C44" s="283">
        <v>1.57</v>
      </c>
      <c r="D44" s="439">
        <f t="shared" si="2"/>
        <v>20.555056084022063</v>
      </c>
    </row>
    <row r="45" spans="1:4" ht="16.5" hidden="1" thickBot="1">
      <c r="A45" s="220">
        <v>1999</v>
      </c>
      <c r="B45" s="440" t="s">
        <v>64</v>
      </c>
      <c r="C45" s="283">
        <v>1.49</v>
      </c>
      <c r="D45" s="439">
        <f t="shared" si="2"/>
        <v>19.420539844210882</v>
      </c>
    </row>
    <row r="46" spans="1:4" ht="16.5" hidden="1" thickBot="1">
      <c r="A46" s="220">
        <v>1999</v>
      </c>
      <c r="B46" s="440" t="s">
        <v>65</v>
      </c>
      <c r="C46" s="283">
        <v>1.38</v>
      </c>
      <c r="D46" s="439">
        <f t="shared" si="2"/>
        <v>17.876557104592884</v>
      </c>
    </row>
    <row r="47" spans="1:4" ht="16.5" hidden="1" thickBot="1">
      <c r="A47" s="220">
        <v>1999</v>
      </c>
      <c r="B47" s="440" t="s">
        <v>66</v>
      </c>
      <c r="C47" s="283">
        <v>1.39</v>
      </c>
      <c r="D47" s="439">
        <f t="shared" si="2"/>
        <v>18.016159228567098</v>
      </c>
    </row>
    <row r="48" spans="1:4" ht="16.5" hidden="1" thickBot="1">
      <c r="A48" s="220">
        <v>1999</v>
      </c>
      <c r="B48" s="440" t="s">
        <v>55</v>
      </c>
      <c r="C48" s="283">
        <v>1.6</v>
      </c>
      <c r="D48" s="439">
        <f t="shared" si="2"/>
        <v>20.98304065090819</v>
      </c>
    </row>
    <row r="49" spans="1:4" ht="16.5" hidden="1" thickBot="1">
      <c r="A49" s="220"/>
      <c r="B49" s="440"/>
      <c r="C49" s="283"/>
      <c r="D49" s="439"/>
    </row>
    <row r="50" spans="1:4" ht="16.5" hidden="1" thickBot="1">
      <c r="A50" s="220">
        <v>2000</v>
      </c>
      <c r="B50" s="440" t="s">
        <v>56</v>
      </c>
      <c r="C50" s="283">
        <v>1.46</v>
      </c>
      <c r="D50" s="439">
        <f t="shared" ref="D50:D61" si="3">100*((1+C50/100)^12-1)</f>
        <v>18.997625578845877</v>
      </c>
    </row>
    <row r="51" spans="1:4" ht="16.5" hidden="1" thickBot="1">
      <c r="A51" s="220">
        <v>2000</v>
      </c>
      <c r="B51" s="440" t="s">
        <v>57</v>
      </c>
      <c r="C51" s="283">
        <v>1.45</v>
      </c>
      <c r="D51" s="439">
        <f t="shared" si="3"/>
        <v>18.856959535234452</v>
      </c>
    </row>
    <row r="52" spans="1:4" ht="16.5" hidden="1" thickBot="1">
      <c r="A52" s="220">
        <v>2000</v>
      </c>
      <c r="B52" s="440" t="s">
        <v>58</v>
      </c>
      <c r="C52" s="283">
        <v>1.45</v>
      </c>
      <c r="D52" s="439">
        <f t="shared" si="3"/>
        <v>18.856959535234452</v>
      </c>
    </row>
    <row r="53" spans="1:4" ht="16.5" hidden="1" thickBot="1">
      <c r="A53" s="220">
        <v>2000</v>
      </c>
      <c r="B53" s="440" t="s">
        <v>59</v>
      </c>
      <c r="C53" s="283">
        <v>1.3</v>
      </c>
      <c r="D53" s="439">
        <f t="shared" si="3"/>
        <v>16.765177626913008</v>
      </c>
    </row>
    <row r="54" spans="1:4" ht="16.5" hidden="1" thickBot="1">
      <c r="A54" s="220">
        <v>2000</v>
      </c>
      <c r="B54" s="440" t="s">
        <v>60</v>
      </c>
      <c r="C54" s="283">
        <v>1.49</v>
      </c>
      <c r="D54" s="439">
        <f t="shared" si="3"/>
        <v>19.420539844210882</v>
      </c>
    </row>
    <row r="55" spans="1:4" ht="16.5" hidden="1" thickBot="1">
      <c r="A55" s="220">
        <v>2000</v>
      </c>
      <c r="B55" s="440" t="s">
        <v>61</v>
      </c>
      <c r="C55" s="283">
        <v>1.39</v>
      </c>
      <c r="D55" s="439">
        <f t="shared" si="3"/>
        <v>18.016159228567098</v>
      </c>
    </row>
    <row r="56" spans="1:4" ht="16.5" hidden="1" thickBot="1">
      <c r="A56" s="220">
        <v>2000</v>
      </c>
      <c r="B56" s="440" t="s">
        <v>62</v>
      </c>
      <c r="C56" s="283">
        <v>1.31</v>
      </c>
      <c r="D56" s="439">
        <f t="shared" si="3"/>
        <v>16.903572803833168</v>
      </c>
    </row>
    <row r="57" spans="1:4" ht="16.5" hidden="1" thickBot="1">
      <c r="A57" s="220">
        <v>2000</v>
      </c>
      <c r="B57" s="440" t="s">
        <v>63</v>
      </c>
      <c r="C57" s="283">
        <v>1.41</v>
      </c>
      <c r="D57" s="439">
        <f t="shared" si="3"/>
        <v>18.29581824385642</v>
      </c>
    </row>
    <row r="58" spans="1:4" ht="16.5" hidden="1" thickBot="1">
      <c r="A58" s="220">
        <v>2000</v>
      </c>
      <c r="B58" s="440" t="s">
        <v>64</v>
      </c>
      <c r="C58" s="283">
        <v>1.22</v>
      </c>
      <c r="D58" s="439">
        <f t="shared" si="3"/>
        <v>15.663410959937174</v>
      </c>
    </row>
    <row r="59" spans="1:4" ht="16.5" hidden="1" thickBot="1">
      <c r="A59" s="220">
        <v>2000</v>
      </c>
      <c r="B59" s="440" t="s">
        <v>65</v>
      </c>
      <c r="C59" s="283">
        <v>1.38</v>
      </c>
      <c r="D59" s="439">
        <f t="shared" si="3"/>
        <v>17.876557104592884</v>
      </c>
    </row>
    <row r="60" spans="1:4" ht="16.5" hidden="1" thickBot="1">
      <c r="A60" s="220">
        <v>2000</v>
      </c>
      <c r="B60" s="440" t="s">
        <v>66</v>
      </c>
      <c r="C60" s="283">
        <v>1.39</v>
      </c>
      <c r="D60" s="439">
        <f t="shared" si="3"/>
        <v>18.016159228567098</v>
      </c>
    </row>
    <row r="61" spans="1:4" ht="16.5" hidden="1" thickBot="1">
      <c r="A61" s="220">
        <v>2000</v>
      </c>
      <c r="B61" s="440" t="s">
        <v>55</v>
      </c>
      <c r="C61" s="283">
        <v>1.6</v>
      </c>
      <c r="D61" s="439">
        <f t="shared" si="3"/>
        <v>20.98304065090819</v>
      </c>
    </row>
    <row r="62" spans="1:4" ht="16.5" hidden="1" thickBot="1">
      <c r="A62" s="220"/>
      <c r="B62" s="440"/>
      <c r="C62" s="283"/>
      <c r="D62" s="439"/>
    </row>
    <row r="63" spans="1:4" ht="16.5" hidden="1" thickBot="1">
      <c r="A63" s="220">
        <v>2001</v>
      </c>
      <c r="B63" s="440" t="s">
        <v>56</v>
      </c>
      <c r="C63" s="283">
        <v>1.27</v>
      </c>
      <c r="D63" s="439">
        <f t="shared" ref="D63:D126" si="4">100*((1+C63/100)^12-1)</f>
        <v>16.350892700314201</v>
      </c>
    </row>
    <row r="64" spans="1:4" ht="16.5" hidden="1" thickBot="1">
      <c r="A64" s="220">
        <v>2001</v>
      </c>
      <c r="B64" s="440" t="s">
        <v>57</v>
      </c>
      <c r="C64" s="283">
        <v>1.02</v>
      </c>
      <c r="D64" s="439">
        <f t="shared" si="4"/>
        <v>12.950555229212203</v>
      </c>
    </row>
    <row r="65" spans="1:4" ht="16.5" hidden="1" thickBot="1">
      <c r="A65" s="220">
        <v>2001</v>
      </c>
      <c r="B65" s="440" t="s">
        <v>58</v>
      </c>
      <c r="C65" s="283">
        <v>1.26</v>
      </c>
      <c r="D65" s="439">
        <f t="shared" si="4"/>
        <v>16.213097432586608</v>
      </c>
    </row>
    <row r="66" spans="1:4" ht="16.5" hidden="1" thickBot="1">
      <c r="A66" s="220">
        <v>2001</v>
      </c>
      <c r="B66" s="440" t="s">
        <v>59</v>
      </c>
      <c r="C66" s="283">
        <v>1.19</v>
      </c>
      <c r="D66" s="439">
        <f t="shared" si="4"/>
        <v>15.252711305920341</v>
      </c>
    </row>
    <row r="67" spans="1:4" ht="16.5" hidden="1" thickBot="1">
      <c r="A67" s="220">
        <v>2001</v>
      </c>
      <c r="B67" s="440" t="s">
        <v>60</v>
      </c>
      <c r="C67" s="283">
        <v>1.34</v>
      </c>
      <c r="D67" s="439">
        <f t="shared" si="4"/>
        <v>17.319661015484677</v>
      </c>
    </row>
    <row r="68" spans="1:4" ht="16.5" hidden="1" thickBot="1">
      <c r="A68" s="220">
        <v>2001</v>
      </c>
      <c r="B68" s="440" t="s">
        <v>61</v>
      </c>
      <c r="C68" s="283">
        <v>1.27</v>
      </c>
      <c r="D68" s="439">
        <f t="shared" si="4"/>
        <v>16.350892700314201</v>
      </c>
    </row>
    <row r="69" spans="1:4" ht="16.5" hidden="1" thickBot="1">
      <c r="A69" s="220">
        <v>2001</v>
      </c>
      <c r="B69" s="440" t="s">
        <v>62</v>
      </c>
      <c r="C69" s="283">
        <v>1.5</v>
      </c>
      <c r="D69" s="439">
        <f t="shared" si="4"/>
        <v>19.561817146153327</v>
      </c>
    </row>
    <row r="70" spans="1:4" ht="16.5" hidden="1" thickBot="1">
      <c r="A70" s="220">
        <v>2001</v>
      </c>
      <c r="B70" s="440" t="s">
        <v>63</v>
      </c>
      <c r="C70" s="283">
        <v>1.6</v>
      </c>
      <c r="D70" s="439">
        <f t="shared" si="4"/>
        <v>20.98304065090819</v>
      </c>
    </row>
    <row r="71" spans="1:4" ht="16.5" hidden="1" thickBot="1">
      <c r="A71" s="220">
        <v>2001</v>
      </c>
      <c r="B71" s="440" t="s">
        <v>64</v>
      </c>
      <c r="C71" s="283">
        <v>1.32</v>
      </c>
      <c r="D71" s="439">
        <f t="shared" si="4"/>
        <v>17.04211832856668</v>
      </c>
    </row>
    <row r="72" spans="1:4" ht="16.5" hidden="1" thickBot="1">
      <c r="A72" s="220">
        <v>2001</v>
      </c>
      <c r="B72" s="440" t="s">
        <v>65</v>
      </c>
      <c r="C72" s="283">
        <v>1.53</v>
      </c>
      <c r="D72" s="439">
        <f t="shared" si="4"/>
        <v>19.986568804493388</v>
      </c>
    </row>
    <row r="73" spans="1:4" ht="16.5" hidden="1" thickBot="1">
      <c r="A73" s="220">
        <v>2001</v>
      </c>
      <c r="B73" s="440" t="s">
        <v>66</v>
      </c>
      <c r="C73" s="283">
        <v>1.39</v>
      </c>
      <c r="D73" s="439">
        <f t="shared" si="4"/>
        <v>18.016159228567098</v>
      </c>
    </row>
    <row r="74" spans="1:4" ht="16.5" hidden="1" thickBot="1">
      <c r="A74" s="220">
        <v>2001</v>
      </c>
      <c r="B74" s="440" t="s">
        <v>55</v>
      </c>
      <c r="C74" s="283">
        <v>1.39</v>
      </c>
      <c r="D74" s="439">
        <f t="shared" si="4"/>
        <v>18.016159228567098</v>
      </c>
    </row>
    <row r="75" spans="1:4" ht="16.5" hidden="1" thickBot="1">
      <c r="A75" s="220"/>
      <c r="B75" s="440"/>
      <c r="C75" s="283"/>
      <c r="D75" s="439"/>
    </row>
    <row r="76" spans="1:4" ht="16.5" hidden="1" thickBot="1">
      <c r="A76" s="220">
        <v>2002</v>
      </c>
      <c r="B76" s="440" t="s">
        <v>56</v>
      </c>
      <c r="C76" s="283">
        <v>1.5339589999999959</v>
      </c>
      <c r="D76" s="439">
        <f t="shared" si="4"/>
        <v>20.042725059608447</v>
      </c>
    </row>
    <row r="77" spans="1:4" ht="16.5" hidden="1" thickBot="1">
      <c r="A77" s="220">
        <v>2002</v>
      </c>
      <c r="B77" s="440" t="s">
        <v>57</v>
      </c>
      <c r="C77" s="283">
        <v>1.2482150000000019</v>
      </c>
      <c r="D77" s="439">
        <f t="shared" si="4"/>
        <v>16.050897746535963</v>
      </c>
    </row>
    <row r="78" spans="1:4" ht="16.5" hidden="1" thickBot="1">
      <c r="A78" s="220">
        <v>2002</v>
      </c>
      <c r="B78" s="440" t="s">
        <v>58</v>
      </c>
      <c r="C78" s="283">
        <v>1.371333000000007</v>
      </c>
      <c r="D78" s="439">
        <f t="shared" si="4"/>
        <v>17.755686413595907</v>
      </c>
    </row>
    <row r="79" spans="1:4" ht="16.5" hidden="1" thickBot="1">
      <c r="A79" s="220">
        <v>2002</v>
      </c>
      <c r="B79" s="440" t="s">
        <v>59</v>
      </c>
      <c r="C79" s="283">
        <v>1.4835670000000079</v>
      </c>
      <c r="D79" s="439">
        <f t="shared" si="4"/>
        <v>19.329737057593821</v>
      </c>
    </row>
    <row r="80" spans="1:4" ht="16.5" hidden="1" thickBot="1">
      <c r="A80" s="220">
        <v>2002</v>
      </c>
      <c r="B80" s="440" t="s">
        <v>60</v>
      </c>
      <c r="C80" s="283">
        <v>1.4149890000000056</v>
      </c>
      <c r="D80" s="439">
        <f t="shared" si="4"/>
        <v>18.365673787131232</v>
      </c>
    </row>
    <row r="81" spans="1:4" ht="16.5" hidden="1" thickBot="1">
      <c r="A81" s="220">
        <v>2002</v>
      </c>
      <c r="B81" s="440" t="s">
        <v>61</v>
      </c>
      <c r="C81" s="283">
        <v>1.3290329999999955</v>
      </c>
      <c r="D81" s="439">
        <f t="shared" si="4"/>
        <v>17.167395867376143</v>
      </c>
    </row>
    <row r="82" spans="1:4" ht="16.5" hidden="1" thickBot="1">
      <c r="A82" s="220">
        <v>2002</v>
      </c>
      <c r="B82" s="440" t="s">
        <v>62</v>
      </c>
      <c r="C82" s="283">
        <v>1.5354349999999926</v>
      </c>
      <c r="D82" s="439">
        <f>100*((1+C82/100)^12-1)</f>
        <v>20.063667478995974</v>
      </c>
    </row>
    <row r="83" spans="1:4" ht="16.5" hidden="1" thickBot="1">
      <c r="A83" s="220">
        <v>2002</v>
      </c>
      <c r="B83" s="440" t="s">
        <v>63</v>
      </c>
      <c r="C83" s="283">
        <v>1.443404000000001</v>
      </c>
      <c r="D83" s="439">
        <f t="shared" si="4"/>
        <v>18.764259657253234</v>
      </c>
    </row>
    <row r="84" spans="1:4" ht="16.5" hidden="1" thickBot="1">
      <c r="A84" s="220">
        <v>2002</v>
      </c>
      <c r="B84" s="440" t="s">
        <v>64</v>
      </c>
      <c r="C84" s="283">
        <v>1.3812659999999966</v>
      </c>
      <c r="D84" s="439">
        <f t="shared" si="4"/>
        <v>17.894222360613512</v>
      </c>
    </row>
    <row r="85" spans="1:4" ht="16.5" hidden="1" thickBot="1">
      <c r="A85" s="220">
        <v>2002</v>
      </c>
      <c r="B85" s="440" t="s">
        <v>65</v>
      </c>
      <c r="C85" s="283">
        <v>1.6459250000000054</v>
      </c>
      <c r="D85" s="439">
        <f t="shared" si="4"/>
        <v>21.640912315833138</v>
      </c>
    </row>
    <row r="86" spans="1:4" ht="16.5" hidden="1" thickBot="1">
      <c r="A86" s="220">
        <v>2002</v>
      </c>
      <c r="B86" s="440" t="s">
        <v>66</v>
      </c>
      <c r="C86" s="283">
        <v>1.5409309999999863</v>
      </c>
      <c r="D86" s="439">
        <f t="shared" si="4"/>
        <v>20.141677651627042</v>
      </c>
    </row>
    <row r="87" spans="1:4" ht="16.5" hidden="1" thickBot="1">
      <c r="A87" s="220">
        <v>2002</v>
      </c>
      <c r="B87" s="440" t="s">
        <v>55</v>
      </c>
      <c r="C87" s="283">
        <v>1.7424490000000077</v>
      </c>
      <c r="D87" s="439">
        <f t="shared" si="4"/>
        <v>23.034312185940141</v>
      </c>
    </row>
    <row r="88" spans="1:4" ht="16.5" hidden="1" thickBot="1">
      <c r="A88" s="220">
        <v>2003</v>
      </c>
      <c r="B88" s="440" t="s">
        <v>56</v>
      </c>
      <c r="C88" s="283">
        <v>1.971266</v>
      </c>
      <c r="D88" s="439">
        <f t="shared" si="4"/>
        <v>26.39611768395018</v>
      </c>
    </row>
    <row r="89" spans="1:4" ht="16.5" hidden="1" thickBot="1">
      <c r="A89" s="220">
        <v>2003</v>
      </c>
      <c r="B89" s="262" t="s">
        <v>57</v>
      </c>
      <c r="C89" s="283">
        <v>1.830379999999991</v>
      </c>
      <c r="D89" s="439">
        <f t="shared" si="4"/>
        <v>24.316385093939186</v>
      </c>
    </row>
    <row r="90" spans="1:4" ht="16.5" hidden="1" thickBot="1">
      <c r="A90" s="220">
        <v>2003</v>
      </c>
      <c r="B90" s="262" t="s">
        <v>58</v>
      </c>
      <c r="C90" s="283">
        <v>1.7770189999999957</v>
      </c>
      <c r="D90" s="439">
        <f t="shared" si="4"/>
        <v>23.536905201482661</v>
      </c>
    </row>
    <row r="91" spans="1:4" ht="16.5" hidden="1" thickBot="1">
      <c r="A91" s="220">
        <v>2003</v>
      </c>
      <c r="B91" s="262" t="s">
        <v>59</v>
      </c>
      <c r="C91" s="283">
        <v>1.8715949999999992</v>
      </c>
      <c r="D91" s="439">
        <f t="shared" si="4"/>
        <v>24.921523282640813</v>
      </c>
    </row>
    <row r="92" spans="1:4" ht="16.5" hidden="1" thickBot="1">
      <c r="A92" s="220">
        <v>2003</v>
      </c>
      <c r="B92" s="262" t="s">
        <v>60</v>
      </c>
      <c r="C92" s="283">
        <v>1.96535200000001</v>
      </c>
      <c r="D92" s="439">
        <f t="shared" si="4"/>
        <v>26.308178999941312</v>
      </c>
    </row>
    <row r="93" spans="1:4" ht="16.5" hidden="1" thickBot="1">
      <c r="A93" s="220">
        <v>2003</v>
      </c>
      <c r="B93" s="262" t="s">
        <v>61</v>
      </c>
      <c r="C93" s="283">
        <v>1.8566789999999997</v>
      </c>
      <c r="D93" s="439">
        <f t="shared" si="4"/>
        <v>24.702208414409288</v>
      </c>
    </row>
    <row r="94" spans="1:4" ht="16.5" hidden="1" thickBot="1">
      <c r="A94" s="220">
        <v>2003</v>
      </c>
      <c r="B94" s="262" t="s">
        <v>62</v>
      </c>
      <c r="C94" s="283">
        <v>2.0842470000000048</v>
      </c>
      <c r="D94" s="439">
        <f t="shared" si="4"/>
        <v>28.086912113466099</v>
      </c>
    </row>
    <row r="95" spans="1:4" ht="16.5" hidden="1" thickBot="1">
      <c r="A95" s="220">
        <v>2003</v>
      </c>
      <c r="B95" s="262" t="s">
        <v>63</v>
      </c>
      <c r="C95" s="283">
        <v>1.7742609999999956</v>
      </c>
      <c r="D95" s="439">
        <f t="shared" si="4"/>
        <v>23.496739276581046</v>
      </c>
    </row>
    <row r="96" spans="1:4" ht="16.5" hidden="1" thickBot="1">
      <c r="A96" s="220">
        <v>2003</v>
      </c>
      <c r="B96" s="262" t="s">
        <v>64</v>
      </c>
      <c r="C96" s="283">
        <v>1.6795089999999959</v>
      </c>
      <c r="D96" s="439">
        <f t="shared" si="4"/>
        <v>22.124074259823434</v>
      </c>
    </row>
    <row r="97" spans="1:4" ht="16.5" hidden="1" thickBot="1">
      <c r="A97" s="220">
        <v>2003</v>
      </c>
      <c r="B97" s="262" t="s">
        <v>65</v>
      </c>
      <c r="C97" s="283">
        <v>1.6420600000000007</v>
      </c>
      <c r="D97" s="439">
        <f t="shared" si="4"/>
        <v>21.585420412966339</v>
      </c>
    </row>
    <row r="98" spans="1:4" ht="16.5" hidden="1" thickBot="1">
      <c r="A98" s="220">
        <v>2003</v>
      </c>
      <c r="B98" s="262" t="s">
        <v>66</v>
      </c>
      <c r="C98" s="283">
        <v>1.3435309999999987</v>
      </c>
      <c r="D98" s="439">
        <f t="shared" si="4"/>
        <v>17.368723788606609</v>
      </c>
    </row>
    <row r="99" spans="1:4" ht="16.5" hidden="1" thickBot="1">
      <c r="A99" s="220">
        <v>2003</v>
      </c>
      <c r="B99" s="262" t="s">
        <v>55</v>
      </c>
      <c r="C99" s="283">
        <v>1.3732499999999987</v>
      </c>
      <c r="D99" s="439">
        <f t="shared" si="4"/>
        <v>17.782411262642995</v>
      </c>
    </row>
    <row r="100" spans="1:4" ht="16.5" hidden="1" thickBot="1">
      <c r="A100" s="220">
        <v>2004</v>
      </c>
      <c r="B100" s="262" t="s">
        <v>56</v>
      </c>
      <c r="C100" s="283">
        <v>1.2675509999999974</v>
      </c>
      <c r="D100" s="439">
        <f t="shared" si="4"/>
        <v>16.317132798251912</v>
      </c>
    </row>
    <row r="101" spans="1:4" ht="16.5" hidden="1" thickBot="1">
      <c r="A101" s="220">
        <v>2004</v>
      </c>
      <c r="B101" s="262" t="s">
        <v>57</v>
      </c>
      <c r="C101" s="283">
        <v>1.0843940000000032</v>
      </c>
      <c r="D101" s="439">
        <f t="shared" si="4"/>
        <v>13.817578628064098</v>
      </c>
    </row>
    <row r="102" spans="1:4" ht="16.5" hidden="1" thickBot="1">
      <c r="A102" s="220">
        <v>2004</v>
      </c>
      <c r="B102" s="262" t="s">
        <v>58</v>
      </c>
      <c r="C102" s="283">
        <v>1.379123000000007</v>
      </c>
      <c r="D102" s="439">
        <f t="shared" si="4"/>
        <v>17.864321221123959</v>
      </c>
    </row>
    <row r="103" spans="1:4" ht="16.5" hidden="1" thickBot="1">
      <c r="A103" s="220">
        <v>2004</v>
      </c>
      <c r="B103" s="262" t="s">
        <v>59</v>
      </c>
      <c r="C103" s="283">
        <v>1.1818499999999972</v>
      </c>
      <c r="D103" s="439">
        <f t="shared" si="4"/>
        <v>15.141369045045639</v>
      </c>
    </row>
    <row r="104" spans="1:4" ht="16.5" hidden="1" thickBot="1">
      <c r="A104" s="220">
        <v>2004</v>
      </c>
      <c r="B104" s="262" t="s">
        <v>60</v>
      </c>
      <c r="C104" s="283">
        <v>1.2278049999999894</v>
      </c>
      <c r="D104" s="439">
        <f t="shared" si="4"/>
        <v>15.770481010838644</v>
      </c>
    </row>
    <row r="105" spans="1:4" ht="16.5" hidden="1" thickBot="1">
      <c r="A105" s="220">
        <v>2004</v>
      </c>
      <c r="B105" s="262" t="s">
        <v>75</v>
      </c>
      <c r="C105" s="283">
        <v>1.229889</v>
      </c>
      <c r="D105" s="439">
        <f t="shared" si="4"/>
        <v>15.799084970324696</v>
      </c>
    </row>
    <row r="106" spans="1:4" ht="16.5" hidden="1" thickBot="1">
      <c r="A106" s="220">
        <v>2004</v>
      </c>
      <c r="B106" s="262" t="s">
        <v>76</v>
      </c>
      <c r="C106" s="283">
        <v>1.2868890000000022</v>
      </c>
      <c r="D106" s="439">
        <f t="shared" si="4"/>
        <v>16.583955245619663</v>
      </c>
    </row>
    <row r="107" spans="1:4" ht="16.5" hidden="1" thickBot="1">
      <c r="A107" s="220">
        <v>2004</v>
      </c>
      <c r="B107" s="262" t="s">
        <v>63</v>
      </c>
      <c r="C107" s="283">
        <v>1.2935860000000048</v>
      </c>
      <c r="D107" s="439">
        <f t="shared" si="4"/>
        <v>16.676490034315215</v>
      </c>
    </row>
    <row r="108" spans="1:4" ht="16.5" hidden="1" thickBot="1">
      <c r="A108" s="220">
        <v>2004</v>
      </c>
      <c r="B108" s="262" t="s">
        <v>64</v>
      </c>
      <c r="C108" s="283">
        <v>1.2513269999999892</v>
      </c>
      <c r="D108" s="439">
        <f t="shared" si="4"/>
        <v>16.093708747497516</v>
      </c>
    </row>
    <row r="109" spans="1:4" ht="16.5" hidden="1" thickBot="1">
      <c r="A109" s="220">
        <v>2004</v>
      </c>
      <c r="B109" s="262" t="s">
        <v>65</v>
      </c>
      <c r="C109" s="283">
        <v>1.2132239999999967</v>
      </c>
      <c r="D109" s="439">
        <f t="shared" si="4"/>
        <v>15.570530488681422</v>
      </c>
    </row>
    <row r="110" spans="1:4" ht="16.5" hidden="1" thickBot="1">
      <c r="A110" s="220">
        <v>2004</v>
      </c>
      <c r="B110" s="262" t="s">
        <v>66</v>
      </c>
      <c r="C110" s="283">
        <v>1.2509859999999975</v>
      </c>
      <c r="D110" s="439">
        <f t="shared" si="4"/>
        <v>16.08901699015659</v>
      </c>
    </row>
    <row r="111" spans="1:4" ht="16.5" hidden="1" thickBot="1">
      <c r="A111" s="220">
        <v>2004</v>
      </c>
      <c r="B111" s="262" t="s">
        <v>55</v>
      </c>
      <c r="C111" s="283">
        <v>1.4828229999999962</v>
      </c>
      <c r="D111" s="439">
        <f t="shared" si="4"/>
        <v>19.319239467026783</v>
      </c>
    </row>
    <row r="112" spans="1:4" ht="16.5" hidden="1" thickBot="1">
      <c r="A112" s="220">
        <v>2005</v>
      </c>
      <c r="B112" s="262" t="s">
        <v>56</v>
      </c>
      <c r="C112" s="283">
        <v>1.3838819999999856</v>
      </c>
      <c r="D112" s="439">
        <f>100*((1+C112/100)^12-1)</f>
        <v>17.930732663308071</v>
      </c>
    </row>
    <row r="113" spans="1:4" ht="16.5" hidden="1" thickBot="1">
      <c r="A113" s="220">
        <v>2005</v>
      </c>
      <c r="B113" s="262" t="s">
        <v>57</v>
      </c>
      <c r="C113" s="283">
        <v>1.2181860000000029</v>
      </c>
      <c r="D113" s="439">
        <f t="shared" si="4"/>
        <v>15.638539264864804</v>
      </c>
    </row>
    <row r="114" spans="1:4" ht="16.5" hidden="1" thickBot="1">
      <c r="A114" s="220">
        <v>2005</v>
      </c>
      <c r="B114" s="262" t="s">
        <v>58</v>
      </c>
      <c r="C114" s="283">
        <v>1.5281779999999969</v>
      </c>
      <c r="D114" s="439">
        <f t="shared" si="4"/>
        <v>19.960732820765493</v>
      </c>
    </row>
    <row r="115" spans="1:4" ht="16.5" hidden="1" thickBot="1">
      <c r="A115" s="220">
        <v>2005</v>
      </c>
      <c r="B115" s="262" t="s">
        <v>59</v>
      </c>
      <c r="C115" s="283">
        <v>1.4115289999999874</v>
      </c>
      <c r="D115" s="439">
        <f t="shared" si="4"/>
        <v>18.317223151378425</v>
      </c>
    </row>
    <row r="116" spans="1:4" ht="16.5" hidden="1" thickBot="1">
      <c r="A116" s="220">
        <v>2005</v>
      </c>
      <c r="B116" s="262" t="s">
        <v>60</v>
      </c>
      <c r="C116" s="283">
        <v>1.5030649999999923</v>
      </c>
      <c r="D116" s="439">
        <f t="shared" si="4"/>
        <v>19.60514930436732</v>
      </c>
    </row>
    <row r="117" spans="1:4" ht="16.5" hidden="1" thickBot="1">
      <c r="A117" s="220">
        <v>2005</v>
      </c>
      <c r="B117" s="262" t="s">
        <v>61</v>
      </c>
      <c r="C117" s="283">
        <v>1.5856029999999919</v>
      </c>
      <c r="D117" s="439">
        <f t="shared" si="4"/>
        <v>20.777477345640239</v>
      </c>
    </row>
    <row r="118" spans="1:4" ht="16.5" hidden="1" thickBot="1">
      <c r="A118" s="220">
        <v>2005</v>
      </c>
      <c r="B118" s="262" t="s">
        <v>62</v>
      </c>
      <c r="C118" s="283">
        <v>1.5113450000000057</v>
      </c>
      <c r="D118" s="439">
        <f t="shared" si="4"/>
        <v>19.722281736802927</v>
      </c>
    </row>
    <row r="119" spans="1:4" ht="16.5" hidden="1" thickBot="1">
      <c r="A119" s="220">
        <v>2005</v>
      </c>
      <c r="B119" s="262" t="s">
        <v>63</v>
      </c>
      <c r="C119" s="283">
        <v>1.6584830000000039</v>
      </c>
      <c r="D119" s="439">
        <f t="shared" si="4"/>
        <v>21.821374640696224</v>
      </c>
    </row>
    <row r="120" spans="1:4" ht="16.5" hidden="1" thickBot="1">
      <c r="A120" s="220">
        <v>2005</v>
      </c>
      <c r="B120" s="262" t="s">
        <v>64</v>
      </c>
      <c r="C120" s="283">
        <v>1.503136000000012</v>
      </c>
      <c r="D120" s="439">
        <f>100*((1+C120/100)^12-1)</f>
        <v>19.606153254142189</v>
      </c>
    </row>
    <row r="121" spans="1:4" ht="16.5" hidden="1" thickBot="1">
      <c r="A121" s="220">
        <v>2005</v>
      </c>
      <c r="B121" s="262" t="s">
        <v>78</v>
      </c>
      <c r="C121" s="283">
        <v>1.4071640000000087</v>
      </c>
      <c r="D121" s="439">
        <f t="shared" si="4"/>
        <v>18.256125667935329</v>
      </c>
    </row>
    <row r="122" spans="1:4" ht="16.5" hidden="1" thickBot="1">
      <c r="A122" s="220">
        <v>2005</v>
      </c>
      <c r="B122" s="262" t="s">
        <v>66</v>
      </c>
      <c r="C122" s="283">
        <v>1.3810410000000104</v>
      </c>
      <c r="D122" s="439">
        <f t="shared" si="4"/>
        <v>17.891082623584566</v>
      </c>
    </row>
    <row r="123" spans="1:4" ht="16.5" hidden="1" thickBot="1">
      <c r="A123" s="220">
        <v>2005</v>
      </c>
      <c r="B123" s="262" t="s">
        <v>69</v>
      </c>
      <c r="C123" s="283">
        <v>1.4735720000000043</v>
      </c>
      <c r="D123" s="439">
        <f t="shared" si="4"/>
        <v>19.18878164224531</v>
      </c>
    </row>
    <row r="124" spans="1:4" ht="16.5" hidden="1" thickBot="1">
      <c r="A124" s="220">
        <v>2006</v>
      </c>
      <c r="B124" s="262" t="s">
        <v>70</v>
      </c>
      <c r="C124" s="283">
        <v>1.4293169999999975</v>
      </c>
      <c r="D124" s="439">
        <f t="shared" si="4"/>
        <v>18.566503487243313</v>
      </c>
    </row>
    <row r="125" spans="1:4" ht="16.5" hidden="1" thickBot="1">
      <c r="A125" s="220">
        <v>2006</v>
      </c>
      <c r="B125" s="262" t="s">
        <v>57</v>
      </c>
      <c r="C125" s="283">
        <v>1.1450629999999933</v>
      </c>
      <c r="D125" s="439">
        <f t="shared" si="4"/>
        <v>14.64002467999126</v>
      </c>
    </row>
    <row r="126" spans="1:4" ht="16.5" hidden="1" thickBot="1">
      <c r="A126" s="220">
        <v>2006</v>
      </c>
      <c r="B126" s="262" t="s">
        <v>58</v>
      </c>
      <c r="C126" s="283">
        <v>1.422302000000002</v>
      </c>
      <c r="D126" s="439">
        <f t="shared" si="4"/>
        <v>18.468138115100817</v>
      </c>
    </row>
    <row r="127" spans="1:4" ht="16.5" hidden="1" thickBot="1">
      <c r="A127" s="220">
        <v>2006</v>
      </c>
      <c r="B127" s="262" t="s">
        <v>73</v>
      </c>
      <c r="C127" s="283">
        <v>1.0778780000000125</v>
      </c>
      <c r="D127" s="439">
        <f t="shared" ref="D127:D190" si="5">100*((1+C127/100)^12-1)</f>
        <v>13.729568311122486</v>
      </c>
    </row>
    <row r="128" spans="1:4" ht="16.5" hidden="1" thickBot="1">
      <c r="A128" s="220">
        <v>2006</v>
      </c>
      <c r="B128" s="262" t="s">
        <v>74</v>
      </c>
      <c r="C128" s="283">
        <v>1.2813659999999913</v>
      </c>
      <c r="D128" s="439">
        <f t="shared" si="5"/>
        <v>16.507692647078144</v>
      </c>
    </row>
    <row r="129" spans="1:4" ht="16.5" hidden="1" thickBot="1">
      <c r="A129" s="220">
        <v>2006</v>
      </c>
      <c r="B129" s="262" t="s">
        <v>75</v>
      </c>
      <c r="C129" s="283">
        <v>1.1843940000000117</v>
      </c>
      <c r="D129" s="439">
        <f t="shared" si="5"/>
        <v>15.176113634456122</v>
      </c>
    </row>
    <row r="130" spans="1:4" ht="16.5" hidden="1" thickBot="1">
      <c r="A130" s="220">
        <v>2006</v>
      </c>
      <c r="B130" s="262" t="s">
        <v>76</v>
      </c>
      <c r="C130" s="283">
        <v>1.1699659999999881</v>
      </c>
      <c r="D130" s="439">
        <f t="shared" si="5"/>
        <v>14.979190972832956</v>
      </c>
    </row>
    <row r="131" spans="1:4" ht="16.5" hidden="1" thickBot="1">
      <c r="A131" s="220">
        <v>2006</v>
      </c>
      <c r="B131" s="262" t="s">
        <v>77</v>
      </c>
      <c r="C131" s="283">
        <v>1.2562649999999991</v>
      </c>
      <c r="D131" s="439">
        <f t="shared" si="5"/>
        <v>16.16166928248084</v>
      </c>
    </row>
    <row r="132" spans="1:4" ht="16.5" hidden="1" thickBot="1">
      <c r="A132" s="220">
        <v>2006</v>
      </c>
      <c r="B132" s="262" t="s">
        <v>79</v>
      </c>
      <c r="C132" s="283">
        <v>1.0573100000000011</v>
      </c>
      <c r="D132" s="439">
        <f t="shared" si="5"/>
        <v>13.452169503512845</v>
      </c>
    </row>
    <row r="133" spans="1:4" ht="16.5" hidden="1" thickBot="1">
      <c r="A133" s="220">
        <v>2006</v>
      </c>
      <c r="B133" s="262" t="s">
        <v>78</v>
      </c>
      <c r="C133" s="283">
        <v>1.0942440000000033</v>
      </c>
      <c r="D133" s="439">
        <f t="shared" si="5"/>
        <v>13.950739145818169</v>
      </c>
    </row>
    <row r="134" spans="1:4" ht="16.5" hidden="1" thickBot="1">
      <c r="A134" s="220">
        <v>2006</v>
      </c>
      <c r="B134" s="262" t="s">
        <v>68</v>
      </c>
      <c r="C134" s="283">
        <v>1.0206050000000033</v>
      </c>
      <c r="D134" s="439">
        <f t="shared" si="5"/>
        <v>12.958672909297398</v>
      </c>
    </row>
    <row r="135" spans="1:4" ht="16.5" hidden="1" thickBot="1">
      <c r="A135" s="220">
        <v>2006</v>
      </c>
      <c r="B135" s="262" t="s">
        <v>55</v>
      </c>
      <c r="C135" s="283">
        <v>0.98788599999998894</v>
      </c>
      <c r="D135" s="439">
        <f t="shared" si="5"/>
        <v>12.52042748166058</v>
      </c>
    </row>
    <row r="136" spans="1:4" ht="16.5" hidden="1" thickBot="1">
      <c r="A136" s="220">
        <v>2007</v>
      </c>
      <c r="B136" s="262" t="s">
        <v>70</v>
      </c>
      <c r="C136" s="283">
        <v>1.0828030000000126</v>
      </c>
      <c r="D136" s="439">
        <f t="shared" si="5"/>
        <v>13.796083548298954</v>
      </c>
    </row>
    <row r="137" spans="1:4" ht="16.5" hidden="1" thickBot="1">
      <c r="A137" s="220">
        <v>2007</v>
      </c>
      <c r="B137" s="262" t="s">
        <v>57</v>
      </c>
      <c r="C137" s="283">
        <v>0.87248400000000004</v>
      </c>
      <c r="D137" s="439">
        <f t="shared" si="5"/>
        <v>10.987121089993423</v>
      </c>
    </row>
    <row r="138" spans="1:4" ht="16.5" hidden="1" thickBot="1">
      <c r="A138" s="220">
        <v>2007</v>
      </c>
      <c r="B138" s="262" t="s">
        <v>72</v>
      </c>
      <c r="C138" s="283">
        <v>1.0522230000000121</v>
      </c>
      <c r="D138" s="439">
        <f t="shared" si="5"/>
        <v>13.383657318121124</v>
      </c>
    </row>
    <row r="139" spans="1:4" ht="16.5" hidden="1" thickBot="1">
      <c r="A139" s="220">
        <v>2007</v>
      </c>
      <c r="B139" s="262" t="s">
        <v>73</v>
      </c>
      <c r="C139" s="283">
        <v>0.94482299999999952</v>
      </c>
      <c r="D139" s="439">
        <f t="shared" si="5"/>
        <v>11.946007783387881</v>
      </c>
    </row>
    <row r="140" spans="1:4" ht="16.5" hidden="1" thickBot="1">
      <c r="A140" s="220">
        <v>2007</v>
      </c>
      <c r="B140" s="262" t="s">
        <v>74</v>
      </c>
      <c r="C140" s="283">
        <v>1.0280770000000103</v>
      </c>
      <c r="D140" s="439">
        <f t="shared" si="5"/>
        <v>13.058973711781817</v>
      </c>
    </row>
    <row r="141" spans="1:4" ht="16.5" hidden="1" thickBot="1">
      <c r="A141" s="220">
        <v>2007</v>
      </c>
      <c r="B141" s="262" t="s">
        <v>75</v>
      </c>
      <c r="C141" s="283">
        <v>0.90562899999999047</v>
      </c>
      <c r="D141" s="439">
        <f t="shared" si="5"/>
        <v>11.425534824116546</v>
      </c>
    </row>
    <row r="142" spans="1:4" ht="16.5" hidden="1" thickBot="1">
      <c r="A142" s="220">
        <v>2007</v>
      </c>
      <c r="B142" s="262" t="s">
        <v>76</v>
      </c>
      <c r="C142" s="283">
        <v>0.97263299999998765</v>
      </c>
      <c r="D142" s="439">
        <f t="shared" si="5"/>
        <v>12.316658597018538</v>
      </c>
    </row>
    <row r="143" spans="1:4" ht="16.5" hidden="1" thickBot="1">
      <c r="A143" s="220">
        <v>2007</v>
      </c>
      <c r="B143" s="262" t="s">
        <v>77</v>
      </c>
      <c r="C143" s="283">
        <v>0.99263499999999283</v>
      </c>
      <c r="D143" s="439">
        <f t="shared" si="5"/>
        <v>12.5839397811637</v>
      </c>
    </row>
    <row r="144" spans="1:4" ht="16.5" hidden="1" thickBot="1">
      <c r="A144" s="220">
        <v>2007</v>
      </c>
      <c r="B144" s="262" t="s">
        <v>79</v>
      </c>
      <c r="C144" s="283">
        <v>0.80496100000000581</v>
      </c>
      <c r="D144" s="439">
        <f t="shared" si="5"/>
        <v>10.098872444666851</v>
      </c>
    </row>
    <row r="145" spans="1:4" ht="16.5" hidden="1" thickBot="1">
      <c r="A145" s="220">
        <v>2007</v>
      </c>
      <c r="B145" s="262" t="s">
        <v>78</v>
      </c>
      <c r="C145" s="283">
        <v>0.9294930000000079</v>
      </c>
      <c r="D145" s="439">
        <f t="shared" si="5"/>
        <v>11.7421697388002</v>
      </c>
    </row>
    <row r="146" spans="1:4" ht="16.5" hidden="1" thickBot="1">
      <c r="A146" s="220">
        <v>2007</v>
      </c>
      <c r="B146" s="262" t="s">
        <v>68</v>
      </c>
      <c r="C146" s="283">
        <v>0.84466999999999359</v>
      </c>
      <c r="D146" s="439">
        <f t="shared" si="5"/>
        <v>10.620442081067516</v>
      </c>
    </row>
    <row r="147" spans="1:4" ht="16.5" hidden="1" thickBot="1">
      <c r="A147" s="220">
        <v>2007</v>
      </c>
      <c r="B147" s="262" t="s">
        <v>69</v>
      </c>
      <c r="C147" s="283">
        <v>0.84466999999999359</v>
      </c>
      <c r="D147" s="439">
        <f t="shared" si="5"/>
        <v>10.620442081067516</v>
      </c>
    </row>
    <row r="148" spans="1:4" ht="16.5" hidden="1" thickBot="1">
      <c r="A148" s="220">
        <v>2008</v>
      </c>
      <c r="B148" s="262" t="s">
        <v>70</v>
      </c>
      <c r="C148" s="283">
        <v>0.92938399999999888</v>
      </c>
      <c r="D148" s="439">
        <f t="shared" si="5"/>
        <v>11.740721620063654</v>
      </c>
    </row>
    <row r="149" spans="1:4" ht="16.5" hidden="1" thickBot="1">
      <c r="A149" s="220">
        <v>2008</v>
      </c>
      <c r="B149" s="262" t="s">
        <v>71</v>
      </c>
      <c r="C149" s="283">
        <v>0.80223200000000361</v>
      </c>
      <c r="D149" s="439">
        <f t="shared" si="5"/>
        <v>10.063110503600491</v>
      </c>
    </row>
    <row r="150" spans="1:4" ht="16.5" hidden="1" thickBot="1">
      <c r="A150" s="220">
        <v>2008</v>
      </c>
      <c r="B150" s="262" t="s">
        <v>72</v>
      </c>
      <c r="C150" s="283">
        <v>0.84459800000000484</v>
      </c>
      <c r="D150" s="439">
        <f t="shared" si="5"/>
        <v>10.619494329573854</v>
      </c>
    </row>
    <row r="151" spans="1:4" ht="16.5" hidden="1" thickBot="1">
      <c r="A151" s="220">
        <v>2008</v>
      </c>
      <c r="B151" s="262" t="s">
        <v>73</v>
      </c>
      <c r="C151" s="283">
        <v>0.90142600000000073</v>
      </c>
      <c r="D151" s="439">
        <f t="shared" si="5"/>
        <v>11.369853381427685</v>
      </c>
    </row>
    <row r="152" spans="1:4" ht="16.5" hidden="1" thickBot="1">
      <c r="A152" s="220">
        <v>2008</v>
      </c>
      <c r="B152" s="262" t="s">
        <v>74</v>
      </c>
      <c r="C152" s="283">
        <v>0.8767830000000032</v>
      </c>
      <c r="D152" s="439">
        <f t="shared" si="5"/>
        <v>11.043895203679256</v>
      </c>
    </row>
    <row r="153" spans="1:4" ht="16.5" hidden="1" thickBot="1">
      <c r="A153" s="220">
        <v>2008</v>
      </c>
      <c r="B153" s="262" t="s">
        <v>75</v>
      </c>
      <c r="C153" s="283">
        <v>0.95559199999999578</v>
      </c>
      <c r="D153" s="439">
        <f t="shared" si="5"/>
        <v>12.089403448010238</v>
      </c>
    </row>
    <row r="154" spans="1:4" ht="16.5" hidden="1" thickBot="1">
      <c r="A154" s="220">
        <v>2008</v>
      </c>
      <c r="B154" s="262" t="s">
        <v>76</v>
      </c>
      <c r="C154" s="283">
        <v>1.0696709999999996</v>
      </c>
      <c r="D154" s="439">
        <f t="shared" si="5"/>
        <v>13.618806762331094</v>
      </c>
    </row>
    <row r="155" spans="1:4" ht="16.5" hidden="1" thickBot="1">
      <c r="A155" s="220">
        <v>2008</v>
      </c>
      <c r="B155" s="262" t="s">
        <v>77</v>
      </c>
      <c r="C155" s="283">
        <v>1.0176569999999998</v>
      </c>
      <c r="D155" s="439">
        <f t="shared" si="5"/>
        <v>12.91912271351876</v>
      </c>
    </row>
    <row r="156" spans="1:4" ht="16.5" hidden="1" thickBot="1">
      <c r="A156" s="220">
        <v>2008</v>
      </c>
      <c r="B156" s="262" t="s">
        <v>79</v>
      </c>
      <c r="C156" s="283">
        <v>1.1030909999999921</v>
      </c>
      <c r="D156" s="439">
        <f t="shared" si="5"/>
        <v>14.070461992751792</v>
      </c>
    </row>
    <row r="157" spans="1:4" ht="16.5" hidden="1" thickBot="1">
      <c r="A157" s="220">
        <v>2008</v>
      </c>
      <c r="B157" s="262" t="s">
        <v>78</v>
      </c>
      <c r="C157" s="283">
        <v>1.1758769999999856</v>
      </c>
      <c r="D157" s="439">
        <f t="shared" si="5"/>
        <v>15.059830767475813</v>
      </c>
    </row>
    <row r="158" spans="1:4" ht="16.5" hidden="1" thickBot="1">
      <c r="A158" s="220">
        <v>2008</v>
      </c>
      <c r="B158" s="262" t="s">
        <v>68</v>
      </c>
      <c r="C158" s="283">
        <v>1.0199690000000032</v>
      </c>
      <c r="D158" s="439">
        <f t="shared" si="5"/>
        <v>12.950139296370921</v>
      </c>
    </row>
    <row r="159" spans="1:4" ht="16.5" hidden="1" thickBot="1">
      <c r="A159" s="220">
        <v>2008</v>
      </c>
      <c r="B159" s="262" t="s">
        <v>69</v>
      </c>
      <c r="C159" s="283">
        <v>1.124093000000002</v>
      </c>
      <c r="D159" s="439">
        <f t="shared" si="5"/>
        <v>14.35513540818485</v>
      </c>
    </row>
    <row r="160" spans="1:4" ht="16.5" hidden="1" thickBot="1">
      <c r="A160" s="220">
        <v>2009</v>
      </c>
      <c r="B160" s="262" t="s">
        <v>70</v>
      </c>
      <c r="C160" s="283">
        <v>1.0478070000000059</v>
      </c>
      <c r="D160" s="439">
        <f t="shared" si="5"/>
        <v>13.324212976676474</v>
      </c>
    </row>
    <row r="161" spans="1:4" ht="16.5" hidden="1" thickBot="1">
      <c r="A161" s="220">
        <v>2009</v>
      </c>
      <c r="B161" s="262" t="s">
        <v>57</v>
      </c>
      <c r="C161" s="283">
        <v>0.85508600000000001</v>
      </c>
      <c r="D161" s="439">
        <f t="shared" si="5"/>
        <v>10.757628584611201</v>
      </c>
    </row>
    <row r="162" spans="1:4" ht="16.5" hidden="1" thickBot="1">
      <c r="A162" s="220">
        <v>2009</v>
      </c>
      <c r="B162" s="262" t="s">
        <v>58</v>
      </c>
      <c r="C162" s="283">
        <v>0.97088400000001229</v>
      </c>
      <c r="D162" s="439">
        <f t="shared" si="5"/>
        <v>12.293314871127702</v>
      </c>
    </row>
    <row r="163" spans="1:4" ht="16.5" hidden="1" thickBot="1">
      <c r="A163" s="220">
        <v>2009</v>
      </c>
      <c r="B163" s="262" t="s">
        <v>59</v>
      </c>
      <c r="C163" s="283">
        <v>0.83956700000000239</v>
      </c>
      <c r="D163" s="439">
        <f t="shared" si="5"/>
        <v>10.553288621970115</v>
      </c>
    </row>
    <row r="164" spans="1:4" ht="16.5" hidden="1" thickBot="1">
      <c r="A164" s="220">
        <v>2009</v>
      </c>
      <c r="B164" s="262" t="s">
        <v>60</v>
      </c>
      <c r="C164" s="283">
        <v>0.77089300000000094</v>
      </c>
      <c r="D164" s="439">
        <f t="shared" si="5"/>
        <v>9.6531938743254173</v>
      </c>
    </row>
    <row r="165" spans="1:4" ht="16.5" hidden="1" thickBot="1">
      <c r="A165" s="220">
        <v>2009</v>
      </c>
      <c r="B165" s="262" t="s">
        <v>75</v>
      </c>
      <c r="C165" s="283">
        <v>0.7621819999999957</v>
      </c>
      <c r="D165" s="439">
        <f t="shared" si="5"/>
        <v>9.5395021199710541</v>
      </c>
    </row>
    <row r="166" spans="1:4" ht="16.5" hidden="1" thickBot="1">
      <c r="A166" s="220">
        <v>2009</v>
      </c>
      <c r="B166" s="262" t="s">
        <v>76</v>
      </c>
      <c r="C166" s="283">
        <v>0.79014300000000048</v>
      </c>
      <c r="D166" s="439">
        <f t="shared" si="5"/>
        <v>9.9048192876302501</v>
      </c>
    </row>
    <row r="167" spans="1:4" ht="16.5" hidden="1" thickBot="1">
      <c r="A167" s="220">
        <v>2009</v>
      </c>
      <c r="B167" s="262" t="s">
        <v>77</v>
      </c>
      <c r="C167" s="283">
        <v>0.69374900000001105</v>
      </c>
      <c r="D167" s="439">
        <f t="shared" si="5"/>
        <v>8.6500994518709398</v>
      </c>
    </row>
    <row r="168" spans="1:4" ht="16.5" hidden="1" thickBot="1">
      <c r="A168" s="220">
        <v>2009</v>
      </c>
      <c r="B168" s="262" t="s">
        <v>79</v>
      </c>
      <c r="C168" s="283">
        <v>0.69374900000001105</v>
      </c>
      <c r="D168" s="439">
        <f t="shared" si="5"/>
        <v>8.6500994518709398</v>
      </c>
    </row>
    <row r="169" spans="1:4" ht="16.5" hidden="1" thickBot="1">
      <c r="A169" s="220">
        <v>2009</v>
      </c>
      <c r="B169" s="262" t="s">
        <v>78</v>
      </c>
      <c r="C169" s="283">
        <v>0.69374900000001105</v>
      </c>
      <c r="D169" s="439">
        <f t="shared" si="5"/>
        <v>8.6500994518709398</v>
      </c>
    </row>
    <row r="170" spans="1:4" ht="16.5" hidden="1" thickBot="1">
      <c r="A170" s="220">
        <v>2009</v>
      </c>
      <c r="B170" s="262" t="s">
        <v>68</v>
      </c>
      <c r="C170" s="283">
        <v>0.66060400000000641</v>
      </c>
      <c r="D170" s="439">
        <f t="shared" si="5"/>
        <v>8.2217080115880812</v>
      </c>
    </row>
    <row r="171" spans="1:4" ht="16.5" hidden="1" thickBot="1">
      <c r="A171" s="220">
        <v>2009</v>
      </c>
      <c r="B171" s="262" t="s">
        <v>55</v>
      </c>
      <c r="C171" s="283">
        <v>0.7268669999999986</v>
      </c>
      <c r="D171" s="439">
        <f t="shared" si="5"/>
        <v>9.0796939680345634</v>
      </c>
    </row>
    <row r="172" spans="1:4" ht="16.5" hidden="1" thickBot="1">
      <c r="A172" s="220">
        <v>2010</v>
      </c>
      <c r="B172" s="262" t="s">
        <v>70</v>
      </c>
      <c r="C172" s="283">
        <v>0.66056699999998614</v>
      </c>
      <c r="D172" s="439">
        <f t="shared" si="5"/>
        <v>8.2212306615690132</v>
      </c>
    </row>
    <row r="173" spans="1:4" ht="16.5" hidden="1" thickBot="1">
      <c r="A173" s="220">
        <v>2010</v>
      </c>
      <c r="B173" s="262" t="s">
        <v>57</v>
      </c>
      <c r="C173" s="283">
        <v>0.59434799999999655</v>
      </c>
      <c r="D173" s="439">
        <f t="shared" si="5"/>
        <v>7.3700020294843904</v>
      </c>
    </row>
    <row r="174" spans="1:4" ht="16.5" hidden="1" thickBot="1">
      <c r="A174" s="220">
        <v>2010</v>
      </c>
      <c r="B174" s="262" t="s">
        <v>72</v>
      </c>
      <c r="C174" s="283">
        <v>0.76006999999999891</v>
      </c>
      <c r="D174" s="439">
        <f t="shared" si="5"/>
        <v>9.5119535986065262</v>
      </c>
    </row>
    <row r="175" spans="1:4" ht="16.5" hidden="1" thickBot="1">
      <c r="A175" s="220">
        <v>2010</v>
      </c>
      <c r="B175" s="262" t="s">
        <v>73</v>
      </c>
      <c r="C175" s="283">
        <v>0.66591300000000331</v>
      </c>
      <c r="D175" s="439">
        <f t="shared" si="5"/>
        <v>8.2902212990618729</v>
      </c>
    </row>
    <row r="176" spans="1:4" ht="16.5" hidden="1" thickBot="1">
      <c r="A176" s="220">
        <v>2010</v>
      </c>
      <c r="B176" s="262" t="s">
        <v>74</v>
      </c>
      <c r="C176" s="283">
        <v>0.75136399999999526</v>
      </c>
      <c r="D176" s="439">
        <f t="shared" si="5"/>
        <v>9.3984612454885763</v>
      </c>
    </row>
    <row r="177" spans="1:4" ht="16.5" hidden="1" thickBot="1">
      <c r="A177" s="220">
        <v>2010</v>
      </c>
      <c r="B177" s="262" t="s">
        <v>75</v>
      </c>
      <c r="C177" s="283">
        <v>0.79257599999999684</v>
      </c>
      <c r="D177" s="439">
        <f t="shared" si="5"/>
        <v>9.9366597738085325</v>
      </c>
    </row>
    <row r="178" spans="1:4" ht="16.5" hidden="1" thickBot="1">
      <c r="A178" s="220">
        <v>2010</v>
      </c>
      <c r="B178" s="262" t="s">
        <v>76</v>
      </c>
      <c r="C178" s="283">
        <v>0.86102999999999952</v>
      </c>
      <c r="D178" s="439">
        <f t="shared" si="5"/>
        <v>10.835985381064361</v>
      </c>
    </row>
    <row r="179" spans="1:4" ht="16.5" hidden="1" thickBot="1">
      <c r="A179" s="220">
        <v>2010</v>
      </c>
      <c r="B179" s="262" t="s">
        <v>77</v>
      </c>
      <c r="C179" s="283">
        <v>0.88820999999998662</v>
      </c>
      <c r="D179" s="439">
        <f t="shared" si="5"/>
        <v>11.1949336571604</v>
      </c>
    </row>
    <row r="180" spans="1:4" ht="16.5" hidden="1" thickBot="1">
      <c r="A180" s="220">
        <v>2010</v>
      </c>
      <c r="B180" s="262" t="s">
        <v>64</v>
      </c>
      <c r="C180" s="283">
        <v>0.84766599999998959</v>
      </c>
      <c r="D180" s="439">
        <f t="shared" si="5"/>
        <v>10.659885673310621</v>
      </c>
    </row>
    <row r="181" spans="1:4" ht="16.5" hidden="1" thickBot="1">
      <c r="A181" s="220">
        <v>2010</v>
      </c>
      <c r="B181" s="262" t="s">
        <v>65</v>
      </c>
      <c r="C181" s="283">
        <v>0.80713800000000901</v>
      </c>
      <c r="D181" s="439">
        <f t="shared" si="5"/>
        <v>10.127408387484781</v>
      </c>
    </row>
    <row r="182" spans="1:4" ht="16.5" hidden="1" thickBot="1">
      <c r="A182" s="220">
        <v>2010</v>
      </c>
      <c r="B182" s="262" t="s">
        <v>66</v>
      </c>
      <c r="C182" s="283">
        <v>0.80713800000000901</v>
      </c>
      <c r="D182" s="439">
        <f t="shared" si="5"/>
        <v>10.127408387484781</v>
      </c>
    </row>
    <row r="183" spans="1:4" ht="16.5" hidden="1" thickBot="1">
      <c r="A183" s="220">
        <v>2010</v>
      </c>
      <c r="B183" s="262" t="s">
        <v>55</v>
      </c>
      <c r="C183" s="283">
        <v>0.92887900000000911</v>
      </c>
      <c r="D183" s="439">
        <f t="shared" si="5"/>
        <v>11.73401267057972</v>
      </c>
    </row>
    <row r="184" spans="1:4">
      <c r="A184" s="263">
        <v>2011</v>
      </c>
      <c r="B184" s="264" t="s">
        <v>56</v>
      </c>
      <c r="C184" s="442">
        <v>0.86231999999999687</v>
      </c>
      <c r="D184" s="443">
        <f t="shared" si="5"/>
        <v>10.85299751896811</v>
      </c>
    </row>
    <row r="185" spans="1:4">
      <c r="A185" s="237">
        <v>2011</v>
      </c>
      <c r="B185" s="267" t="s">
        <v>57</v>
      </c>
      <c r="C185" s="444">
        <v>0.84390799999999899</v>
      </c>
      <c r="D185" s="445">
        <f t="shared" si="5"/>
        <v>10.610412088545452</v>
      </c>
    </row>
    <row r="186" spans="1:4">
      <c r="A186" s="237">
        <v>2011</v>
      </c>
      <c r="B186" s="267" t="s">
        <v>58</v>
      </c>
      <c r="C186" s="444">
        <v>0.92045799999999645</v>
      </c>
      <c r="D186" s="445">
        <f t="shared" si="5"/>
        <v>11.622193678122938</v>
      </c>
    </row>
    <row r="187" spans="1:4">
      <c r="A187" s="237">
        <v>2011</v>
      </c>
      <c r="B187" s="267" t="s">
        <v>59</v>
      </c>
      <c r="C187" s="444">
        <v>0.84015500000000998</v>
      </c>
      <c r="D187" s="445">
        <f t="shared" si="5"/>
        <v>10.561024563777789</v>
      </c>
    </row>
    <row r="188" spans="1:4">
      <c r="A188" s="237">
        <v>2011</v>
      </c>
      <c r="B188" s="267" t="s">
        <v>60</v>
      </c>
      <c r="C188" s="444">
        <v>0.98798499999999478</v>
      </c>
      <c r="D188" s="445">
        <f t="shared" si="5"/>
        <v>12.521751155161255</v>
      </c>
    </row>
    <row r="189" spans="1:4">
      <c r="A189" s="237">
        <v>2011</v>
      </c>
      <c r="B189" s="267" t="s">
        <v>61</v>
      </c>
      <c r="C189" s="444">
        <v>0.95627599999998836</v>
      </c>
      <c r="D189" s="445">
        <f t="shared" si="5"/>
        <v>12.098517000711428</v>
      </c>
    </row>
    <row r="190" spans="1:4">
      <c r="A190" s="237">
        <v>2011</v>
      </c>
      <c r="B190" s="267" t="s">
        <v>62</v>
      </c>
      <c r="C190" s="444">
        <v>0.96788499999999544</v>
      </c>
      <c r="D190" s="445">
        <f t="shared" si="5"/>
        <v>12.253297872636182</v>
      </c>
    </row>
    <row r="191" spans="1:4">
      <c r="A191" s="237">
        <v>2011</v>
      </c>
      <c r="B191" s="267" t="s">
        <v>63</v>
      </c>
      <c r="C191" s="444">
        <v>1.0740629999999953</v>
      </c>
      <c r="D191" s="445">
        <f t="shared" ref="D191:D254" si="6">100*((1+C191/100)^12-1)</f>
        <v>13.67806882316389</v>
      </c>
    </row>
    <row r="192" spans="1:4">
      <c r="A192" s="237">
        <v>2011</v>
      </c>
      <c r="B192" s="267" t="s">
        <v>64</v>
      </c>
      <c r="C192" s="444">
        <v>0.94176100000001384</v>
      </c>
      <c r="D192" s="445">
        <f t="shared" si="6"/>
        <v>11.905266140452152</v>
      </c>
    </row>
    <row r="193" spans="1:4">
      <c r="A193" s="237">
        <v>2011</v>
      </c>
      <c r="B193" s="267" t="s">
        <v>65</v>
      </c>
      <c r="C193" s="444">
        <v>0.88195499999999072</v>
      </c>
      <c r="D193" s="445">
        <f t="shared" si="6"/>
        <v>11.11223374352004</v>
      </c>
    </row>
    <row r="194" spans="1:4">
      <c r="A194" s="237">
        <v>2011</v>
      </c>
      <c r="B194" s="267" t="s">
        <v>66</v>
      </c>
      <c r="C194" s="444">
        <v>0.86047700000000304</v>
      </c>
      <c r="D194" s="445">
        <f t="shared" si="6"/>
        <v>10.82869331375267</v>
      </c>
    </row>
    <row r="195" spans="1:4">
      <c r="A195" s="237">
        <v>2011</v>
      </c>
      <c r="B195" s="267" t="s">
        <v>55</v>
      </c>
      <c r="C195" s="444">
        <v>0.90732799999999258</v>
      </c>
      <c r="D195" s="445">
        <f t="shared" si="6"/>
        <v>11.448050457943548</v>
      </c>
    </row>
    <row r="196" spans="1:4">
      <c r="A196" s="237">
        <f>2012</f>
        <v>2012</v>
      </c>
      <c r="B196" s="267" t="s">
        <v>56</v>
      </c>
      <c r="C196" s="444">
        <v>0.89101599999999337</v>
      </c>
      <c r="D196" s="445">
        <f t="shared" si="6"/>
        <v>11.232051260967314</v>
      </c>
    </row>
    <row r="197" spans="1:4">
      <c r="A197" s="237">
        <f>2012</f>
        <v>2012</v>
      </c>
      <c r="B197" s="267" t="s">
        <v>57</v>
      </c>
      <c r="C197" s="444">
        <v>0.74877299999999991</v>
      </c>
      <c r="D197" s="445">
        <f t="shared" si="6"/>
        <v>9.3647055149538296</v>
      </c>
    </row>
    <row r="198" spans="1:4">
      <c r="A198" s="237">
        <f>2012</f>
        <v>2012</v>
      </c>
      <c r="B198" s="267" t="s">
        <v>58</v>
      </c>
      <c r="C198" s="444">
        <v>0.82113900000000228</v>
      </c>
      <c r="D198" s="445">
        <f t="shared" si="6"/>
        <v>10.311094454628101</v>
      </c>
    </row>
    <row r="199" spans="1:4">
      <c r="A199" s="237">
        <f>2012</f>
        <v>2012</v>
      </c>
      <c r="B199" s="267" t="s">
        <v>59</v>
      </c>
      <c r="C199" s="444">
        <v>0.71187600000000373</v>
      </c>
      <c r="D199" s="445">
        <f t="shared" si="6"/>
        <v>8.8850437152766304</v>
      </c>
    </row>
    <row r="200" spans="1:4">
      <c r="A200" s="237">
        <f>2012</f>
        <v>2012</v>
      </c>
      <c r="B200" s="267" t="s">
        <v>60</v>
      </c>
      <c r="C200" s="444">
        <v>0.74472400000000505</v>
      </c>
      <c r="D200" s="445">
        <f t="shared" si="6"/>
        <v>9.3119739754414574</v>
      </c>
    </row>
    <row r="201" spans="1:4">
      <c r="A201" s="237">
        <f>2012</f>
        <v>2012</v>
      </c>
      <c r="B201" s="267" t="s">
        <v>61</v>
      </c>
      <c r="C201" s="444">
        <v>0.64150300000001437</v>
      </c>
      <c r="D201" s="445">
        <f t="shared" si="6"/>
        <v>7.9755358173498658</v>
      </c>
    </row>
    <row r="202" spans="1:4">
      <c r="A202" s="237">
        <f>2012</f>
        <v>2012</v>
      </c>
      <c r="B202" s="267" t="s">
        <v>62</v>
      </c>
      <c r="C202" s="444">
        <v>0.67996500000000992</v>
      </c>
      <c r="D202" s="445">
        <f t="shared" si="6"/>
        <v>8.4717559971473335</v>
      </c>
    </row>
    <row r="203" spans="1:4">
      <c r="A203" s="237">
        <f>2012</f>
        <v>2012</v>
      </c>
      <c r="B203" s="267" t="s">
        <v>63</v>
      </c>
      <c r="C203" s="444">
        <v>0.69181100000000129</v>
      </c>
      <c r="D203" s="445">
        <f t="shared" si="6"/>
        <v>8.6250085273335451</v>
      </c>
    </row>
    <row r="204" spans="1:4">
      <c r="A204" s="237">
        <f>2012</f>
        <v>2012</v>
      </c>
      <c r="B204" s="267" t="s">
        <v>64</v>
      </c>
      <c r="C204" s="444">
        <v>0.5389950000000141</v>
      </c>
      <c r="D204" s="445">
        <f t="shared" si="6"/>
        <v>6.6631673449900841</v>
      </c>
    </row>
    <row r="205" spans="1:4">
      <c r="A205" s="237">
        <f>2012</f>
        <v>2012</v>
      </c>
      <c r="B205" s="267" t="s">
        <v>65</v>
      </c>
      <c r="C205" s="444">
        <v>0.61133900000001518</v>
      </c>
      <c r="D205" s="445">
        <f t="shared" si="6"/>
        <v>7.5878297061461542</v>
      </c>
    </row>
    <row r="206" spans="1:4">
      <c r="A206" s="237">
        <f>2012</f>
        <v>2012</v>
      </c>
      <c r="B206" s="267" t="s">
        <v>66</v>
      </c>
      <c r="C206" s="444">
        <v>0.5488459999999975</v>
      </c>
      <c r="D206" s="445">
        <f t="shared" si="6"/>
        <v>6.7886476472396984</v>
      </c>
    </row>
    <row r="207" spans="1:4">
      <c r="A207" s="237">
        <f>2012</f>
        <v>2012</v>
      </c>
      <c r="B207" s="267" t="s">
        <v>55</v>
      </c>
      <c r="C207" s="444">
        <v>0.55015199999999709</v>
      </c>
      <c r="D207" s="445">
        <f t="shared" si="6"/>
        <v>6.8052934001804344</v>
      </c>
    </row>
    <row r="208" spans="1:4">
      <c r="A208" s="237">
        <f>2013</f>
        <v>2013</v>
      </c>
      <c r="B208" s="267" t="s">
        <v>56</v>
      </c>
      <c r="C208" s="444">
        <v>0.60143999999999664</v>
      </c>
      <c r="D208" s="445">
        <f t="shared" si="6"/>
        <v>7.4608735429171569</v>
      </c>
    </row>
    <row r="209" spans="1:4">
      <c r="A209" s="237">
        <f>2013</f>
        <v>2013</v>
      </c>
      <c r="B209" s="267" t="s">
        <v>57</v>
      </c>
      <c r="C209" s="444">
        <v>0.49275000000000091</v>
      </c>
      <c r="D209" s="445">
        <f t="shared" si="6"/>
        <v>6.0759112056028242</v>
      </c>
    </row>
    <row r="210" spans="1:4">
      <c r="A210" s="237">
        <f>2013</f>
        <v>2013</v>
      </c>
      <c r="B210" s="267" t="s">
        <v>58</v>
      </c>
      <c r="C210" s="444">
        <v>0.54940400000000977</v>
      </c>
      <c r="D210" s="445">
        <f t="shared" si="6"/>
        <v>6.7957594007684641</v>
      </c>
    </row>
    <row r="211" spans="1:4">
      <c r="A211" s="237">
        <f>2013</f>
        <v>2013</v>
      </c>
      <c r="B211" s="267" t="s">
        <v>59</v>
      </c>
      <c r="C211" s="444">
        <v>0.6136460000000028</v>
      </c>
      <c r="D211" s="445">
        <f t="shared" si="6"/>
        <v>7.6174370760671462</v>
      </c>
    </row>
    <row r="212" spans="1:4">
      <c r="A212" s="237">
        <f>2013</f>
        <v>2013</v>
      </c>
      <c r="B212" s="267" t="s">
        <v>60</v>
      </c>
      <c r="C212" s="444">
        <v>0.59853599999999574</v>
      </c>
      <c r="D212" s="445">
        <f t="shared" si="6"/>
        <v>7.4236553675576911</v>
      </c>
    </row>
    <row r="213" spans="1:4">
      <c r="A213" s="237">
        <f>2013</f>
        <v>2013</v>
      </c>
      <c r="B213" s="267" t="s">
        <v>61</v>
      </c>
      <c r="C213" s="444">
        <v>0.60527299999999684</v>
      </c>
      <c r="D213" s="445">
        <f t="shared" si="6"/>
        <v>7.5100160427817197</v>
      </c>
    </row>
    <row r="214" spans="1:4">
      <c r="A214" s="237">
        <f>2013</f>
        <v>2013</v>
      </c>
      <c r="B214" s="267" t="s">
        <v>62</v>
      </c>
      <c r="C214" s="444">
        <v>0.72409200000001306</v>
      </c>
      <c r="D214" s="445">
        <f t="shared" si="6"/>
        <v>9.0436380121567961</v>
      </c>
    </row>
    <row r="215" spans="1:4">
      <c r="A215" s="237">
        <f>2013</f>
        <v>2013</v>
      </c>
      <c r="B215" s="267" t="s">
        <v>63</v>
      </c>
      <c r="C215" s="444">
        <v>0.71031500000000847</v>
      </c>
      <c r="D215" s="445">
        <f t="shared" si="6"/>
        <v>8.8647932656394701</v>
      </c>
    </row>
    <row r="216" spans="1:4">
      <c r="A216" s="237">
        <f>2013</f>
        <v>2013</v>
      </c>
      <c r="B216" s="267" t="s">
        <v>64</v>
      </c>
      <c r="C216" s="444">
        <v>0.71302900000000591</v>
      </c>
      <c r="D216" s="445">
        <f t="shared" si="6"/>
        <v>8.9000035034349843</v>
      </c>
    </row>
    <row r="217" spans="1:4">
      <c r="A217" s="237">
        <f>2013</f>
        <v>2013</v>
      </c>
      <c r="B217" s="267" t="s">
        <v>65</v>
      </c>
      <c r="C217" s="444">
        <v>0.81051000000000784</v>
      </c>
      <c r="D217" s="445">
        <f t="shared" si="6"/>
        <v>10.171621678941234</v>
      </c>
    </row>
    <row r="218" spans="1:4">
      <c r="A218" s="237">
        <f>2013</f>
        <v>2013</v>
      </c>
      <c r="B218" s="267" t="s">
        <v>66</v>
      </c>
      <c r="C218" s="444">
        <v>0.71920800000000895</v>
      </c>
      <c r="D218" s="445">
        <f t="shared" si="6"/>
        <v>8.9802060633376932</v>
      </c>
    </row>
    <row r="219" spans="1:4">
      <c r="A219" s="237">
        <f>2013</f>
        <v>2013</v>
      </c>
      <c r="B219" s="267" t="s">
        <v>55</v>
      </c>
      <c r="C219" s="444">
        <v>0.78974599999999384</v>
      </c>
      <c r="D219" s="445">
        <f t="shared" si="6"/>
        <v>9.899624581076738</v>
      </c>
    </row>
    <row r="220" spans="1:4">
      <c r="A220" s="237">
        <f>2014</f>
        <v>2014</v>
      </c>
      <c r="B220" s="267" t="s">
        <v>56</v>
      </c>
      <c r="C220" s="444">
        <v>0.8493440000000021</v>
      </c>
      <c r="D220" s="445">
        <f t="shared" si="6"/>
        <v>10.681982876687425</v>
      </c>
    </row>
    <row r="221" spans="1:4">
      <c r="A221" s="237">
        <f>2014</f>
        <v>2014</v>
      </c>
      <c r="B221" s="267" t="s">
        <v>57</v>
      </c>
      <c r="C221" s="444">
        <v>0.79014600000000712</v>
      </c>
      <c r="D221" s="445">
        <f t="shared" si="6"/>
        <v>9.9048585431964717</v>
      </c>
    </row>
    <row r="222" spans="1:4">
      <c r="A222" s="237">
        <f>2014</f>
        <v>2014</v>
      </c>
      <c r="B222" s="267" t="s">
        <v>58</v>
      </c>
      <c r="C222" s="444">
        <v>0.76595700000000022</v>
      </c>
      <c r="D222" s="445">
        <f t="shared" si="6"/>
        <v>9.5887583185401795</v>
      </c>
    </row>
    <row r="223" spans="1:4">
      <c r="A223" s="237">
        <f>2014</f>
        <v>2014</v>
      </c>
      <c r="B223" s="267" t="s">
        <v>59</v>
      </c>
      <c r="C223" s="444">
        <v>0.82266799999999307</v>
      </c>
      <c r="D223" s="445">
        <f t="shared" si="6"/>
        <v>10.331171164836551</v>
      </c>
    </row>
    <row r="224" spans="1:4">
      <c r="A224" s="237">
        <f>2014</f>
        <v>2014</v>
      </c>
      <c r="B224" s="267" t="s">
        <v>60</v>
      </c>
      <c r="C224" s="444">
        <v>0.86587300000000766</v>
      </c>
      <c r="D224" s="445">
        <f t="shared" si="6"/>
        <v>10.899865806441245</v>
      </c>
    </row>
    <row r="225" spans="1:5">
      <c r="A225" s="237">
        <f>2014</f>
        <v>2014</v>
      </c>
      <c r="B225" s="267" t="s">
        <v>61</v>
      </c>
      <c r="C225" s="444">
        <v>0.82447200000000009</v>
      </c>
      <c r="D225" s="445">
        <f t="shared" si="6"/>
        <v>10.354863101412404</v>
      </c>
    </row>
    <row r="226" spans="1:5">
      <c r="A226" s="237">
        <f>2014</f>
        <v>2014</v>
      </c>
      <c r="B226" s="267" t="s">
        <v>62</v>
      </c>
      <c r="C226" s="444">
        <v>0.94872699999999099</v>
      </c>
      <c r="D226" s="445">
        <f t="shared" si="6"/>
        <v>11.997972432075876</v>
      </c>
    </row>
    <row r="227" spans="1:5">
      <c r="A227" s="237">
        <f>2014</f>
        <v>2014</v>
      </c>
      <c r="B227" s="267" t="s">
        <v>63</v>
      </c>
      <c r="C227" s="444">
        <v>0.86598200000000247</v>
      </c>
      <c r="D227" s="445">
        <f t="shared" si="6"/>
        <v>10.901303932958385</v>
      </c>
    </row>
    <row r="228" spans="1:5">
      <c r="A228" s="237">
        <f>2014</f>
        <v>2014</v>
      </c>
      <c r="B228" s="267" t="s">
        <v>64</v>
      </c>
      <c r="C228" s="444">
        <v>0.90729199999999821</v>
      </c>
      <c r="D228" s="445">
        <f t="shared" si="6"/>
        <v>11.44757333240387</v>
      </c>
    </row>
    <row r="229" spans="1:5">
      <c r="A229" s="237">
        <f>2014</f>
        <v>2014</v>
      </c>
      <c r="B229" s="267" t="s">
        <v>65</v>
      </c>
      <c r="C229" s="444">
        <v>0.95053199999999549</v>
      </c>
      <c r="D229" s="445">
        <f t="shared" si="6"/>
        <v>12.022005569835015</v>
      </c>
    </row>
    <row r="230" spans="1:5">
      <c r="A230" s="237">
        <f>2014</f>
        <v>2014</v>
      </c>
      <c r="B230" s="267" t="s">
        <v>66</v>
      </c>
      <c r="C230" s="444">
        <v>0.8424930000000046</v>
      </c>
      <c r="D230" s="445">
        <f t="shared" si="6"/>
        <v>10.591789051256416</v>
      </c>
    </row>
    <row r="231" spans="1:5">
      <c r="A231" s="237">
        <f>2014</f>
        <v>2014</v>
      </c>
      <c r="B231" s="267" t="s">
        <v>55</v>
      </c>
      <c r="C231" s="444">
        <v>0.96129499999999268</v>
      </c>
      <c r="D231" s="445">
        <f t="shared" si="6"/>
        <v>12.165410472929938</v>
      </c>
      <c r="E231" s="446"/>
    </row>
    <row r="232" spans="1:5">
      <c r="A232" s="237">
        <f>2015</f>
        <v>2015</v>
      </c>
      <c r="B232" s="267" t="s">
        <v>56</v>
      </c>
      <c r="C232" s="444">
        <v>0.93507500000001187</v>
      </c>
      <c r="D232" s="445">
        <f t="shared" si="6"/>
        <v>11.816352363552385</v>
      </c>
      <c r="E232" s="447"/>
    </row>
    <row r="233" spans="1:5">
      <c r="A233" s="237">
        <f>2015</f>
        <v>2015</v>
      </c>
      <c r="B233" s="267" t="s">
        <v>57</v>
      </c>
      <c r="C233" s="444">
        <v>0.82241100000000245</v>
      </c>
      <c r="D233" s="445">
        <f t="shared" si="6"/>
        <v>10.327796362638653</v>
      </c>
      <c r="E233" s="447"/>
    </row>
    <row r="234" spans="1:5">
      <c r="A234" s="237">
        <f>2015</f>
        <v>2015</v>
      </c>
      <c r="B234" s="267" t="s">
        <v>58</v>
      </c>
      <c r="C234" s="444">
        <v>1.0399669999999901</v>
      </c>
      <c r="D234" s="445">
        <f t="shared" si="6"/>
        <v>13.218748109465039</v>
      </c>
      <c r="E234" s="447"/>
    </row>
    <row r="235" spans="1:5">
      <c r="A235" s="237">
        <f>2015</f>
        <v>2015</v>
      </c>
      <c r="B235" s="267" t="s">
        <v>59</v>
      </c>
      <c r="C235" s="444">
        <v>0.95179199999999753</v>
      </c>
      <c r="D235" s="445">
        <f t="shared" si="6"/>
        <v>12.038784966324911</v>
      </c>
      <c r="E235" s="447"/>
    </row>
    <row r="236" spans="1:5">
      <c r="A236" s="237">
        <f>2015</f>
        <v>2015</v>
      </c>
      <c r="B236" s="267" t="s">
        <v>60</v>
      </c>
      <c r="C236" s="444">
        <v>0.98532200000001069</v>
      </c>
      <c r="D236" s="445">
        <f t="shared" si="6"/>
        <v>12.486150646573414</v>
      </c>
      <c r="E236" s="447"/>
    </row>
    <row r="237" spans="1:5">
      <c r="A237" s="237">
        <f>2015</f>
        <v>2015</v>
      </c>
      <c r="B237" s="267" t="s">
        <v>61</v>
      </c>
      <c r="C237" s="444">
        <v>1.0666760000000153</v>
      </c>
      <c r="D237" s="445">
        <f t="shared" si="6"/>
        <v>13.578410920419381</v>
      </c>
      <c r="E237" s="447"/>
    </row>
    <row r="238" spans="1:5">
      <c r="A238" s="237">
        <f>2015</f>
        <v>2015</v>
      </c>
      <c r="B238" s="267" t="s">
        <v>62</v>
      </c>
      <c r="C238" s="444">
        <v>1.178198000000009</v>
      </c>
      <c r="D238" s="445">
        <f t="shared" si="6"/>
        <v>15.091508780725359</v>
      </c>
      <c r="E238" s="447"/>
    </row>
    <row r="239" spans="1:5">
      <c r="A239" s="237">
        <f>2015</f>
        <v>2015</v>
      </c>
      <c r="B239" s="267" t="s">
        <v>63</v>
      </c>
      <c r="C239" s="444">
        <v>1.1089649999999978</v>
      </c>
      <c r="D239" s="445">
        <f t="shared" si="6"/>
        <v>14.150016123858844</v>
      </c>
      <c r="E239" s="447"/>
    </row>
    <row r="240" spans="1:5">
      <c r="A240" s="237">
        <f>2015</f>
        <v>2015</v>
      </c>
      <c r="B240" s="267" t="s">
        <v>64</v>
      </c>
      <c r="C240" s="444">
        <v>1.1089649999999978</v>
      </c>
      <c r="D240" s="445">
        <f t="shared" si="6"/>
        <v>14.150016123858844</v>
      </c>
      <c r="E240" s="447"/>
    </row>
    <row r="241" spans="1:5">
      <c r="A241" s="237">
        <f>2015</f>
        <v>2015</v>
      </c>
      <c r="B241" s="267" t="s">
        <v>65</v>
      </c>
      <c r="C241" s="444">
        <v>1.1089649999999978</v>
      </c>
      <c r="D241" s="445">
        <f t="shared" si="6"/>
        <v>14.150016123858844</v>
      </c>
    </row>
    <row r="242" spans="1:5">
      <c r="A242" s="237">
        <f>2015</f>
        <v>2015</v>
      </c>
      <c r="B242" s="267" t="s">
        <v>66</v>
      </c>
      <c r="C242" s="444">
        <v>1.0558800000000019</v>
      </c>
      <c r="D242" s="445">
        <f t="shared" si="6"/>
        <v>13.432906298120617</v>
      </c>
    </row>
    <row r="243" spans="1:5">
      <c r="A243" s="237">
        <f>2015</f>
        <v>2015</v>
      </c>
      <c r="B243" s="267" t="s">
        <v>55</v>
      </c>
      <c r="C243" s="444">
        <v>1.1620790000000056</v>
      </c>
      <c r="D243" s="445">
        <f t="shared" si="6"/>
        <v>14.871674618973007</v>
      </c>
      <c r="E243" s="447"/>
    </row>
    <row r="244" spans="1:5">
      <c r="A244" s="237">
        <f>2016</f>
        <v>2016</v>
      </c>
      <c r="B244" s="267" t="s">
        <v>56</v>
      </c>
      <c r="C244" s="444">
        <v>1.0558800000000019</v>
      </c>
      <c r="D244" s="445">
        <f t="shared" si="6"/>
        <v>13.432906298120617</v>
      </c>
      <c r="E244" s="447"/>
    </row>
    <row r="245" spans="1:5">
      <c r="A245" s="237">
        <f>2016</f>
        <v>2016</v>
      </c>
      <c r="B245" s="267" t="s">
        <v>57</v>
      </c>
      <c r="C245" s="444">
        <v>1.0028219999999948</v>
      </c>
      <c r="D245" s="445">
        <f t="shared" si="6"/>
        <v>12.720289812557684</v>
      </c>
      <c r="E245" s="447"/>
    </row>
    <row r="246" spans="1:5">
      <c r="A246" s="237">
        <f>2016</f>
        <v>2016</v>
      </c>
      <c r="B246" s="267" t="s">
        <v>58</v>
      </c>
      <c r="C246" s="444">
        <v>1.1620790000000056</v>
      </c>
      <c r="D246" s="445">
        <f t="shared" si="6"/>
        <v>14.871674618973007</v>
      </c>
      <c r="E246" s="447"/>
    </row>
    <row r="247" spans="1:5">
      <c r="A247" s="237">
        <f>2016</f>
        <v>2016</v>
      </c>
      <c r="B247" s="267" t="s">
        <v>59</v>
      </c>
      <c r="C247" s="444">
        <v>1.0558800000000019</v>
      </c>
      <c r="D247" s="445">
        <f t="shared" si="6"/>
        <v>13.432906298120617</v>
      </c>
      <c r="E247" s="447"/>
    </row>
    <row r="248" spans="1:5">
      <c r="A248" s="237">
        <f>2016</f>
        <v>2016</v>
      </c>
      <c r="B248" s="267" t="s">
        <v>60</v>
      </c>
      <c r="C248" s="444">
        <v>1.1089649999999978</v>
      </c>
      <c r="D248" s="445">
        <f t="shared" si="6"/>
        <v>14.150016123858844</v>
      </c>
      <c r="E248" s="447"/>
    </row>
    <row r="249" spans="1:5">
      <c r="A249" s="237">
        <f>2016</f>
        <v>2016</v>
      </c>
      <c r="B249" s="267" t="s">
        <v>61</v>
      </c>
      <c r="C249" s="444">
        <v>1.1620790000000056</v>
      </c>
      <c r="D249" s="445">
        <f t="shared" si="6"/>
        <v>14.871674618973007</v>
      </c>
      <c r="E249" s="447"/>
    </row>
    <row r="250" spans="1:5">
      <c r="A250" s="237">
        <f>2016</f>
        <v>2016</v>
      </c>
      <c r="B250" s="267" t="s">
        <v>62</v>
      </c>
      <c r="C250" s="444">
        <v>1.1089649999999978</v>
      </c>
      <c r="D250" s="445">
        <f t="shared" si="6"/>
        <v>14.150016123858844</v>
      </c>
      <c r="E250" s="447"/>
    </row>
    <row r="251" spans="1:5">
      <c r="A251" s="237">
        <f>2016</f>
        <v>2016</v>
      </c>
      <c r="B251" s="267" t="s">
        <v>63</v>
      </c>
      <c r="C251" s="444">
        <v>1.2152200000000022</v>
      </c>
      <c r="D251" s="445">
        <f t="shared" si="6"/>
        <v>15.597883096383992</v>
      </c>
      <c r="E251" s="447"/>
    </row>
    <row r="252" spans="1:5">
      <c r="A252" s="237">
        <f>2016</f>
        <v>2016</v>
      </c>
      <c r="B252" s="267" t="s">
        <v>64</v>
      </c>
      <c r="C252" s="444">
        <v>1.1089649999999978</v>
      </c>
      <c r="D252" s="445">
        <f t="shared" si="6"/>
        <v>14.150016123858844</v>
      </c>
      <c r="E252" s="447"/>
    </row>
    <row r="253" spans="1:5">
      <c r="A253" s="237">
        <f>2016</f>
        <v>2016</v>
      </c>
      <c r="B253" s="267" t="s">
        <v>65</v>
      </c>
      <c r="C253" s="444">
        <v>1.0488419999999934</v>
      </c>
      <c r="D253" s="445">
        <f t="shared" si="6"/>
        <v>13.338142680447751</v>
      </c>
      <c r="E253" s="447"/>
    </row>
    <row r="254" spans="1:5">
      <c r="A254" s="237">
        <f>2016</f>
        <v>2016</v>
      </c>
      <c r="B254" s="267" t="s">
        <v>66</v>
      </c>
      <c r="C254" s="444">
        <v>1.0382859999999994</v>
      </c>
      <c r="D254" s="445">
        <f t="shared" si="6"/>
        <v>13.196146759857053</v>
      </c>
      <c r="E254" s="447"/>
    </row>
    <row r="255" spans="1:5">
      <c r="A255" s="237">
        <f>2016</f>
        <v>2016</v>
      </c>
      <c r="B255" s="267" t="s">
        <v>55</v>
      </c>
      <c r="C255" s="444">
        <v>1.1233150000000052</v>
      </c>
      <c r="D255" s="445">
        <f t="shared" ref="D255:D318" si="7">100*((1+C255/100)^12-1)</f>
        <v>14.344578335799586</v>
      </c>
      <c r="E255" s="447"/>
    </row>
    <row r="256" spans="1:5">
      <c r="A256" s="237">
        <f>2017</f>
        <v>2017</v>
      </c>
      <c r="B256" s="267" t="s">
        <v>56</v>
      </c>
      <c r="C256" s="444">
        <v>1.086119999999994</v>
      </c>
      <c r="D256" s="445">
        <f t="shared" si="7"/>
        <v>13.8409018236054</v>
      </c>
      <c r="E256" s="447"/>
    </row>
    <row r="257" spans="1:5">
      <c r="A257" s="237">
        <f>2017</f>
        <v>2017</v>
      </c>
      <c r="B257" s="267" t="s">
        <v>57</v>
      </c>
      <c r="C257" s="444">
        <v>0.86508400000001018</v>
      </c>
      <c r="D257" s="445">
        <f t="shared" si="7"/>
        <v>10.889456391187057</v>
      </c>
      <c r="E257" s="447"/>
    </row>
    <row r="258" spans="1:5">
      <c r="A258" s="237">
        <f>2017</f>
        <v>2017</v>
      </c>
      <c r="B258" s="267" t="s">
        <v>58</v>
      </c>
      <c r="C258" s="444">
        <v>1.0520560000000074</v>
      </c>
      <c r="D258" s="445">
        <f t="shared" si="7"/>
        <v>13.381408789813198</v>
      </c>
      <c r="E258" s="447"/>
    </row>
    <row r="259" spans="1:5">
      <c r="A259" s="237">
        <f>2017</f>
        <v>2017</v>
      </c>
      <c r="B259" s="267" t="s">
        <v>59</v>
      </c>
      <c r="C259" s="444">
        <v>0.7865809999999982</v>
      </c>
      <c r="D259" s="445">
        <f t="shared" si="7"/>
        <v>9.8582189114629237</v>
      </c>
      <c r="E259" s="447"/>
    </row>
    <row r="260" spans="1:5">
      <c r="A260" s="237">
        <f>2017</f>
        <v>2017</v>
      </c>
      <c r="B260" s="267" t="s">
        <v>60</v>
      </c>
      <c r="C260" s="444">
        <v>0.9271320000000145</v>
      </c>
      <c r="D260" s="445">
        <f t="shared" si="7"/>
        <v>11.710806538892339</v>
      </c>
      <c r="E260" s="447"/>
    </row>
    <row r="261" spans="1:5">
      <c r="A261" s="237">
        <f>2017</f>
        <v>2017</v>
      </c>
      <c r="B261" s="267" t="s">
        <v>61</v>
      </c>
      <c r="C261" s="444">
        <v>0.80886899999998718</v>
      </c>
      <c r="D261" s="445">
        <f t="shared" si="7"/>
        <v>10.150103036184932</v>
      </c>
      <c r="E261" s="447"/>
    </row>
    <row r="262" spans="1:5">
      <c r="A262" s="237">
        <f>2017</f>
        <v>2017</v>
      </c>
      <c r="B262" s="267" t="s">
        <v>62</v>
      </c>
      <c r="C262" s="444">
        <v>0.79792299999998306</v>
      </c>
      <c r="D262" s="445">
        <f t="shared" si="7"/>
        <v>10.006665270619397</v>
      </c>
      <c r="E262" s="447"/>
    </row>
    <row r="263" spans="1:5">
      <c r="A263" s="237">
        <f>2017</f>
        <v>2017</v>
      </c>
      <c r="B263" s="267" t="s">
        <v>63</v>
      </c>
      <c r="C263" s="444">
        <v>0.8022889999999876</v>
      </c>
      <c r="D263" s="445">
        <f t="shared" si="7"/>
        <v>10.063857346207117</v>
      </c>
      <c r="E263" s="447"/>
    </row>
    <row r="264" spans="1:5">
      <c r="A264" s="237">
        <f>2017</f>
        <v>2017</v>
      </c>
      <c r="B264" s="267" t="s">
        <v>64</v>
      </c>
      <c r="C264" s="444">
        <v>0.63846000000000913</v>
      </c>
      <c r="D264" s="445">
        <f t="shared" si="7"/>
        <v>7.9363653068924345</v>
      </c>
      <c r="E264" s="447"/>
    </row>
    <row r="265" spans="1:5">
      <c r="A265" s="237">
        <f>2017</f>
        <v>2017</v>
      </c>
      <c r="B265" s="267" t="s">
        <v>65</v>
      </c>
      <c r="C265" s="444">
        <v>0.64392999999999745</v>
      </c>
      <c r="D265" s="445">
        <f t="shared" si="7"/>
        <v>8.0067863108023829</v>
      </c>
      <c r="E265" s="447"/>
    </row>
    <row r="266" spans="1:5">
      <c r="A266" s="237">
        <f>2017</f>
        <v>2017</v>
      </c>
      <c r="B266" s="267" t="s">
        <v>66</v>
      </c>
      <c r="C266" s="444">
        <v>0.56818800000000635</v>
      </c>
      <c r="D266" s="445">
        <f t="shared" si="7"/>
        <v>7.0354163952310866</v>
      </c>
      <c r="E266" s="447"/>
    </row>
    <row r="267" spans="1:5">
      <c r="A267" s="237">
        <f>2017</f>
        <v>2017</v>
      </c>
      <c r="B267" s="267" t="s">
        <v>55</v>
      </c>
      <c r="C267" s="444">
        <v>0.5842049999999972</v>
      </c>
      <c r="D267" s="445">
        <f t="shared" si="7"/>
        <v>7.2401597232678361</v>
      </c>
      <c r="E267" s="447"/>
    </row>
    <row r="268" spans="1:5">
      <c r="A268" s="237">
        <f>2018</f>
        <v>2018</v>
      </c>
      <c r="B268" s="267" t="s">
        <v>56</v>
      </c>
      <c r="C268" s="444">
        <v>0.5842049999999972</v>
      </c>
      <c r="D268" s="445">
        <f t="shared" si="7"/>
        <v>7.2401597232678361</v>
      </c>
      <c r="E268" s="447"/>
    </row>
    <row r="269" spans="1:5">
      <c r="A269" s="237">
        <f>2018</f>
        <v>2018</v>
      </c>
      <c r="B269" s="267" t="s">
        <v>57</v>
      </c>
      <c r="C269" s="444">
        <v>0.46560200000000407</v>
      </c>
      <c r="D269" s="445">
        <f t="shared" si="7"/>
        <v>5.7325462678980754</v>
      </c>
      <c r="E269" s="447"/>
    </row>
    <row r="270" spans="1:5">
      <c r="A270" s="237">
        <f>2018</f>
        <v>2018</v>
      </c>
      <c r="B270" s="267" t="s">
        <v>58</v>
      </c>
      <c r="C270" s="444">
        <v>0.5323449999999923</v>
      </c>
      <c r="D270" s="445">
        <f t="shared" si="7"/>
        <v>6.5785372473377679</v>
      </c>
      <c r="E270" s="447"/>
    </row>
    <row r="271" spans="1:5">
      <c r="A271" s="237">
        <f>2018</f>
        <v>2018</v>
      </c>
      <c r="B271" s="267" t="s">
        <v>59</v>
      </c>
      <c r="C271" s="444">
        <v>0.51829499999999484</v>
      </c>
      <c r="D271" s="445">
        <f t="shared" si="7"/>
        <v>6.3999346723511152</v>
      </c>
      <c r="E271" s="447"/>
    </row>
    <row r="272" spans="1:5">
      <c r="A272" s="237">
        <f>2018</f>
        <v>2018</v>
      </c>
      <c r="B272" s="267" t="s">
        <v>60</v>
      </c>
      <c r="C272" s="444">
        <v>0.51829499999999484</v>
      </c>
      <c r="D272" s="445">
        <f t="shared" si="7"/>
        <v>6.3999346723511152</v>
      </c>
      <c r="E272" s="447"/>
    </row>
    <row r="273" spans="1:5">
      <c r="A273" s="237">
        <f>2018</f>
        <v>2018</v>
      </c>
      <c r="B273" s="267" t="s">
        <v>61</v>
      </c>
      <c r="C273" s="444">
        <v>0.51829499999999484</v>
      </c>
      <c r="D273" s="445">
        <f t="shared" si="7"/>
        <v>6.3999346723511152</v>
      </c>
      <c r="E273" s="447"/>
    </row>
    <row r="274" spans="1:5">
      <c r="A274" s="237">
        <f>2018</f>
        <v>2018</v>
      </c>
      <c r="B274" s="267" t="s">
        <v>62</v>
      </c>
      <c r="C274" s="444">
        <v>0.5430419999999998</v>
      </c>
      <c r="D274" s="445">
        <f t="shared" si="7"/>
        <v>6.7147009516236755</v>
      </c>
      <c r="E274" s="447"/>
    </row>
    <row r="275" spans="1:5">
      <c r="A275" s="237">
        <f>2018</f>
        <v>2018</v>
      </c>
      <c r="B275" s="267" t="s">
        <v>63</v>
      </c>
      <c r="C275" s="444">
        <v>0.56779600000001551</v>
      </c>
      <c r="D275" s="445">
        <f t="shared" si="7"/>
        <v>7.0304100029031424</v>
      </c>
      <c r="E275" s="447"/>
    </row>
    <row r="276" spans="1:5">
      <c r="A276" s="237">
        <f>2018</f>
        <v>2018</v>
      </c>
      <c r="B276" s="267" t="s">
        <v>64</v>
      </c>
      <c r="C276" s="444">
        <v>0.46881799999999885</v>
      </c>
      <c r="D276" s="445">
        <f t="shared" si="7"/>
        <v>5.7731686184600672</v>
      </c>
      <c r="E276" s="447"/>
    </row>
    <row r="277" spans="1:5">
      <c r="A277" s="237">
        <f>2018</f>
        <v>2018</v>
      </c>
      <c r="B277" s="267" t="s">
        <v>65</v>
      </c>
      <c r="C277" s="444">
        <v>0.5430419999999998</v>
      </c>
      <c r="D277" s="445">
        <f t="shared" si="7"/>
        <v>6.7147009516236755</v>
      </c>
      <c r="E277" s="447"/>
    </row>
    <row r="278" spans="1:5">
      <c r="A278" s="237">
        <f>2018</f>
        <v>2018</v>
      </c>
      <c r="B278" s="267" t="s">
        <v>66</v>
      </c>
      <c r="C278" s="444">
        <v>0.49355300000000568</v>
      </c>
      <c r="D278" s="445">
        <f t="shared" si="7"/>
        <v>6.08608300807989</v>
      </c>
      <c r="E278" s="447"/>
    </row>
    <row r="279" spans="1:5">
      <c r="A279" s="237">
        <f>2018</f>
        <v>2018</v>
      </c>
      <c r="B279" s="267" t="s">
        <v>55</v>
      </c>
      <c r="C279" s="444">
        <v>0.49355300000000568</v>
      </c>
      <c r="D279" s="445">
        <f t="shared" si="7"/>
        <v>6.08608300807989</v>
      </c>
      <c r="E279" s="447"/>
    </row>
    <row r="280" spans="1:5">
      <c r="A280" s="237">
        <f>2019</f>
        <v>2019</v>
      </c>
      <c r="B280" s="267" t="s">
        <v>56</v>
      </c>
      <c r="C280" s="444">
        <v>0.5430419999999998</v>
      </c>
      <c r="D280" s="445">
        <f t="shared" si="7"/>
        <v>6.7147009516236755</v>
      </c>
      <c r="E280" s="447"/>
    </row>
    <row r="281" spans="1:5">
      <c r="A281" s="242">
        <f>2019</f>
        <v>2019</v>
      </c>
      <c r="B281" s="268" t="s">
        <v>57</v>
      </c>
      <c r="C281" s="448">
        <v>0.49355300000000568</v>
      </c>
      <c r="D281" s="449">
        <f t="shared" si="7"/>
        <v>6.08608300807989</v>
      </c>
      <c r="E281" s="447"/>
    </row>
    <row r="282" spans="1:5">
      <c r="A282" s="242">
        <f>2019</f>
        <v>2019</v>
      </c>
      <c r="B282" s="268" t="s">
        <v>58</v>
      </c>
      <c r="C282" s="448">
        <v>0.46881799999999885</v>
      </c>
      <c r="D282" s="449">
        <f t="shared" si="7"/>
        <v>5.7731686184600672</v>
      </c>
      <c r="E282" s="447"/>
    </row>
    <row r="283" spans="1:5">
      <c r="A283" s="242">
        <f>2019</f>
        <v>2019</v>
      </c>
      <c r="B283" s="268" t="s">
        <v>59</v>
      </c>
      <c r="C283" s="448">
        <v>0.51829499999999484</v>
      </c>
      <c r="D283" s="449">
        <f t="shared" si="7"/>
        <v>6.3999346723511152</v>
      </c>
      <c r="E283" s="447"/>
    </row>
    <row r="284" spans="1:5">
      <c r="A284" s="242">
        <f>2019</f>
        <v>2019</v>
      </c>
      <c r="B284" s="268" t="s">
        <v>60</v>
      </c>
      <c r="C284" s="448">
        <v>0.5430419999999998</v>
      </c>
      <c r="D284" s="449">
        <f t="shared" si="7"/>
        <v>6.7147009516236755</v>
      </c>
      <c r="E284" s="447"/>
    </row>
    <row r="285" spans="1:5">
      <c r="A285" s="242">
        <f>2019</f>
        <v>2019</v>
      </c>
      <c r="B285" s="268" t="s">
        <v>61</v>
      </c>
      <c r="C285" s="448">
        <v>0.46881799999999885</v>
      </c>
      <c r="D285" s="449">
        <f t="shared" si="7"/>
        <v>5.7731686184600672</v>
      </c>
      <c r="E285" s="447"/>
    </row>
    <row r="286" spans="1:5">
      <c r="A286" s="242">
        <f>2019</f>
        <v>2019</v>
      </c>
      <c r="B286" s="268" t="s">
        <v>62</v>
      </c>
      <c r="C286" s="448">
        <v>0.56779600000001551</v>
      </c>
      <c r="D286" s="449">
        <f t="shared" si="7"/>
        <v>7.0304100029031424</v>
      </c>
      <c r="E286" s="447"/>
    </row>
    <row r="287" spans="1:5">
      <c r="A287" s="242">
        <f>2019</f>
        <v>2019</v>
      </c>
      <c r="B287" s="268" t="s">
        <v>63</v>
      </c>
      <c r="C287" s="448">
        <v>0.50171899999999425</v>
      </c>
      <c r="D287" s="449">
        <f t="shared" si="7"/>
        <v>6.1895745698153037</v>
      </c>
      <c r="E287" s="447"/>
    </row>
    <row r="288" spans="1:5">
      <c r="A288" s="242">
        <f>2019</f>
        <v>2019</v>
      </c>
      <c r="B288" s="268" t="s">
        <v>64</v>
      </c>
      <c r="C288" s="448">
        <v>0.46375999999999351</v>
      </c>
      <c r="D288" s="449">
        <f t="shared" si="7"/>
        <v>5.7092858036686067</v>
      </c>
      <c r="E288" s="447"/>
    </row>
    <row r="289" spans="1:5">
      <c r="A289" s="242">
        <f>2019</f>
        <v>2019</v>
      </c>
      <c r="B289" s="268" t="s">
        <v>65</v>
      </c>
      <c r="C289" s="448">
        <v>0.47926400000000058</v>
      </c>
      <c r="D289" s="449">
        <f t="shared" si="7"/>
        <v>5.9052141944138326</v>
      </c>
      <c r="E289" s="447"/>
    </row>
    <row r="290" spans="1:5">
      <c r="A290" s="242">
        <f>2019</f>
        <v>2019</v>
      </c>
      <c r="B290" s="268" t="s">
        <v>66</v>
      </c>
      <c r="C290" s="448">
        <v>0.38038600000001566</v>
      </c>
      <c r="D290" s="449">
        <f t="shared" si="7"/>
        <v>4.661351009189163</v>
      </c>
      <c r="E290" s="447"/>
    </row>
    <row r="291" spans="1:5">
      <c r="A291" s="242">
        <f>2019</f>
        <v>2019</v>
      </c>
      <c r="B291" s="268" t="s">
        <v>55</v>
      </c>
      <c r="C291" s="448">
        <v>0.37</v>
      </c>
      <c r="D291" s="449">
        <f t="shared" si="7"/>
        <v>4.531477698255304</v>
      </c>
      <c r="E291" s="447"/>
    </row>
    <row r="292" spans="1:5">
      <c r="A292" s="242">
        <f>2020</f>
        <v>2020</v>
      </c>
      <c r="B292" s="268" t="s">
        <v>56</v>
      </c>
      <c r="C292" s="448">
        <v>0.37663299999999822</v>
      </c>
      <c r="D292" s="449">
        <f t="shared" si="7"/>
        <v>4.6144039943732729</v>
      </c>
      <c r="E292" s="447"/>
    </row>
    <row r="293" spans="1:5">
      <c r="A293" s="242">
        <f>2020</f>
        <v>2020</v>
      </c>
      <c r="B293" s="268" t="s">
        <v>57</v>
      </c>
      <c r="C293" s="448">
        <v>0.29372899999999902</v>
      </c>
      <c r="D293" s="449">
        <f t="shared" si="7"/>
        <v>3.5822518642636858</v>
      </c>
      <c r="E293" s="447"/>
    </row>
    <row r="294" spans="1:5">
      <c r="A294" s="242">
        <f>2020</f>
        <v>2020</v>
      </c>
      <c r="B294" s="268" t="s">
        <v>58</v>
      </c>
      <c r="C294" s="448">
        <v>0.33836900000000014</v>
      </c>
      <c r="D294" s="449">
        <f t="shared" si="7"/>
        <v>4.1368525907423237</v>
      </c>
      <c r="E294" s="447"/>
    </row>
    <row r="295" spans="1:5">
      <c r="A295" s="242">
        <f>2020</f>
        <v>2020</v>
      </c>
      <c r="B295" s="268" t="s">
        <v>59</v>
      </c>
      <c r="C295" s="448">
        <v>0.28492499999998699</v>
      </c>
      <c r="D295" s="449">
        <f t="shared" si="7"/>
        <v>3.4731924447527707</v>
      </c>
      <c r="E295" s="447"/>
    </row>
    <row r="296" spans="1:5">
      <c r="A296" s="242">
        <f>2020</f>
        <v>2020</v>
      </c>
      <c r="B296" s="268" t="s">
        <v>60</v>
      </c>
      <c r="C296" s="448">
        <v>0.23580999999998653</v>
      </c>
      <c r="D296" s="449">
        <f t="shared" si="7"/>
        <v>2.8667102071559869</v>
      </c>
      <c r="E296" s="447"/>
    </row>
    <row r="297" spans="1:5">
      <c r="A297" s="242">
        <f>2020</f>
        <v>2020</v>
      </c>
      <c r="B297" s="268" t="s">
        <v>61</v>
      </c>
      <c r="C297" s="448">
        <v>0.21233199999998931</v>
      </c>
      <c r="D297" s="449">
        <f t="shared" si="7"/>
        <v>2.5779516343863662</v>
      </c>
      <c r="E297" s="447"/>
    </row>
    <row r="298" spans="1:5">
      <c r="A298" s="242">
        <f>2020</f>
        <v>2020</v>
      </c>
      <c r="B298" s="268" t="s">
        <v>62</v>
      </c>
      <c r="C298" s="448">
        <v>0.19434599999999591</v>
      </c>
      <c r="D298" s="449">
        <f t="shared" si="7"/>
        <v>2.3572426424980142</v>
      </c>
      <c r="E298" s="447"/>
    </row>
    <row r="299" spans="1:5">
      <c r="A299" s="242">
        <f>2020</f>
        <v>2020</v>
      </c>
      <c r="B299" s="268" t="s">
        <v>63</v>
      </c>
      <c r="C299" s="448">
        <v>0.15989000000000431</v>
      </c>
      <c r="D299" s="449">
        <f t="shared" si="7"/>
        <v>1.9356430265990543</v>
      </c>
      <c r="E299" s="447"/>
    </row>
    <row r="300" spans="1:5">
      <c r="A300" s="242">
        <f>2020</f>
        <v>2020</v>
      </c>
      <c r="B300" s="268" t="s">
        <v>64</v>
      </c>
      <c r="C300" s="448">
        <v>0.15696599999999705</v>
      </c>
      <c r="D300" s="449">
        <f t="shared" si="7"/>
        <v>1.8999386781927807</v>
      </c>
      <c r="E300" s="447"/>
    </row>
    <row r="301" spans="1:5">
      <c r="A301" s="242">
        <f>2020</f>
        <v>2020</v>
      </c>
      <c r="B301" s="268" t="s">
        <v>65</v>
      </c>
      <c r="C301" s="448">
        <v>0.15696599999999705</v>
      </c>
      <c r="D301" s="449">
        <f t="shared" si="7"/>
        <v>1.8999386781927807</v>
      </c>
      <c r="E301" s="447"/>
    </row>
    <row r="302" spans="1:5">
      <c r="A302" s="242">
        <f>2020</f>
        <v>2020</v>
      </c>
      <c r="B302" s="268" t="s">
        <v>66</v>
      </c>
      <c r="C302" s="448">
        <v>0.14948599999999601</v>
      </c>
      <c r="D302" s="449">
        <f t="shared" si="7"/>
        <v>1.8086541394607414</v>
      </c>
      <c r="E302" s="447"/>
    </row>
    <row r="303" spans="1:5">
      <c r="A303" s="242">
        <f>2020</f>
        <v>2020</v>
      </c>
      <c r="B303" s="268" t="s">
        <v>55</v>
      </c>
      <c r="C303" s="448">
        <v>0.16444699999999557</v>
      </c>
      <c r="D303" s="449">
        <f t="shared" si="7"/>
        <v>1.9913104578070939</v>
      </c>
      <c r="E303" s="447"/>
    </row>
    <row r="304" spans="1:5">
      <c r="A304" s="242">
        <f>2021</f>
        <v>2021</v>
      </c>
      <c r="B304" s="268" t="s">
        <v>56</v>
      </c>
      <c r="C304" s="448">
        <v>0.14948599999999601</v>
      </c>
      <c r="D304" s="449">
        <f t="shared" si="7"/>
        <v>1.8086541394607414</v>
      </c>
      <c r="E304" s="447"/>
    </row>
    <row r="305" spans="1:5">
      <c r="A305" s="242">
        <f>2021</f>
        <v>2021</v>
      </c>
      <c r="B305" s="268" t="s">
        <v>57</v>
      </c>
      <c r="C305" s="448">
        <v>0.13452700000000561</v>
      </c>
      <c r="D305" s="449">
        <f t="shared" si="7"/>
        <v>1.6263220828261815</v>
      </c>
      <c r="E305" s="447"/>
    </row>
    <row r="306" spans="1:5">
      <c r="A306" s="242">
        <f>2021</f>
        <v>2021</v>
      </c>
      <c r="B306" s="268" t="s">
        <v>58</v>
      </c>
      <c r="C306" s="448">
        <v>0.20108000000000459</v>
      </c>
      <c r="D306" s="449">
        <f t="shared" si="7"/>
        <v>2.4398255683042436</v>
      </c>
      <c r="E306" s="447"/>
    </row>
    <row r="307" spans="1:5">
      <c r="A307" s="242">
        <f>2021</f>
        <v>2021</v>
      </c>
      <c r="B307" s="268" t="s">
        <v>59</v>
      </c>
      <c r="C307" s="448">
        <v>0.20778500000000122</v>
      </c>
      <c r="D307" s="449">
        <f t="shared" si="7"/>
        <v>2.52211352866889</v>
      </c>
      <c r="E307" s="447"/>
    </row>
    <row r="308" spans="1:5">
      <c r="A308" s="242">
        <f>2021</f>
        <v>2021</v>
      </c>
      <c r="B308" s="268" t="s">
        <v>60</v>
      </c>
      <c r="C308" s="448">
        <v>0.27032600000001139</v>
      </c>
      <c r="D308" s="449">
        <f t="shared" si="7"/>
        <v>3.2925795077834774</v>
      </c>
      <c r="E308" s="450"/>
    </row>
    <row r="309" spans="1:5">
      <c r="A309" s="242">
        <f>2021</f>
        <v>2021</v>
      </c>
      <c r="B309" s="268" t="s">
        <v>61</v>
      </c>
      <c r="C309" s="448">
        <v>0.30777900000001068</v>
      </c>
      <c r="D309" s="449">
        <f t="shared" si="7"/>
        <v>3.7565143020195979</v>
      </c>
      <c r="E309" s="450"/>
    </row>
    <row r="310" spans="1:5">
      <c r="A310" s="242">
        <f>2021</f>
        <v>2021</v>
      </c>
      <c r="B310" s="268" t="s">
        <v>62</v>
      </c>
      <c r="C310" s="448">
        <v>0.35561599999999771</v>
      </c>
      <c r="D310" s="449">
        <f t="shared" si="7"/>
        <v>4.3518547575382094</v>
      </c>
      <c r="E310" s="450"/>
    </row>
    <row r="311" spans="1:5">
      <c r="A311" s="242">
        <f>2021</f>
        <v>2021</v>
      </c>
      <c r="B311" s="268" t="s">
        <v>63</v>
      </c>
      <c r="C311" s="448">
        <v>0.42795200000000477</v>
      </c>
      <c r="D311" s="449">
        <f t="shared" si="7"/>
        <v>5.2580393209338494</v>
      </c>
      <c r="E311" s="450"/>
    </row>
    <row r="312" spans="1:5">
      <c r="A312" s="242">
        <f>2021</f>
        <v>2021</v>
      </c>
      <c r="B312" s="268" t="s">
        <v>64</v>
      </c>
      <c r="C312" s="448">
        <v>0.44199899999999559</v>
      </c>
      <c r="D312" s="449">
        <f t="shared" si="7"/>
        <v>5.4348463900416366</v>
      </c>
      <c r="E312" s="450"/>
    </row>
    <row r="313" spans="1:5">
      <c r="A313" s="242">
        <f>2021</f>
        <v>2021</v>
      </c>
      <c r="B313" s="268" t="s">
        <v>65</v>
      </c>
      <c r="C313" s="448">
        <v>0.48599600000001431</v>
      </c>
      <c r="D313" s="449">
        <f t="shared" si="7"/>
        <v>5.9903919695813324</v>
      </c>
      <c r="E313" s="450"/>
    </row>
    <row r="314" spans="1:5">
      <c r="A314" s="242">
        <f>2021</f>
        <v>2021</v>
      </c>
      <c r="B314" s="268" t="s">
        <v>66</v>
      </c>
      <c r="C314" s="448">
        <v>0.58674899999999752</v>
      </c>
      <c r="D314" s="449">
        <f t="shared" si="7"/>
        <v>7.2727123795008453</v>
      </c>
      <c r="E314" s="450"/>
    </row>
    <row r="315" spans="1:5">
      <c r="A315" s="242">
        <f>2021</f>
        <v>2021</v>
      </c>
      <c r="B315" s="268" t="s">
        <v>55</v>
      </c>
      <c r="C315" s="448">
        <v>0.76908300000000906</v>
      </c>
      <c r="D315" s="449">
        <f t="shared" si="7"/>
        <v>9.6295617318196349</v>
      </c>
      <c r="E315" s="450"/>
    </row>
    <row r="316" spans="1:5">
      <c r="A316" s="242">
        <f>2022</f>
        <v>2022</v>
      </c>
      <c r="B316" s="268" t="s">
        <v>56</v>
      </c>
      <c r="C316" s="448">
        <v>0.73227000000000153</v>
      </c>
      <c r="D316" s="449">
        <f t="shared" si="7"/>
        <v>9.1499272443530835</v>
      </c>
      <c r="E316" s="450"/>
    </row>
    <row r="317" spans="1:5">
      <c r="A317" s="242">
        <f>2022</f>
        <v>2022</v>
      </c>
      <c r="B317" s="268" t="s">
        <v>57</v>
      </c>
      <c r="C317" s="448">
        <v>0.75504099999998964</v>
      </c>
      <c r="D317" s="449">
        <f t="shared" si="7"/>
        <v>9.446381854779883</v>
      </c>
      <c r="E317" s="450"/>
    </row>
    <row r="318" spans="1:5">
      <c r="A318" s="242">
        <f>2022</f>
        <v>2022</v>
      </c>
      <c r="B318" s="268" t="s">
        <v>58</v>
      </c>
      <c r="C318" s="448">
        <v>0.92705399999999383</v>
      </c>
      <c r="D318" s="449">
        <f t="shared" si="7"/>
        <v>11.709770535308062</v>
      </c>
      <c r="E318" s="450"/>
    </row>
    <row r="319" spans="1:5">
      <c r="A319" s="242">
        <f>2022</f>
        <v>2022</v>
      </c>
      <c r="B319" s="268" t="s">
        <v>59</v>
      </c>
      <c r="C319" s="448">
        <v>0.83432100000000453</v>
      </c>
      <c r="D319" s="449">
        <f t="shared" ref="D319:D352" si="8">100*((1+C319/100)^12-1)</f>
        <v>10.484292295855834</v>
      </c>
      <c r="E319" s="450"/>
    </row>
    <row r="320" spans="1:5">
      <c r="A320" s="242">
        <f>2022</f>
        <v>2022</v>
      </c>
      <c r="B320" s="268" t="s">
        <v>60</v>
      </c>
      <c r="C320" s="448">
        <v>1.0345920000000008</v>
      </c>
      <c r="D320" s="449">
        <f t="shared" si="8"/>
        <v>13.146494789963326</v>
      </c>
      <c r="E320" s="450"/>
    </row>
    <row r="321" spans="1:5">
      <c r="A321" s="242">
        <f>2022</f>
        <v>2022</v>
      </c>
      <c r="B321" s="268" t="s">
        <v>61</v>
      </c>
      <c r="C321" s="448">
        <v>1.0153159999999994</v>
      </c>
      <c r="D321" s="449">
        <f t="shared" si="8"/>
        <v>12.887725037029485</v>
      </c>
      <c r="E321" s="450"/>
    </row>
    <row r="322" spans="1:5">
      <c r="A322" s="242">
        <f>2022</f>
        <v>2022</v>
      </c>
      <c r="B322" s="268" t="s">
        <v>62</v>
      </c>
      <c r="C322" s="448">
        <v>1.0348419999999914</v>
      </c>
      <c r="D322" s="449">
        <f t="shared" si="8"/>
        <v>13.149854472000566</v>
      </c>
      <c r="E322" s="450"/>
    </row>
    <row r="323" spans="1:5">
      <c r="A323" s="237">
        <f>2022</f>
        <v>2022</v>
      </c>
      <c r="B323" s="267" t="s">
        <v>63</v>
      </c>
      <c r="C323" s="444">
        <v>1.1693610000000021</v>
      </c>
      <c r="D323" s="445">
        <f t="shared" si="8"/>
        <v>14.970940288317159</v>
      </c>
      <c r="E323" s="450"/>
    </row>
    <row r="324" spans="1:5">
      <c r="A324" s="237">
        <f>2022</f>
        <v>2022</v>
      </c>
      <c r="B324" s="267" t="s">
        <v>64</v>
      </c>
      <c r="C324" s="444">
        <v>1.0719820000000047</v>
      </c>
      <c r="D324" s="445">
        <f t="shared" si="8"/>
        <v>13.649985977636181</v>
      </c>
      <c r="E324" s="450"/>
    </row>
    <row r="325" spans="1:5">
      <c r="A325" s="242">
        <f>2022</f>
        <v>2022</v>
      </c>
      <c r="B325" s="268" t="s">
        <v>65</v>
      </c>
      <c r="C325" s="448">
        <v>1.0206759999999981</v>
      </c>
      <c r="D325" s="449">
        <f t="shared" si="8"/>
        <v>12.959625597724834</v>
      </c>
      <c r="E325" s="450"/>
    </row>
    <row r="326" spans="1:5">
      <c r="A326" s="242">
        <f>2022</f>
        <v>2022</v>
      </c>
      <c r="B326" s="268" t="s">
        <v>66</v>
      </c>
      <c r="C326" s="448">
        <v>1.0206759999999981</v>
      </c>
      <c r="D326" s="449">
        <f t="shared" si="8"/>
        <v>12.959625597724834</v>
      </c>
      <c r="E326" s="450"/>
    </row>
    <row r="327" spans="1:5">
      <c r="A327" s="242">
        <f>2022</f>
        <v>2022</v>
      </c>
      <c r="B327" s="268" t="s">
        <v>55</v>
      </c>
      <c r="C327" s="448">
        <v>1.1233150000000025</v>
      </c>
      <c r="D327" s="449">
        <f t="shared" si="8"/>
        <v>14.344578335799586</v>
      </c>
      <c r="E327" s="450"/>
    </row>
    <row r="328" spans="1:5">
      <c r="A328" s="242">
        <f>2023</f>
        <v>2023</v>
      </c>
      <c r="B328" s="268" t="s">
        <v>56</v>
      </c>
      <c r="C328" s="448">
        <v>1.1233150000000025</v>
      </c>
      <c r="D328" s="449">
        <f t="shared" si="8"/>
        <v>14.344578335799586</v>
      </c>
      <c r="E328" s="450"/>
    </row>
    <row r="329" spans="1:5">
      <c r="A329" s="242">
        <f>2023</f>
        <v>2023</v>
      </c>
      <c r="B329" s="268" t="s">
        <v>57</v>
      </c>
      <c r="C329" s="448">
        <v>0.91814100000000565</v>
      </c>
      <c r="D329" s="449">
        <f t="shared" si="8"/>
        <v>11.591445188949812</v>
      </c>
      <c r="E329" s="450"/>
    </row>
    <row r="330" spans="1:5">
      <c r="A330" s="242">
        <f>2023</f>
        <v>2023</v>
      </c>
      <c r="B330" s="268" t="s">
        <v>58</v>
      </c>
      <c r="C330" s="448">
        <v>1.1746730000000039</v>
      </c>
      <c r="D330" s="449">
        <f t="shared" si="8"/>
        <v>15.043401202595174</v>
      </c>
      <c r="E330" s="450"/>
    </row>
    <row r="331" spans="1:5">
      <c r="A331" s="242">
        <f>2023</f>
        <v>2023</v>
      </c>
      <c r="B331" s="268" t="s">
        <v>59</v>
      </c>
      <c r="C331" s="448">
        <v>0.91814100000000565</v>
      </c>
      <c r="D331" s="449">
        <f t="shared" si="8"/>
        <v>11.591445188949812</v>
      </c>
      <c r="E331" s="450"/>
    </row>
    <row r="332" spans="1:5">
      <c r="A332" s="242">
        <f>2023</f>
        <v>2023</v>
      </c>
      <c r="B332" s="268" t="s">
        <v>60</v>
      </c>
      <c r="C332" s="448">
        <v>1.1233150000000025</v>
      </c>
      <c r="D332" s="449">
        <f t="shared" si="8"/>
        <v>14.344578335799586</v>
      </c>
      <c r="E332" s="450"/>
    </row>
    <row r="333" spans="1:5">
      <c r="A333" s="242">
        <f>2023</f>
        <v>2023</v>
      </c>
      <c r="B333" s="268" t="s">
        <v>61</v>
      </c>
      <c r="C333" s="448">
        <v>1.0719820000000047</v>
      </c>
      <c r="D333" s="449">
        <f t="shared" si="8"/>
        <v>13.649985977636181</v>
      </c>
      <c r="E333" s="450"/>
    </row>
    <row r="334" spans="1:5">
      <c r="A334" s="242">
        <f>2023</f>
        <v>2023</v>
      </c>
      <c r="B334" s="268" t="s">
        <v>62</v>
      </c>
      <c r="C334" s="448">
        <v>1.0719820000000047</v>
      </c>
      <c r="D334" s="449">
        <f t="shared" si="8"/>
        <v>13.649985977636181</v>
      </c>
      <c r="E334" s="450"/>
    </row>
    <row r="335" spans="1:5">
      <c r="A335" s="242">
        <f>2023</f>
        <v>2023</v>
      </c>
      <c r="B335" s="268" t="s">
        <v>63</v>
      </c>
      <c r="C335" s="448">
        <v>1.1374959999999934</v>
      </c>
      <c r="D335" s="449">
        <f t="shared" si="8"/>
        <v>14.537147780060655</v>
      </c>
      <c r="E335" s="450"/>
    </row>
    <row r="336" spans="1:5">
      <c r="A336" s="242">
        <f>2023</f>
        <v>2023</v>
      </c>
      <c r="B336" s="268" t="s">
        <v>64</v>
      </c>
      <c r="C336" s="448">
        <v>0.97290199999999771</v>
      </c>
      <c r="D336" s="449">
        <f t="shared" si="8"/>
        <v>12.320249307447838</v>
      </c>
      <c r="E336" s="450"/>
    </row>
    <row r="337" spans="1:5">
      <c r="A337" s="242">
        <f>2023</f>
        <v>2023</v>
      </c>
      <c r="B337" s="268" t="s">
        <v>65</v>
      </c>
      <c r="C337" s="448">
        <v>0.9975669999999992</v>
      </c>
      <c r="D337" s="449">
        <f t="shared" si="8"/>
        <v>12.649934275408192</v>
      </c>
      <c r="E337" s="450"/>
    </row>
    <row r="338" spans="1:5">
      <c r="A338" s="242">
        <f>2023</f>
        <v>2023</v>
      </c>
      <c r="B338" s="268" t="s">
        <v>66</v>
      </c>
      <c r="C338" s="448">
        <v>0.91598799999998981</v>
      </c>
      <c r="D338" s="449">
        <f t="shared" si="8"/>
        <v>11.562880073898096</v>
      </c>
      <c r="E338" s="450"/>
    </row>
    <row r="339" spans="1:5">
      <c r="A339" s="242">
        <f>2023</f>
        <v>2023</v>
      </c>
      <c r="B339" s="268" t="s">
        <v>55</v>
      </c>
      <c r="C339" s="448">
        <v>0.89452500000000157</v>
      </c>
      <c r="D339" s="449">
        <f t="shared" si="8"/>
        <v>11.278484089806806</v>
      </c>
      <c r="E339" s="450"/>
    </row>
    <row r="340" spans="1:5">
      <c r="A340" s="242">
        <f>2024</f>
        <v>2024</v>
      </c>
      <c r="B340" s="268" t="s">
        <v>56</v>
      </c>
      <c r="C340" s="448">
        <v>0.96668999999999983</v>
      </c>
      <c r="D340" s="449">
        <f t="shared" si="8"/>
        <v>12.237356095590135</v>
      </c>
      <c r="E340" s="450"/>
    </row>
    <row r="341" spans="1:5">
      <c r="A341" s="242">
        <f>2024</f>
        <v>2024</v>
      </c>
      <c r="B341" s="268" t="s">
        <v>57</v>
      </c>
      <c r="C341" s="448">
        <v>0.8002000000000038</v>
      </c>
      <c r="D341" s="449">
        <f t="shared" si="8"/>
        <v>10.036489254237235</v>
      </c>
      <c r="E341" s="450"/>
    </row>
    <row r="342" spans="1:5">
      <c r="A342" s="242">
        <f>2024</f>
        <v>2024</v>
      </c>
      <c r="B342" s="268" t="s">
        <v>58</v>
      </c>
      <c r="C342" s="448">
        <v>0.83167399999999247</v>
      </c>
      <c r="D342" s="449">
        <f t="shared" si="8"/>
        <v>10.449493465674674</v>
      </c>
      <c r="E342" s="450"/>
    </row>
    <row r="343" spans="1:5">
      <c r="A343" s="242">
        <f>2024</f>
        <v>2024</v>
      </c>
      <c r="B343" s="268" t="s">
        <v>59</v>
      </c>
      <c r="C343" s="448">
        <v>0.88743300000000147</v>
      </c>
      <c r="D343" s="449">
        <f t="shared" si="8"/>
        <v>11.184657554078225</v>
      </c>
      <c r="E343" s="450"/>
    </row>
    <row r="344" spans="1:5">
      <c r="A344" s="242">
        <f>2024</f>
        <v>2024</v>
      </c>
      <c r="B344" s="268" t="s">
        <v>60</v>
      </c>
      <c r="C344" s="448">
        <v>0.83244200000001456</v>
      </c>
      <c r="D344" s="449">
        <f t="shared" si="8"/>
        <v>10.459588955852151</v>
      </c>
      <c r="E344" s="450"/>
    </row>
    <row r="345" spans="1:5">
      <c r="A345" s="242">
        <f>2024</f>
        <v>2024</v>
      </c>
      <c r="B345" s="268" t="s">
        <v>61</v>
      </c>
      <c r="C345" s="448">
        <v>0.78833700000001272</v>
      </c>
      <c r="D345" s="449">
        <f t="shared" si="8"/>
        <v>9.8811897693896977</v>
      </c>
      <c r="E345" s="450"/>
    </row>
    <row r="346" spans="1:5">
      <c r="A346" s="242">
        <f>2024</f>
        <v>2024</v>
      </c>
      <c r="B346" s="268" t="s">
        <v>62</v>
      </c>
      <c r="C346" s="448">
        <v>0.90712200000000109</v>
      </c>
      <c r="D346" s="449">
        <f t="shared" si="8"/>
        <v>11.445320264875658</v>
      </c>
      <c r="E346" s="450"/>
    </row>
    <row r="347" spans="1:5">
      <c r="A347" s="242">
        <f>2024</f>
        <v>2024</v>
      </c>
      <c r="B347" s="268" t="s">
        <v>63</v>
      </c>
      <c r="C347" s="448">
        <v>0.86751199999999073</v>
      </c>
      <c r="D347" s="449">
        <f t="shared" si="8"/>
        <v>10.921492283670919</v>
      </c>
      <c r="E347" s="450"/>
    </row>
    <row r="348" spans="1:5">
      <c r="A348" s="242">
        <f>2024</f>
        <v>2024</v>
      </c>
      <c r="B348" s="268" t="s">
        <v>64</v>
      </c>
      <c r="C348" s="448">
        <v>0.83515700000000948</v>
      </c>
      <c r="D348" s="449">
        <f t="shared" si="8"/>
        <v>10.495284872116461</v>
      </c>
      <c r="E348" s="450"/>
    </row>
    <row r="349" spans="1:5">
      <c r="A349" s="242">
        <f>2024</f>
        <v>2024</v>
      </c>
      <c r="B349" s="268" t="s">
        <v>65</v>
      </c>
      <c r="C349" s="448">
        <v>0.92795800000000384</v>
      </c>
      <c r="D349" s="449">
        <f t="shared" si="8"/>
        <v>11.721778091688284</v>
      </c>
      <c r="E349" s="450"/>
    </row>
    <row r="350" spans="1:5">
      <c r="A350" s="242">
        <f>2024</f>
        <v>2024</v>
      </c>
      <c r="B350" s="268" t="s">
        <v>66</v>
      </c>
      <c r="C350" s="448">
        <v>0.79298999999999342</v>
      </c>
      <c r="D350" s="449">
        <f t="shared" si="8"/>
        <v>9.9420786021189311</v>
      </c>
      <c r="E350" s="450"/>
    </row>
    <row r="351" spans="1:5">
      <c r="A351" s="242">
        <f>2024</f>
        <v>2024</v>
      </c>
      <c r="B351" s="268" t="s">
        <v>55</v>
      </c>
      <c r="C351" s="448">
        <v>0.93143099999999368</v>
      </c>
      <c r="D351" s="449">
        <f t="shared" si="8"/>
        <v>11.767919896476497</v>
      </c>
      <c r="E351" s="450"/>
    </row>
    <row r="352" spans="1:5">
      <c r="A352" s="242">
        <f>2025</f>
        <v>2025</v>
      </c>
      <c r="B352" s="268" t="s">
        <v>56</v>
      </c>
      <c r="C352" s="448">
        <v>1.0132009999999969</v>
      </c>
      <c r="D352" s="449">
        <f t="shared" si="8"/>
        <v>12.859365371722165</v>
      </c>
      <c r="E352" s="450"/>
    </row>
    <row r="353" spans="1:5">
      <c r="A353" s="242">
        <f>2025</f>
        <v>2025</v>
      </c>
      <c r="B353" s="268" t="s">
        <v>57</v>
      </c>
      <c r="C353" s="448">
        <v>0.98532200000001069</v>
      </c>
      <c r="D353" s="449">
        <f t="shared" ref="D353:D358" si="9">100*((1+C353/100)^12-1)</f>
        <v>12.486150646573414</v>
      </c>
      <c r="E353" s="450"/>
    </row>
    <row r="354" spans="1:5">
      <c r="A354" s="242">
        <f>2025</f>
        <v>2025</v>
      </c>
      <c r="B354" s="268" t="s">
        <v>58</v>
      </c>
      <c r="C354" s="448">
        <v>0.96403000000000461</v>
      </c>
      <c r="D354" s="449">
        <f t="shared" si="9"/>
        <v>12.201878084637796</v>
      </c>
      <c r="E354" s="450"/>
    </row>
    <row r="355" spans="1:5">
      <c r="A355" s="237">
        <f>2025</f>
        <v>2025</v>
      </c>
      <c r="B355" s="267" t="s">
        <v>59</v>
      </c>
      <c r="C355" s="444">
        <v>1.055880000000009</v>
      </c>
      <c r="D355" s="445">
        <f t="shared" si="9"/>
        <v>13.432906298120617</v>
      </c>
      <c r="E355" s="450"/>
    </row>
    <row r="356" spans="1:5">
      <c r="A356" s="242">
        <f>2025</f>
        <v>2025</v>
      </c>
      <c r="B356" s="268" t="s">
        <v>60</v>
      </c>
      <c r="C356" s="448">
        <v>1.138776000000008</v>
      </c>
      <c r="D356" s="449">
        <f t="shared" si="9"/>
        <v>14.554544028986394</v>
      </c>
      <c r="E356" s="450"/>
    </row>
    <row r="357" spans="1:5">
      <c r="A357" s="242">
        <f>2025</f>
        <v>2025</v>
      </c>
      <c r="B357" s="268" t="s">
        <v>61</v>
      </c>
      <c r="C357" s="448">
        <v>1.0970509999999933</v>
      </c>
      <c r="D357" s="449">
        <f t="shared" si="9"/>
        <v>13.988712652164214</v>
      </c>
      <c r="E357" s="450"/>
    </row>
    <row r="358" spans="1:5">
      <c r="A358" s="242">
        <f>2025</f>
        <v>2025</v>
      </c>
      <c r="B358" s="268" t="s">
        <v>62</v>
      </c>
      <c r="C358" s="448">
        <v>1.27573299999999</v>
      </c>
      <c r="D358" s="449">
        <f t="shared" si="9"/>
        <v>16.429958255404209</v>
      </c>
      <c r="E358" s="450"/>
    </row>
    <row r="359" spans="1:5">
      <c r="A359" s="242">
        <f>2025</f>
        <v>2025</v>
      </c>
      <c r="B359" s="268" t="s">
        <v>63</v>
      </c>
      <c r="C359" s="448">
        <v>1.164155999999994</v>
      </c>
      <c r="D359" s="449">
        <f t="shared" ref="D359" si="10">100*((1+C359/100)^12-1)</f>
        <v>14.899979542847696</v>
      </c>
      <c r="E359" s="450"/>
    </row>
    <row r="360" spans="1:5">
      <c r="A360" s="237">
        <f>2025</f>
        <v>2025</v>
      </c>
      <c r="B360" s="267" t="s">
        <v>64</v>
      </c>
      <c r="C360" s="444">
        <v>1.2199290000000085</v>
      </c>
      <c r="D360" s="445">
        <f t="shared" ref="D360" si="11">100*((1+C360/100)^12-1)</f>
        <v>15.662437389042584</v>
      </c>
      <c r="E360" s="450"/>
    </row>
    <row r="361" spans="1:5">
      <c r="A361" s="237">
        <f>2025</f>
        <v>2025</v>
      </c>
      <c r="B361" s="267" t="s">
        <v>65</v>
      </c>
      <c r="C361" s="444">
        <v>1.27573299999999</v>
      </c>
      <c r="D361" s="445">
        <f t="shared" ref="D361:D362" si="12">100*((1+C361/100)^12-1)</f>
        <v>16.429958255404209</v>
      </c>
      <c r="E361" s="450"/>
    </row>
    <row r="362" spans="1:5">
      <c r="A362" s="242">
        <f>2025</f>
        <v>2025</v>
      </c>
      <c r="B362" s="268" t="s">
        <v>66</v>
      </c>
      <c r="C362" s="448">
        <v>1.0527029999999993</v>
      </c>
      <c r="D362" s="449">
        <f t="shared" si="12"/>
        <v>13.390120381565485</v>
      </c>
      <c r="E362" s="450"/>
    </row>
    <row r="363" spans="1:5">
      <c r="A363" s="242">
        <f>2025</f>
        <v>2025</v>
      </c>
      <c r="B363" s="268" t="s">
        <v>55</v>
      </c>
      <c r="C363" s="448">
        <v>1.2199290000000085</v>
      </c>
      <c r="D363" s="449">
        <f t="shared" ref="D363" si="13">100*((1+C363/100)^12-1)</f>
        <v>15.662437389042584</v>
      </c>
      <c r="E363" s="450"/>
    </row>
    <row r="364" spans="1:5">
      <c r="A364" s="242">
        <f>2026</f>
        <v>2026</v>
      </c>
      <c r="B364" s="268" t="s">
        <v>56</v>
      </c>
      <c r="C364" s="448">
        <v>1.164155999999994</v>
      </c>
      <c r="D364" s="449">
        <f t="shared" ref="D364" si="14">100*((1+C364/100)^12-1)</f>
        <v>14.899979542847696</v>
      </c>
      <c r="E364" s="450"/>
    </row>
    <row r="365" spans="1:5">
      <c r="A365" s="237">
        <f>2026</f>
        <v>2026</v>
      </c>
      <c r="B365" s="267" t="s">
        <v>57</v>
      </c>
      <c r="C365" s="444">
        <v>0.99702200000000296</v>
      </c>
      <c r="D365" s="445">
        <f t="shared" ref="D365" si="15">100*((1+C365/100)^12-1)</f>
        <v>12.642639954098733</v>
      </c>
      <c r="E365" s="450"/>
    </row>
    <row r="366" spans="1:5">
      <c r="A366" s="237">
        <f>2026</f>
        <v>2026</v>
      </c>
      <c r="B366" s="267" t="s">
        <v>58</v>
      </c>
      <c r="C366" s="444">
        <v>1.2120539999999957</v>
      </c>
      <c r="D366" s="445">
        <f t="shared" ref="D366:D367" si="16">100*((1+C366/100)^12-1)</f>
        <v>15.554499904687201</v>
      </c>
      <c r="E366" s="450"/>
    </row>
    <row r="367" spans="1:5">
      <c r="A367" s="237">
        <f>2026</f>
        <v>2026</v>
      </c>
      <c r="B367" s="267" t="s">
        <v>59</v>
      </c>
      <c r="C367" s="444">
        <v>1.0900579999999938</v>
      </c>
      <c r="D367" s="445">
        <f t="shared" si="16"/>
        <v>13.894131866154979</v>
      </c>
      <c r="E367" s="450"/>
    </row>
    <row r="368" spans="1:5" ht="16.5" thickBot="1">
      <c r="A368" s="247">
        <f>2026</f>
        <v>2026</v>
      </c>
      <c r="B368" s="269" t="s">
        <v>60</v>
      </c>
      <c r="C368" s="451">
        <v>1.0734349999999893</v>
      </c>
      <c r="D368" s="452">
        <f t="shared" ref="D368" si="17">100*((1+C368/100)^12-1)</f>
        <v>13.669593368367551</v>
      </c>
      <c r="E368" s="450"/>
    </row>
    <row r="369" spans="1:5">
      <c r="A369" s="453" t="s">
        <v>579</v>
      </c>
      <c r="C369" s="454"/>
      <c r="D369" s="454"/>
      <c r="E369" s="455"/>
    </row>
    <row r="370" spans="1:5">
      <c r="A370" s="257" t="s">
        <v>580</v>
      </c>
    </row>
    <row r="371" spans="1:5">
      <c r="A371" s="257" t="s">
        <v>581</v>
      </c>
    </row>
    <row r="372" spans="1:5">
      <c r="A372" s="669" t="s">
        <v>582</v>
      </c>
    </row>
    <row r="375" spans="1:5">
      <c r="A375" s="432">
        <v>4390</v>
      </c>
    </row>
  </sheetData>
  <mergeCells count="3">
    <mergeCell ref="A2:D2"/>
    <mergeCell ref="A3:D3"/>
    <mergeCell ref="A1:D1"/>
  </mergeCells>
  <phoneticPr fontId="77" type="noConversion"/>
  <hyperlinks>
    <hyperlink ref="A372" r:id="rId1" xr:uid="{91C82B9E-0B00-42DA-A306-311C224BCEE0}"/>
  </hyperlink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0D66-299C-49D0-A6A2-F359D4226902}">
  <sheetPr>
    <tabColor rgb="FF92D050"/>
  </sheetPr>
  <dimension ref="A1:AJ53"/>
  <sheetViews>
    <sheetView showGridLines="0" workbookViewId="0">
      <selection activeCell="A5" sqref="A5"/>
    </sheetView>
  </sheetViews>
  <sheetFormatPr defaultColWidth="10.140625" defaultRowHeight="15"/>
  <cols>
    <col min="1" max="1" width="12.85546875" style="456" customWidth="1"/>
    <col min="2" max="26" width="7.42578125" style="456" customWidth="1"/>
    <col min="27" max="16384" width="10.140625" style="456"/>
  </cols>
  <sheetData>
    <row r="1" spans="1:36" ht="30" customHeight="1">
      <c r="A1" s="792" t="s">
        <v>583</v>
      </c>
      <c r="B1" s="792"/>
      <c r="C1" s="792"/>
      <c r="D1" s="792"/>
      <c r="E1" s="792"/>
      <c r="F1" s="792"/>
      <c r="G1" s="792"/>
      <c r="H1" s="792"/>
      <c r="I1" s="792"/>
      <c r="J1" s="792"/>
      <c r="K1" s="792"/>
      <c r="L1" s="792"/>
      <c r="M1" s="792"/>
      <c r="N1" s="792"/>
      <c r="O1" s="792"/>
      <c r="P1" s="792"/>
      <c r="Q1" s="792"/>
      <c r="R1" s="792"/>
      <c r="S1" s="792"/>
      <c r="T1" s="792"/>
      <c r="U1" s="792"/>
      <c r="V1" s="792"/>
      <c r="W1" s="792"/>
      <c r="X1" s="792"/>
    </row>
    <row r="2" spans="1:36" ht="22.5" customHeight="1">
      <c r="A2" s="792"/>
      <c r="B2" s="792"/>
      <c r="C2" s="792"/>
      <c r="D2" s="792"/>
      <c r="E2" s="792"/>
      <c r="F2" s="792"/>
      <c r="G2" s="792"/>
      <c r="H2" s="792"/>
      <c r="I2" s="792"/>
      <c r="J2" s="792"/>
      <c r="K2" s="792"/>
      <c r="L2" s="792"/>
      <c r="M2" s="792"/>
      <c r="N2" s="792"/>
      <c r="O2" s="792"/>
      <c r="P2" s="792"/>
      <c r="Q2" s="792"/>
      <c r="R2" s="792"/>
      <c r="S2" s="792"/>
      <c r="T2" s="792"/>
      <c r="U2" s="792"/>
      <c r="V2" s="792"/>
      <c r="W2" s="792"/>
      <c r="X2" s="792"/>
    </row>
    <row r="3" spans="1:36" ht="16.5" customHeight="1">
      <c r="A3" s="793" t="s">
        <v>584</v>
      </c>
      <c r="B3" s="794"/>
      <c r="C3" s="794"/>
      <c r="D3" s="794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4"/>
      <c r="P3" s="794"/>
      <c r="Q3" s="794"/>
      <c r="R3" s="794"/>
      <c r="S3" s="794"/>
      <c r="T3" s="794"/>
      <c r="U3" s="794"/>
      <c r="V3" s="794"/>
      <c r="W3" s="794"/>
      <c r="X3" s="794"/>
      <c r="Y3" s="794"/>
      <c r="Z3" s="794"/>
    </row>
    <row r="4" spans="1:36" ht="16.5" customHeight="1">
      <c r="A4" s="793"/>
      <c r="B4" s="794"/>
      <c r="C4" s="794"/>
      <c r="D4" s="794"/>
      <c r="E4" s="794"/>
      <c r="F4" s="794"/>
      <c r="G4" s="794"/>
      <c r="H4" s="794"/>
      <c r="I4" s="794"/>
      <c r="J4" s="794"/>
      <c r="K4" s="794"/>
      <c r="L4" s="794"/>
      <c r="M4" s="794"/>
      <c r="N4" s="794"/>
      <c r="O4" s="794"/>
      <c r="P4" s="794"/>
      <c r="Q4" s="794"/>
      <c r="R4" s="794"/>
      <c r="S4" s="794"/>
      <c r="T4" s="794"/>
      <c r="U4" s="794"/>
      <c r="V4" s="794"/>
      <c r="W4" s="794"/>
      <c r="X4" s="794"/>
      <c r="Y4" s="794"/>
      <c r="Z4" s="794"/>
    </row>
    <row r="5" spans="1:36" ht="30" customHeight="1" thickBot="1">
      <c r="A5" s="680" t="s">
        <v>585</v>
      </c>
      <c r="B5" s="457">
        <v>2002</v>
      </c>
      <c r="C5" s="457">
        <v>2003</v>
      </c>
      <c r="D5" s="457">
        <v>2004</v>
      </c>
      <c r="E5" s="457">
        <v>2005</v>
      </c>
      <c r="F5" s="457">
        <v>2006</v>
      </c>
      <c r="G5" s="457">
        <v>2007</v>
      </c>
      <c r="H5" s="457">
        <v>2008</v>
      </c>
      <c r="I5" s="457">
        <v>2009</v>
      </c>
      <c r="J5" s="457">
        <v>2010</v>
      </c>
      <c r="K5" s="457">
        <v>2011</v>
      </c>
      <c r="L5" s="457">
        <v>2012</v>
      </c>
      <c r="M5" s="458">
        <v>2013</v>
      </c>
      <c r="N5" s="459">
        <v>2014</v>
      </c>
      <c r="O5" s="459">
        <v>2015</v>
      </c>
      <c r="P5" s="460">
        <v>2016</v>
      </c>
      <c r="Q5" s="461">
        <v>2017</v>
      </c>
      <c r="R5" s="459">
        <v>2018</v>
      </c>
      <c r="S5" s="460">
        <v>2019</v>
      </c>
      <c r="T5" s="460">
        <v>2020</v>
      </c>
      <c r="U5" s="462">
        <v>2021</v>
      </c>
      <c r="V5" s="462">
        <v>2022</v>
      </c>
      <c r="W5" s="459">
        <v>2023</v>
      </c>
      <c r="X5" s="459">
        <v>2024</v>
      </c>
      <c r="Y5" s="459">
        <v>2025</v>
      </c>
      <c r="Z5" s="647">
        <v>2026</v>
      </c>
    </row>
    <row r="6" spans="1:36" ht="22.5" customHeight="1">
      <c r="A6" s="463" t="s">
        <v>586</v>
      </c>
      <c r="B6" s="464">
        <v>272.38</v>
      </c>
      <c r="C6" s="465">
        <v>254.28</v>
      </c>
      <c r="D6" s="465">
        <v>233.82</v>
      </c>
      <c r="E6" s="465">
        <v>218.57</v>
      </c>
      <c r="F6" s="465">
        <v>200.96</v>
      </c>
      <c r="G6" s="465">
        <v>187.18</v>
      </c>
      <c r="H6" s="465">
        <v>176.08</v>
      </c>
      <c r="I6" s="465">
        <v>164.14</v>
      </c>
      <c r="J6" s="465">
        <v>155.03</v>
      </c>
      <c r="K6" s="465">
        <v>145.46</v>
      </c>
      <c r="L6" s="465">
        <v>134.38999999999999</v>
      </c>
      <c r="M6" s="466">
        <v>126.51</v>
      </c>
      <c r="N6" s="467">
        <v>118.34</v>
      </c>
      <c r="O6" s="468">
        <v>107.85</v>
      </c>
      <c r="P6" s="469">
        <v>95.19</v>
      </c>
      <c r="Q6" s="470">
        <v>81.96</v>
      </c>
      <c r="R6" s="471">
        <v>72.94</v>
      </c>
      <c r="S6" s="472">
        <v>66.739999999999995</v>
      </c>
      <c r="T6" s="473">
        <v>61.11</v>
      </c>
      <c r="U6" s="474">
        <v>58.62</v>
      </c>
      <c r="V6" s="475">
        <v>52.62</v>
      </c>
      <c r="W6" s="467">
        <v>53.69</v>
      </c>
      <c r="X6" s="475">
        <v>29.41</v>
      </c>
      <c r="Y6" s="641">
        <v>18.989999999999998</v>
      </c>
      <c r="Z6" s="644">
        <v>5.37</v>
      </c>
      <c r="AA6" s="672"/>
      <c r="AB6" s="672"/>
      <c r="AC6" s="672"/>
      <c r="AD6" s="672"/>
      <c r="AE6" s="672"/>
      <c r="AF6" s="672"/>
      <c r="AG6" s="672"/>
      <c r="AH6" s="672"/>
      <c r="AI6" s="672"/>
      <c r="AJ6" s="672"/>
    </row>
    <row r="7" spans="1:36" ht="22.5" customHeight="1">
      <c r="A7" s="476" t="s">
        <v>587</v>
      </c>
      <c r="B7" s="477">
        <v>271.13</v>
      </c>
      <c r="C7" s="478">
        <v>252.45</v>
      </c>
      <c r="D7" s="478">
        <v>232.74</v>
      </c>
      <c r="E7" s="478">
        <v>217.35</v>
      </c>
      <c r="F7" s="478">
        <v>199.81</v>
      </c>
      <c r="G7" s="478">
        <v>186.31</v>
      </c>
      <c r="H7" s="478">
        <v>175.28</v>
      </c>
      <c r="I7" s="478">
        <v>163.28</v>
      </c>
      <c r="J7" s="478">
        <v>154.44</v>
      </c>
      <c r="K7" s="478">
        <v>144.62</v>
      </c>
      <c r="L7" s="478">
        <v>133.63999999999999</v>
      </c>
      <c r="M7" s="479">
        <v>126.02</v>
      </c>
      <c r="N7" s="480">
        <v>117.55</v>
      </c>
      <c r="O7" s="481">
        <v>107.03</v>
      </c>
      <c r="P7" s="482">
        <v>94.19</v>
      </c>
      <c r="Q7" s="483">
        <v>81.09</v>
      </c>
      <c r="R7" s="484">
        <v>72.47</v>
      </c>
      <c r="S7" s="485">
        <v>66.25</v>
      </c>
      <c r="T7" s="486">
        <v>60.82</v>
      </c>
      <c r="U7" s="477">
        <v>58.49</v>
      </c>
      <c r="V7" s="478">
        <v>51.86</v>
      </c>
      <c r="W7" s="480">
        <v>52.93</v>
      </c>
      <c r="X7" s="478">
        <v>28.61</v>
      </c>
      <c r="Y7" s="642">
        <v>18</v>
      </c>
      <c r="Z7" s="645">
        <v>4.37</v>
      </c>
    </row>
    <row r="8" spans="1:36" ht="22.5" customHeight="1">
      <c r="A8" s="476" t="s">
        <v>588</v>
      </c>
      <c r="B8" s="477">
        <v>269.76</v>
      </c>
      <c r="C8" s="478">
        <v>250.67</v>
      </c>
      <c r="D8" s="478">
        <v>231.36</v>
      </c>
      <c r="E8" s="478">
        <v>215.82</v>
      </c>
      <c r="F8" s="478">
        <v>198.39</v>
      </c>
      <c r="G8" s="478">
        <v>185.26</v>
      </c>
      <c r="H8" s="478">
        <v>174.44</v>
      </c>
      <c r="I8" s="478">
        <v>162.31</v>
      </c>
      <c r="J8" s="478">
        <v>153.68</v>
      </c>
      <c r="K8" s="478">
        <v>143.69999999999999</v>
      </c>
      <c r="L8" s="478">
        <v>132.82</v>
      </c>
      <c r="M8" s="479">
        <v>125.47</v>
      </c>
      <c r="N8" s="480">
        <v>116.78</v>
      </c>
      <c r="O8" s="481">
        <v>105.99</v>
      </c>
      <c r="P8" s="482">
        <v>93.03</v>
      </c>
      <c r="Q8" s="483">
        <v>80.040000000000006</v>
      </c>
      <c r="R8" s="484">
        <v>71.94</v>
      </c>
      <c r="S8" s="485">
        <v>65.78</v>
      </c>
      <c r="T8" s="486">
        <v>60.48</v>
      </c>
      <c r="U8" s="477">
        <v>58.29</v>
      </c>
      <c r="V8" s="478">
        <v>50.93</v>
      </c>
      <c r="W8" s="480">
        <v>52</v>
      </c>
      <c r="X8" s="478">
        <v>27.78</v>
      </c>
      <c r="Y8" s="642">
        <v>17.04</v>
      </c>
      <c r="Z8" s="645">
        <v>3.16</v>
      </c>
    </row>
    <row r="9" spans="1:36" ht="22.5" customHeight="1">
      <c r="A9" s="476" t="s">
        <v>589</v>
      </c>
      <c r="B9" s="477">
        <v>268.27999999999997</v>
      </c>
      <c r="C9" s="478">
        <v>248.8</v>
      </c>
      <c r="D9" s="478">
        <v>230.18</v>
      </c>
      <c r="E9" s="478">
        <v>214.41</v>
      </c>
      <c r="F9" s="478">
        <v>197.31</v>
      </c>
      <c r="G9" s="478">
        <v>184.32</v>
      </c>
      <c r="H9" s="478">
        <v>173.54</v>
      </c>
      <c r="I9" s="478">
        <v>161.47</v>
      </c>
      <c r="J9" s="478">
        <v>153.01</v>
      </c>
      <c r="K9" s="478">
        <v>142.86000000000001</v>
      </c>
      <c r="L9" s="478">
        <v>132.11000000000001</v>
      </c>
      <c r="M9" s="479">
        <v>124.86</v>
      </c>
      <c r="N9" s="480">
        <v>115.96</v>
      </c>
      <c r="O9" s="481">
        <v>105.04</v>
      </c>
      <c r="P9" s="482">
        <v>91.97</v>
      </c>
      <c r="Q9" s="483">
        <v>79.25</v>
      </c>
      <c r="R9" s="484">
        <v>71.42</v>
      </c>
      <c r="S9" s="485">
        <v>65.260000000000005</v>
      </c>
      <c r="T9" s="486">
        <v>60.2</v>
      </c>
      <c r="U9" s="477">
        <v>58.08</v>
      </c>
      <c r="V9" s="478">
        <v>50.1</v>
      </c>
      <c r="W9" s="480">
        <v>51.17</v>
      </c>
      <c r="X9" s="478">
        <v>26.89</v>
      </c>
      <c r="Y9" s="642">
        <v>15.98</v>
      </c>
      <c r="Z9" s="645">
        <v>2.0699999999999998</v>
      </c>
    </row>
    <row r="10" spans="1:36" ht="22.5" customHeight="1">
      <c r="A10" s="476" t="s">
        <v>590</v>
      </c>
      <c r="B10" s="477">
        <v>266.87</v>
      </c>
      <c r="C10" s="478">
        <v>246.83</v>
      </c>
      <c r="D10" s="478">
        <v>228.95</v>
      </c>
      <c r="E10" s="478">
        <v>212.91</v>
      </c>
      <c r="F10" s="478">
        <v>196.03</v>
      </c>
      <c r="G10" s="478">
        <v>183.29</v>
      </c>
      <c r="H10" s="478">
        <v>172.66</v>
      </c>
      <c r="I10" s="478">
        <v>160.69999999999999</v>
      </c>
      <c r="J10" s="478">
        <v>152.26</v>
      </c>
      <c r="K10" s="478">
        <v>141.87</v>
      </c>
      <c r="L10" s="478">
        <v>131.37</v>
      </c>
      <c r="M10" s="479">
        <v>124.26</v>
      </c>
      <c r="N10" s="480">
        <v>115.09</v>
      </c>
      <c r="O10" s="481">
        <v>104.05</v>
      </c>
      <c r="P10" s="482">
        <v>90.86</v>
      </c>
      <c r="Q10" s="483">
        <v>78.319999999999993</v>
      </c>
      <c r="R10" s="484">
        <v>70.900000000000006</v>
      </c>
      <c r="S10" s="485">
        <v>64.72</v>
      </c>
      <c r="T10" s="486">
        <v>59.96</v>
      </c>
      <c r="U10" s="477">
        <v>57.81</v>
      </c>
      <c r="V10" s="478">
        <v>49.07</v>
      </c>
      <c r="W10" s="480">
        <v>50.14</v>
      </c>
      <c r="X10" s="478">
        <v>26.06</v>
      </c>
      <c r="Y10" s="642">
        <v>14.84</v>
      </c>
      <c r="Z10" s="645">
        <v>1</v>
      </c>
    </row>
    <row r="11" spans="1:36" ht="22.5" customHeight="1">
      <c r="A11" s="476" t="s">
        <v>591</v>
      </c>
      <c r="B11" s="477">
        <v>265.54000000000002</v>
      </c>
      <c r="C11" s="478">
        <v>244.97</v>
      </c>
      <c r="D11" s="478">
        <v>227.72</v>
      </c>
      <c r="E11" s="478">
        <v>211.32</v>
      </c>
      <c r="F11" s="478">
        <v>194.85</v>
      </c>
      <c r="G11" s="478">
        <v>182.38</v>
      </c>
      <c r="H11" s="478">
        <v>171.7</v>
      </c>
      <c r="I11" s="478">
        <v>159.94</v>
      </c>
      <c r="J11" s="478">
        <v>151.47</v>
      </c>
      <c r="K11" s="478">
        <v>140.91</v>
      </c>
      <c r="L11" s="478">
        <v>130.72999999999999</v>
      </c>
      <c r="M11" s="479">
        <v>123.65</v>
      </c>
      <c r="N11" s="480">
        <v>114.27</v>
      </c>
      <c r="O11" s="481">
        <v>102.98</v>
      </c>
      <c r="P11" s="482">
        <v>89.7</v>
      </c>
      <c r="Q11" s="483">
        <v>77.510000000000005</v>
      </c>
      <c r="R11" s="484">
        <v>70.38</v>
      </c>
      <c r="S11" s="485">
        <v>64.25</v>
      </c>
      <c r="T11" s="486">
        <v>59.75</v>
      </c>
      <c r="U11" s="477">
        <v>57.5</v>
      </c>
      <c r="V11" s="478">
        <v>48.05</v>
      </c>
      <c r="W11" s="480">
        <v>49.12</v>
      </c>
      <c r="X11" s="478">
        <v>25.27</v>
      </c>
      <c r="Y11" s="642">
        <v>13.74</v>
      </c>
      <c r="Z11" s="645">
        <v>0</v>
      </c>
    </row>
    <row r="12" spans="1:36" ht="22.5" customHeight="1">
      <c r="A12" s="476" t="s">
        <v>592</v>
      </c>
      <c r="B12" s="477">
        <v>264</v>
      </c>
      <c r="C12" s="478">
        <v>242.89</v>
      </c>
      <c r="D12" s="478">
        <v>226.43</v>
      </c>
      <c r="E12" s="478">
        <v>209.81</v>
      </c>
      <c r="F12" s="478">
        <v>193.68</v>
      </c>
      <c r="G12" s="478">
        <v>181.41</v>
      </c>
      <c r="H12" s="478">
        <v>170.63</v>
      </c>
      <c r="I12" s="478">
        <v>159.15</v>
      </c>
      <c r="J12" s="478">
        <v>150.61000000000001</v>
      </c>
      <c r="K12" s="478">
        <v>139.94</v>
      </c>
      <c r="L12" s="478">
        <v>130.05000000000001</v>
      </c>
      <c r="M12" s="479">
        <v>122.93</v>
      </c>
      <c r="N12" s="480">
        <v>113.32</v>
      </c>
      <c r="O12" s="481">
        <v>101.8</v>
      </c>
      <c r="P12" s="482">
        <v>88.59</v>
      </c>
      <c r="Q12" s="483">
        <v>76.709999999999994</v>
      </c>
      <c r="R12" s="484">
        <v>69.84</v>
      </c>
      <c r="S12" s="485">
        <v>63.68</v>
      </c>
      <c r="T12" s="486">
        <v>59.56</v>
      </c>
      <c r="U12" s="477">
        <v>57.14</v>
      </c>
      <c r="V12" s="478">
        <v>47.02</v>
      </c>
      <c r="W12" s="480">
        <v>48.09</v>
      </c>
      <c r="X12" s="478">
        <v>24.36</v>
      </c>
      <c r="Y12" s="642">
        <v>12.46</v>
      </c>
      <c r="Z12" s="645"/>
    </row>
    <row r="13" spans="1:36" ht="22.5" customHeight="1">
      <c r="A13" s="476" t="s">
        <v>593</v>
      </c>
      <c r="B13" s="477">
        <v>262.56</v>
      </c>
      <c r="C13" s="478">
        <v>241.12</v>
      </c>
      <c r="D13" s="478">
        <v>225.14</v>
      </c>
      <c r="E13" s="478">
        <v>208.15</v>
      </c>
      <c r="F13" s="478">
        <v>192.42</v>
      </c>
      <c r="G13" s="478">
        <v>180.42</v>
      </c>
      <c r="H13" s="478">
        <v>169.61</v>
      </c>
      <c r="I13" s="478">
        <v>158.46</v>
      </c>
      <c r="J13" s="478">
        <v>149.72</v>
      </c>
      <c r="K13" s="478">
        <v>138.87</v>
      </c>
      <c r="L13" s="478">
        <v>129.36000000000001</v>
      </c>
      <c r="M13" s="479">
        <v>122.22</v>
      </c>
      <c r="N13" s="480">
        <v>112.45</v>
      </c>
      <c r="O13" s="481">
        <v>100.69</v>
      </c>
      <c r="P13" s="482">
        <v>87.37</v>
      </c>
      <c r="Q13" s="483">
        <v>75.91</v>
      </c>
      <c r="R13" s="484">
        <v>69.27</v>
      </c>
      <c r="S13" s="485">
        <v>63.18</v>
      </c>
      <c r="T13" s="486">
        <v>59.4</v>
      </c>
      <c r="U13" s="477">
        <v>56.71</v>
      </c>
      <c r="V13" s="478">
        <v>45.85</v>
      </c>
      <c r="W13" s="480">
        <v>46.92</v>
      </c>
      <c r="X13" s="478">
        <v>23.49</v>
      </c>
      <c r="Y13" s="642">
        <v>11.3</v>
      </c>
      <c r="Z13" s="645"/>
    </row>
    <row r="14" spans="1:36" ht="22.5" customHeight="1">
      <c r="A14" s="476" t="s">
        <v>594</v>
      </c>
      <c r="B14" s="477">
        <v>261.18</v>
      </c>
      <c r="C14" s="478">
        <v>239.44</v>
      </c>
      <c r="D14" s="478">
        <v>223.89</v>
      </c>
      <c r="E14" s="478">
        <v>206.65</v>
      </c>
      <c r="F14" s="478">
        <v>191.36</v>
      </c>
      <c r="G14" s="478">
        <v>179.62</v>
      </c>
      <c r="H14" s="478">
        <v>168.51</v>
      </c>
      <c r="I14" s="478">
        <v>157.77000000000001</v>
      </c>
      <c r="J14" s="478">
        <v>148.87</v>
      </c>
      <c r="K14" s="478">
        <v>137.93</v>
      </c>
      <c r="L14" s="478">
        <v>128.82</v>
      </c>
      <c r="M14" s="479">
        <v>121.51</v>
      </c>
      <c r="N14" s="480">
        <v>111.54</v>
      </c>
      <c r="O14" s="481">
        <v>99.58</v>
      </c>
      <c r="P14" s="482">
        <v>86.26</v>
      </c>
      <c r="Q14" s="483">
        <v>75.27</v>
      </c>
      <c r="R14" s="484">
        <v>68.8</v>
      </c>
      <c r="S14" s="485">
        <v>62.72</v>
      </c>
      <c r="T14" s="486">
        <v>59.24</v>
      </c>
      <c r="U14" s="477">
        <v>56.27</v>
      </c>
      <c r="V14" s="478">
        <v>44.78</v>
      </c>
      <c r="W14" s="480">
        <v>45.85</v>
      </c>
      <c r="X14" s="478">
        <v>22.65</v>
      </c>
      <c r="Y14" s="642">
        <v>10.08</v>
      </c>
      <c r="Z14" s="645"/>
    </row>
    <row r="15" spans="1:36" ht="22.5" customHeight="1">
      <c r="A15" s="476" t="s">
        <v>595</v>
      </c>
      <c r="B15" s="477">
        <v>259.52999999999997</v>
      </c>
      <c r="C15" s="478">
        <v>237.8</v>
      </c>
      <c r="D15" s="478">
        <v>222.68</v>
      </c>
      <c r="E15" s="478">
        <v>205.24</v>
      </c>
      <c r="F15" s="478">
        <v>190.27</v>
      </c>
      <c r="G15" s="478">
        <v>178.69</v>
      </c>
      <c r="H15" s="478">
        <v>167.33</v>
      </c>
      <c r="I15" s="478">
        <v>157.08000000000001</v>
      </c>
      <c r="J15" s="478">
        <v>148.06</v>
      </c>
      <c r="K15" s="478">
        <v>137.05000000000001</v>
      </c>
      <c r="L15" s="478">
        <v>128.21</v>
      </c>
      <c r="M15" s="479">
        <v>120.7</v>
      </c>
      <c r="N15" s="480">
        <v>110.59</v>
      </c>
      <c r="O15" s="481">
        <v>98.47</v>
      </c>
      <c r="P15" s="482">
        <v>85.21</v>
      </c>
      <c r="Q15" s="483">
        <v>74.63</v>
      </c>
      <c r="R15" s="484">
        <v>68.260000000000005</v>
      </c>
      <c r="S15" s="485">
        <v>62.24</v>
      </c>
      <c r="T15" s="486">
        <v>59.08</v>
      </c>
      <c r="U15" s="477">
        <v>55.78</v>
      </c>
      <c r="V15" s="478">
        <v>43.76</v>
      </c>
      <c r="W15" s="480">
        <v>44.83</v>
      </c>
      <c r="X15" s="478">
        <v>21.72</v>
      </c>
      <c r="Y15" s="642">
        <v>8.8000000000000007</v>
      </c>
      <c r="Z15" s="645"/>
    </row>
    <row r="16" spans="1:36" ht="22.5" customHeight="1">
      <c r="A16" s="476" t="s">
        <v>596</v>
      </c>
      <c r="B16" s="477">
        <v>257.99</v>
      </c>
      <c r="C16" s="478">
        <v>236.46</v>
      </c>
      <c r="D16" s="478">
        <v>221.43</v>
      </c>
      <c r="E16" s="478">
        <v>203.86</v>
      </c>
      <c r="F16" s="478">
        <v>189.25</v>
      </c>
      <c r="G16" s="478">
        <v>177.85</v>
      </c>
      <c r="H16" s="478">
        <v>166.31</v>
      </c>
      <c r="I16" s="478">
        <v>156.41999999999999</v>
      </c>
      <c r="J16" s="478">
        <v>147.25</v>
      </c>
      <c r="K16" s="478">
        <v>136.19</v>
      </c>
      <c r="L16" s="478">
        <v>127.66</v>
      </c>
      <c r="M16" s="479">
        <v>119.98</v>
      </c>
      <c r="N16" s="480">
        <v>109.75</v>
      </c>
      <c r="O16" s="481">
        <v>97.41</v>
      </c>
      <c r="P16" s="482">
        <v>84.17</v>
      </c>
      <c r="Q16" s="483">
        <v>74.06</v>
      </c>
      <c r="R16" s="484">
        <v>67.77</v>
      </c>
      <c r="S16" s="485">
        <v>61.86</v>
      </c>
      <c r="T16" s="486">
        <v>58.93</v>
      </c>
      <c r="U16" s="477">
        <v>55.19</v>
      </c>
      <c r="V16" s="478">
        <v>42.74</v>
      </c>
      <c r="W16" s="480">
        <v>43.81</v>
      </c>
      <c r="X16" s="478">
        <v>20.93</v>
      </c>
      <c r="Y16" s="642">
        <v>7.75</v>
      </c>
      <c r="Z16" s="645"/>
    </row>
    <row r="17" spans="1:26" ht="22.5" customHeight="1" thickBot="1">
      <c r="A17" s="487" t="s">
        <v>597</v>
      </c>
      <c r="B17" s="488">
        <v>256.25</v>
      </c>
      <c r="C17" s="489">
        <v>235.09</v>
      </c>
      <c r="D17" s="489">
        <v>219.95</v>
      </c>
      <c r="E17" s="489">
        <v>202.39</v>
      </c>
      <c r="F17" s="489">
        <v>188.26</v>
      </c>
      <c r="G17" s="489">
        <v>177.01</v>
      </c>
      <c r="H17" s="489">
        <v>165.19</v>
      </c>
      <c r="I17" s="489">
        <v>155.69</v>
      </c>
      <c r="J17" s="489">
        <v>146.32</v>
      </c>
      <c r="K17" s="489">
        <v>135.28</v>
      </c>
      <c r="L17" s="489">
        <v>127.11</v>
      </c>
      <c r="M17" s="489">
        <v>119.19</v>
      </c>
      <c r="N17" s="490">
        <v>108.79</v>
      </c>
      <c r="O17" s="491">
        <v>96.25</v>
      </c>
      <c r="P17" s="492">
        <v>83.05</v>
      </c>
      <c r="Q17" s="493">
        <v>73.52</v>
      </c>
      <c r="R17" s="494">
        <v>67.28</v>
      </c>
      <c r="S17" s="495">
        <v>61.49</v>
      </c>
      <c r="T17" s="496">
        <v>58.77</v>
      </c>
      <c r="U17" s="488">
        <v>54.42</v>
      </c>
      <c r="V17" s="489">
        <v>41.62</v>
      </c>
      <c r="W17" s="490">
        <v>42.69</v>
      </c>
      <c r="X17" s="489">
        <v>20</v>
      </c>
      <c r="Y17" s="643">
        <v>6.53</v>
      </c>
      <c r="Z17" s="646"/>
    </row>
    <row r="18" spans="1:26" ht="26.25" customHeight="1">
      <c r="A18" s="497" t="s">
        <v>598</v>
      </c>
      <c r="D18" s="498"/>
      <c r="I18" s="498"/>
      <c r="L18" s="498"/>
      <c r="V18" s="499"/>
      <c r="W18" s="500"/>
      <c r="Y18" s="500"/>
    </row>
    <row r="19" spans="1:26" ht="26.25" customHeight="1">
      <c r="B19" s="501"/>
      <c r="D19" s="498"/>
      <c r="I19" s="498"/>
      <c r="L19" s="498"/>
      <c r="S19" s="502"/>
      <c r="T19" s="502"/>
      <c r="W19" s="503"/>
      <c r="Y19" s="503"/>
    </row>
    <row r="20" spans="1:26" ht="26.25" customHeight="1">
      <c r="A20" s="656"/>
      <c r="D20" s="498"/>
      <c r="I20" s="498"/>
      <c r="L20" s="498"/>
      <c r="S20" s="502"/>
      <c r="T20" s="502"/>
      <c r="W20" s="505"/>
      <c r="Y20" s="505"/>
    </row>
    <row r="21" spans="1:26" ht="26.25" customHeight="1">
      <c r="A21" s="504"/>
      <c r="D21" s="498"/>
      <c r="I21" s="498"/>
      <c r="L21" s="498"/>
      <c r="S21" s="502"/>
      <c r="T21" s="502"/>
      <c r="W21" s="505"/>
      <c r="Y21" s="505"/>
    </row>
    <row r="22" spans="1:26" ht="26.25" customHeight="1">
      <c r="A22" s="504"/>
      <c r="D22" s="498"/>
      <c r="I22" s="498"/>
      <c r="L22" s="498"/>
      <c r="S22" s="502"/>
      <c r="T22" s="502"/>
      <c r="W22" s="505"/>
      <c r="Y22" s="505"/>
    </row>
    <row r="23" spans="1:26" ht="26.25" customHeight="1">
      <c r="A23" s="504"/>
      <c r="D23" s="498"/>
      <c r="I23" s="498"/>
      <c r="L23" s="498"/>
      <c r="S23" s="502"/>
      <c r="T23" s="502"/>
      <c r="W23" s="505"/>
      <c r="Y23" s="505"/>
    </row>
    <row r="24" spans="1:26" ht="26.25" customHeight="1">
      <c r="A24" s="504"/>
      <c r="D24" s="498"/>
      <c r="I24" s="498"/>
      <c r="L24" s="498"/>
      <c r="S24" s="502"/>
      <c r="T24" s="502"/>
      <c r="W24" s="505"/>
      <c r="Y24" s="505"/>
    </row>
    <row r="25" spans="1:26" ht="26.25" customHeight="1">
      <c r="A25" s="504"/>
      <c r="D25" s="498"/>
      <c r="I25" s="498"/>
      <c r="L25" s="498"/>
      <c r="S25" s="502"/>
      <c r="T25" s="502"/>
      <c r="W25" s="505"/>
      <c r="Y25" s="505"/>
    </row>
    <row r="26" spans="1:26" ht="26.25" customHeight="1">
      <c r="A26" s="504"/>
      <c r="B26" s="506"/>
      <c r="D26" s="498"/>
      <c r="I26" s="498"/>
      <c r="L26" s="498"/>
      <c r="S26" s="502"/>
      <c r="T26" s="502"/>
      <c r="W26" s="505"/>
      <c r="Y26" s="505"/>
    </row>
    <row r="27" spans="1:26" ht="26.25" customHeight="1">
      <c r="A27" s="504"/>
      <c r="B27" s="506"/>
      <c r="D27" s="498"/>
      <c r="I27" s="498"/>
      <c r="L27" s="498"/>
      <c r="S27" s="502"/>
      <c r="T27" s="502"/>
      <c r="W27" s="505"/>
      <c r="Y27" s="505"/>
    </row>
    <row r="28" spans="1:26" ht="26.25" customHeight="1">
      <c r="A28" s="504"/>
      <c r="B28" s="506"/>
      <c r="D28" s="498"/>
      <c r="I28" s="498"/>
      <c r="L28" s="498"/>
      <c r="S28" s="502"/>
      <c r="T28" s="502"/>
      <c r="W28" s="505"/>
      <c r="Y28" s="505"/>
    </row>
    <row r="29" spans="1:26" ht="26.25" customHeight="1">
      <c r="A29" s="504"/>
      <c r="B29" s="506"/>
      <c r="D29" s="498"/>
      <c r="I29" s="498"/>
      <c r="L29" s="498"/>
      <c r="S29" s="502"/>
      <c r="T29" s="502"/>
      <c r="W29" s="505"/>
      <c r="Y29" s="505"/>
    </row>
    <row r="30" spans="1:26" ht="26.25" customHeight="1">
      <c r="A30" s="504"/>
      <c r="B30" s="506"/>
      <c r="D30" s="498"/>
      <c r="I30" s="498"/>
      <c r="L30" s="498"/>
      <c r="S30" s="502"/>
      <c r="T30" s="502"/>
      <c r="W30" s="505"/>
      <c r="Y30" s="505"/>
    </row>
    <row r="31" spans="1:26" ht="26.25" customHeight="1">
      <c r="A31" s="504"/>
      <c r="B31" s="506"/>
      <c r="D31" s="498"/>
      <c r="I31" s="498"/>
      <c r="L31" s="498"/>
      <c r="W31" s="505"/>
      <c r="Y31" s="505"/>
    </row>
    <row r="32" spans="1:26" ht="26.25" customHeight="1">
      <c r="A32" s="507"/>
      <c r="D32" s="498"/>
      <c r="I32" s="498"/>
      <c r="L32" s="498"/>
      <c r="W32" s="505"/>
      <c r="Y32" s="505"/>
    </row>
    <row r="33" spans="1:18" ht="26.25" customHeight="1">
      <c r="A33" s="507"/>
      <c r="D33" s="498"/>
      <c r="I33" s="498"/>
      <c r="L33" s="498"/>
    </row>
    <row r="34" spans="1:18" ht="26.25" customHeight="1">
      <c r="F34" s="508"/>
      <c r="G34" s="509"/>
      <c r="H34" s="509"/>
      <c r="I34" s="509"/>
      <c r="J34" s="509"/>
      <c r="K34" s="509"/>
      <c r="L34" s="509"/>
      <c r="M34" s="509"/>
      <c r="N34" s="509"/>
      <c r="O34" s="509"/>
    </row>
    <row r="35" spans="1:18" ht="26.25" customHeight="1">
      <c r="A35" s="510" t="s">
        <v>585</v>
      </c>
      <c r="B35" s="511">
        <v>2002</v>
      </c>
      <c r="C35" s="511">
        <v>2003</v>
      </c>
      <c r="D35" s="511">
        <v>2004</v>
      </c>
      <c r="E35" s="511">
        <v>2005</v>
      </c>
      <c r="F35" s="511">
        <v>2006</v>
      </c>
      <c r="G35" s="511">
        <v>2007</v>
      </c>
      <c r="H35" s="511">
        <v>2008</v>
      </c>
      <c r="I35" s="511">
        <v>2009</v>
      </c>
      <c r="J35" s="511"/>
      <c r="K35" s="511"/>
      <c r="L35" s="511"/>
      <c r="M35" s="512"/>
      <c r="N35" s="513"/>
      <c r="O35" s="513"/>
    </row>
    <row r="36" spans="1:18" s="519" customFormat="1" ht="16.5" customHeight="1">
      <c r="A36" s="514" t="s">
        <v>586</v>
      </c>
      <c r="B36" s="515">
        <f>(139.75)</f>
        <v>139.75</v>
      </c>
      <c r="C36" s="515">
        <f>121.65</f>
        <v>121.65</v>
      </c>
      <c r="D36" s="515">
        <f>101.19</f>
        <v>101.19</v>
      </c>
      <c r="E36" s="515">
        <f>85.94</f>
        <v>85.94</v>
      </c>
      <c r="F36" s="515">
        <f>68.33</f>
        <v>68.33</v>
      </c>
      <c r="G36" s="515">
        <f>54.55</f>
        <v>54.55</v>
      </c>
      <c r="H36" s="515">
        <f>43.45</f>
        <v>43.45</v>
      </c>
      <c r="I36" s="515">
        <f>31.51</f>
        <v>31.51</v>
      </c>
      <c r="J36" s="515"/>
      <c r="K36" s="515"/>
      <c r="L36" s="515"/>
      <c r="M36" s="512"/>
      <c r="N36" s="516"/>
      <c r="O36" s="517"/>
      <c r="P36" s="518"/>
      <c r="Q36" s="518"/>
      <c r="R36" s="518"/>
    </row>
    <row r="37" spans="1:18" s="519" customFormat="1" ht="16.5" customHeight="1">
      <c r="A37" s="514" t="s">
        <v>587</v>
      </c>
      <c r="B37" s="515">
        <f>(138.5)</f>
        <v>138.5</v>
      </c>
      <c r="C37" s="515">
        <f>119.82</f>
        <v>119.82</v>
      </c>
      <c r="D37" s="515">
        <f>100.11</f>
        <v>100.11</v>
      </c>
      <c r="E37" s="515">
        <f>84.72</f>
        <v>84.72</v>
      </c>
      <c r="F37" s="515">
        <f>67.18</f>
        <v>67.180000000000007</v>
      </c>
      <c r="G37" s="515">
        <f>53.68</f>
        <v>53.68</v>
      </c>
      <c r="H37" s="515">
        <f>42.65</f>
        <v>42.65</v>
      </c>
      <c r="I37" s="515">
        <f>30.65</f>
        <v>30.65</v>
      </c>
      <c r="J37" s="515"/>
      <c r="K37" s="515"/>
      <c r="L37" s="515"/>
      <c r="N37" s="516"/>
      <c r="O37" s="517"/>
      <c r="P37" s="518"/>
      <c r="Q37" s="518"/>
      <c r="R37" s="518"/>
    </row>
    <row r="38" spans="1:18" s="519" customFormat="1" ht="16.5" customHeight="1">
      <c r="A38" s="514" t="s">
        <v>588</v>
      </c>
      <c r="B38" s="515">
        <f>137.13</f>
        <v>137.13</v>
      </c>
      <c r="C38" s="515">
        <f>118.04</f>
        <v>118.04</v>
      </c>
      <c r="D38" s="515">
        <f>98.73</f>
        <v>98.73</v>
      </c>
      <c r="E38" s="515">
        <f>83.19</f>
        <v>83.19</v>
      </c>
      <c r="F38" s="515">
        <f>65.76</f>
        <v>65.760000000000005</v>
      </c>
      <c r="G38" s="515">
        <f>52.63</f>
        <v>52.63</v>
      </c>
      <c r="H38" s="515">
        <f>41.81</f>
        <v>41.81</v>
      </c>
      <c r="I38" s="515">
        <f>29.68</f>
        <v>29.68</v>
      </c>
      <c r="J38" s="515"/>
      <c r="K38" s="515"/>
      <c r="L38" s="515"/>
      <c r="O38" s="517"/>
      <c r="P38" s="518"/>
      <c r="Q38" s="518"/>
      <c r="R38" s="518"/>
    </row>
    <row r="39" spans="1:18" s="519" customFormat="1" ht="16.5" customHeight="1">
      <c r="A39" s="514" t="s">
        <v>589</v>
      </c>
      <c r="B39" s="515">
        <f>135.65</f>
        <v>135.65</v>
      </c>
      <c r="C39" s="515">
        <f>116.17</f>
        <v>116.17</v>
      </c>
      <c r="D39" s="515">
        <f>97.55</f>
        <v>97.55</v>
      </c>
      <c r="E39" s="515">
        <f>81.78</f>
        <v>81.78</v>
      </c>
      <c r="F39" s="515">
        <f>64.68</f>
        <v>64.680000000000007</v>
      </c>
      <c r="G39" s="515">
        <f>51.69</f>
        <v>51.69</v>
      </c>
      <c r="H39" s="515">
        <f>40.91</f>
        <v>40.909999999999997</v>
      </c>
      <c r="I39" s="515">
        <f>28.84</f>
        <v>28.84</v>
      </c>
      <c r="J39" s="515"/>
      <c r="K39" s="515"/>
      <c r="L39" s="515"/>
      <c r="O39" s="517"/>
      <c r="P39" s="518"/>
      <c r="Q39" s="518"/>
      <c r="R39" s="518"/>
    </row>
    <row r="40" spans="1:18" s="519" customFormat="1" ht="16.5" customHeight="1">
      <c r="A40" s="514" t="s">
        <v>590</v>
      </c>
      <c r="B40" s="515">
        <f>134.24</f>
        <v>134.24</v>
      </c>
      <c r="C40" s="515">
        <f>114.2</f>
        <v>114.2</v>
      </c>
      <c r="D40" s="515">
        <f>96.32</f>
        <v>96.32</v>
      </c>
      <c r="E40" s="515">
        <f>80.28</f>
        <v>80.28</v>
      </c>
      <c r="F40" s="515">
        <f>63.4</f>
        <v>63.4</v>
      </c>
      <c r="G40" s="515">
        <f>50.66</f>
        <v>50.66</v>
      </c>
      <c r="H40" s="515">
        <f>40.03</f>
        <v>40.03</v>
      </c>
      <c r="I40" s="515">
        <f>28.07</f>
        <v>28.07</v>
      </c>
      <c r="J40" s="515"/>
      <c r="K40" s="515"/>
      <c r="L40" s="515"/>
      <c r="O40" s="517"/>
      <c r="P40" s="518"/>
      <c r="Q40" s="518"/>
      <c r="R40" s="518"/>
    </row>
    <row r="41" spans="1:18" s="519" customFormat="1" ht="16.5" customHeight="1">
      <c r="A41" s="514" t="s">
        <v>591</v>
      </c>
      <c r="B41" s="515">
        <f>132.9</f>
        <v>132.9</v>
      </c>
      <c r="C41" s="515">
        <f>112.34</f>
        <v>112.34</v>
      </c>
      <c r="D41" s="515">
        <f>95.09</f>
        <v>95.09</v>
      </c>
      <c r="E41" s="515">
        <f>78.69</f>
        <v>78.69</v>
      </c>
      <c r="F41" s="515">
        <f>62.22</f>
        <v>62.22</v>
      </c>
      <c r="G41" s="515">
        <f>49.75</f>
        <v>49.75</v>
      </c>
      <c r="H41" s="515">
        <f>39.07</f>
        <v>39.07</v>
      </c>
      <c r="I41" s="515">
        <f>27.31</f>
        <v>27.31</v>
      </c>
      <c r="J41" s="515"/>
      <c r="K41" s="515"/>
      <c r="L41" s="515"/>
      <c r="O41" s="517"/>
      <c r="P41" s="518"/>
      <c r="Q41" s="518"/>
      <c r="R41" s="518"/>
    </row>
    <row r="42" spans="1:18" s="519" customFormat="1" ht="16.5" customHeight="1">
      <c r="A42" s="514" t="s">
        <v>592</v>
      </c>
      <c r="B42" s="515">
        <f>131.37</f>
        <v>131.37</v>
      </c>
      <c r="C42" s="515">
        <f>110.26</f>
        <v>110.26</v>
      </c>
      <c r="D42" s="515">
        <f>93.8</f>
        <v>93.8</v>
      </c>
      <c r="E42" s="515">
        <f>77.18</f>
        <v>77.180000000000007</v>
      </c>
      <c r="F42" s="515">
        <f>61.05</f>
        <v>61.05</v>
      </c>
      <c r="G42" s="515">
        <f>48.78</f>
        <v>48.78</v>
      </c>
      <c r="H42" s="515">
        <f>38</f>
        <v>38</v>
      </c>
      <c r="I42" s="515">
        <f>26.52</f>
        <v>26.52</v>
      </c>
      <c r="J42" s="515"/>
      <c r="K42" s="515"/>
      <c r="L42" s="515"/>
      <c r="O42" s="517"/>
      <c r="P42" s="518"/>
      <c r="Q42" s="518"/>
      <c r="R42" s="518"/>
    </row>
    <row r="43" spans="1:18" s="519" customFormat="1" ht="16.5" customHeight="1">
      <c r="A43" s="514" t="s">
        <v>593</v>
      </c>
      <c r="B43" s="515">
        <f>129.93</f>
        <v>129.93</v>
      </c>
      <c r="C43" s="515">
        <f>108.49</f>
        <v>108.49</v>
      </c>
      <c r="D43" s="515">
        <f>92.51</f>
        <v>92.51</v>
      </c>
      <c r="E43" s="515">
        <f>75.52</f>
        <v>75.52</v>
      </c>
      <c r="F43" s="515">
        <f>59.79</f>
        <v>59.79</v>
      </c>
      <c r="G43" s="515">
        <f>47.79</f>
        <v>47.79</v>
      </c>
      <c r="H43" s="515">
        <f>36.98</f>
        <v>36.979999999999997</v>
      </c>
      <c r="I43" s="515">
        <f>25.83</f>
        <v>25.83</v>
      </c>
      <c r="J43" s="515"/>
      <c r="K43" s="515"/>
      <c r="L43" s="515"/>
      <c r="O43" s="517"/>
      <c r="P43" s="518"/>
      <c r="Q43" s="518"/>
      <c r="R43" s="518"/>
    </row>
    <row r="44" spans="1:18" s="519" customFormat="1" ht="16.5" customHeight="1">
      <c r="A44" s="514" t="s">
        <v>594</v>
      </c>
      <c r="B44" s="515">
        <f>128.55</f>
        <v>128.55000000000001</v>
      </c>
      <c r="C44" s="515">
        <f>106.81</f>
        <v>106.81</v>
      </c>
      <c r="D44" s="515">
        <f>91.26</f>
        <v>91.26</v>
      </c>
      <c r="E44" s="515">
        <f>74.02</f>
        <v>74.02</v>
      </c>
      <c r="F44" s="515">
        <f>58.73</f>
        <v>58.73</v>
      </c>
      <c r="G44" s="515">
        <f>46.99</f>
        <v>46.99</v>
      </c>
      <c r="H44" s="515">
        <f>35.88</f>
        <v>35.880000000000003</v>
      </c>
      <c r="I44" s="515">
        <f>25.14</f>
        <v>25.14</v>
      </c>
      <c r="J44" s="515"/>
      <c r="K44" s="515"/>
      <c r="L44" s="515"/>
      <c r="O44" s="517"/>
      <c r="P44" s="518"/>
      <c r="Q44" s="518"/>
      <c r="R44" s="518"/>
    </row>
    <row r="45" spans="1:18" s="519" customFormat="1" ht="16.5" customHeight="1">
      <c r="A45" s="514" t="s">
        <v>595</v>
      </c>
      <c r="B45" s="515">
        <f>126.9</f>
        <v>126.9</v>
      </c>
      <c r="C45" s="515">
        <f>105.17</f>
        <v>105.17</v>
      </c>
      <c r="D45" s="515">
        <f>90.05</f>
        <v>90.05</v>
      </c>
      <c r="E45" s="515">
        <f>72.61</f>
        <v>72.61</v>
      </c>
      <c r="F45" s="515">
        <f>57.64</f>
        <v>57.64</v>
      </c>
      <c r="G45" s="515">
        <f>46.06</f>
        <v>46.06</v>
      </c>
      <c r="H45" s="515">
        <f>34.7</f>
        <v>34.700000000000003</v>
      </c>
      <c r="I45" s="515">
        <f>24.45</f>
        <v>24.45</v>
      </c>
      <c r="J45" s="515"/>
      <c r="K45" s="515"/>
      <c r="L45" s="515"/>
      <c r="O45" s="517"/>
      <c r="P45" s="518"/>
      <c r="Q45" s="518"/>
      <c r="R45" s="518"/>
    </row>
    <row r="46" spans="1:18" s="519" customFormat="1" ht="16.5" customHeight="1">
      <c r="A46" s="514" t="s">
        <v>596</v>
      </c>
      <c r="B46" s="515">
        <f>125.36</f>
        <v>125.36</v>
      </c>
      <c r="C46" s="515">
        <f>103.83</f>
        <v>103.83</v>
      </c>
      <c r="D46" s="515">
        <f>88.8</f>
        <v>88.8</v>
      </c>
      <c r="E46" s="515">
        <f>71.23</f>
        <v>71.23</v>
      </c>
      <c r="F46" s="515">
        <f>56.62</f>
        <v>56.62</v>
      </c>
      <c r="G46" s="515">
        <f>45.22</f>
        <v>45.22</v>
      </c>
      <c r="H46" s="515">
        <f>33.68</f>
        <v>33.68</v>
      </c>
      <c r="I46" s="515">
        <f>23.79</f>
        <v>23.79</v>
      </c>
      <c r="J46" s="515"/>
      <c r="K46" s="515"/>
      <c r="L46" s="515"/>
      <c r="O46" s="517"/>
      <c r="P46" s="518"/>
      <c r="Q46" s="518"/>
      <c r="R46" s="518"/>
    </row>
    <row r="47" spans="1:18" s="519" customFormat="1" ht="16.5" customHeight="1">
      <c r="A47" s="514" t="s">
        <v>597</v>
      </c>
      <c r="B47" s="515">
        <f>123.62</f>
        <v>123.62</v>
      </c>
      <c r="C47" s="515">
        <f>102.46</f>
        <v>102.46</v>
      </c>
      <c r="D47" s="515">
        <f>87.32</f>
        <v>87.32</v>
      </c>
      <c r="E47" s="515">
        <f>69.76</f>
        <v>69.760000000000005</v>
      </c>
      <c r="F47" s="515">
        <f>55.63</f>
        <v>55.63</v>
      </c>
      <c r="G47" s="515">
        <f>44.38</f>
        <v>44.38</v>
      </c>
      <c r="H47" s="515">
        <f>32.56</f>
        <v>32.56</v>
      </c>
      <c r="I47" s="515">
        <f>23.06</f>
        <v>23.06</v>
      </c>
      <c r="J47" s="515"/>
      <c r="K47" s="515"/>
      <c r="L47" s="515"/>
      <c r="O47" s="517"/>
      <c r="P47" s="518"/>
      <c r="Q47" s="518"/>
      <c r="R47" s="518"/>
    </row>
    <row r="48" spans="1:18" s="519" customFormat="1" ht="16.5" customHeight="1">
      <c r="A48" s="456"/>
      <c r="B48" s="456"/>
      <c r="C48" s="520"/>
      <c r="D48" s="521"/>
      <c r="E48" s="520"/>
      <c r="F48" s="522"/>
      <c r="G48" s="55"/>
      <c r="H48" s="55"/>
      <c r="I48" s="55"/>
      <c r="J48" s="55"/>
      <c r="K48" s="55"/>
      <c r="L48" s="523"/>
    </row>
    <row r="49" spans="1:18" s="519" customFormat="1" ht="16.5" customHeight="1">
      <c r="A49" s="456"/>
      <c r="B49" s="456"/>
      <c r="C49" s="520"/>
      <c r="D49" s="521"/>
      <c r="E49" s="520"/>
      <c r="F49" s="521"/>
      <c r="G49" s="521"/>
      <c r="H49" s="521"/>
      <c r="I49" s="521"/>
      <c r="J49" s="521"/>
      <c r="K49" s="521"/>
      <c r="L49" s="523"/>
    </row>
    <row r="50" spans="1:18" s="519" customFormat="1" ht="16.5" customHeight="1">
      <c r="A50" s="456"/>
      <c r="B50" s="456"/>
      <c r="C50" s="520"/>
      <c r="D50" s="521"/>
      <c r="E50" s="520"/>
      <c r="F50" s="521"/>
      <c r="G50" s="521"/>
      <c r="H50" s="521"/>
      <c r="I50" s="521"/>
      <c r="J50" s="521"/>
      <c r="K50" s="521"/>
      <c r="L50" s="521"/>
      <c r="M50" s="521"/>
      <c r="N50" s="524"/>
      <c r="O50" s="456"/>
      <c r="P50" s="456"/>
      <c r="Q50" s="456"/>
      <c r="R50" s="456"/>
    </row>
    <row r="51" spans="1:18" s="519" customFormat="1" ht="15.75">
      <c r="A51" s="456"/>
      <c r="B51" s="456"/>
      <c r="C51" s="520"/>
      <c r="D51" s="521"/>
      <c r="E51" s="520"/>
      <c r="F51" s="521"/>
      <c r="G51" s="521"/>
      <c r="H51" s="521"/>
      <c r="I51" s="521"/>
      <c r="J51" s="521"/>
      <c r="K51" s="521"/>
      <c r="L51" s="521"/>
      <c r="M51" s="521"/>
      <c r="N51" s="525"/>
      <c r="O51" s="456"/>
      <c r="P51" s="456"/>
      <c r="Q51" s="456"/>
      <c r="R51" s="456"/>
    </row>
    <row r="52" spans="1:18" s="519" customFormat="1" ht="16.5" customHeight="1">
      <c r="C52" s="526"/>
      <c r="D52" s="527"/>
      <c r="E52" s="526"/>
      <c r="F52" s="527"/>
      <c r="G52" s="527"/>
      <c r="H52" s="527"/>
      <c r="I52" s="527"/>
      <c r="J52" s="527"/>
      <c r="K52" s="527"/>
      <c r="L52" s="527"/>
      <c r="M52" s="527"/>
      <c r="N52" s="528"/>
    </row>
    <row r="53" spans="1:18" s="519" customFormat="1" ht="16.5" customHeight="1"/>
  </sheetData>
  <mergeCells count="2">
    <mergeCell ref="A1:X2"/>
    <mergeCell ref="A3:Z4"/>
  </mergeCells>
  <hyperlinks>
    <hyperlink ref="A18" r:id="rId1" xr:uid="{F5631D80-1180-463F-87D6-4F514F4581F5}"/>
  </hyperlink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52710-BEEB-4C63-AC18-D09093624915}">
  <sheetPr>
    <tabColor theme="9" tint="-0.249977111117893"/>
  </sheetPr>
  <dimension ref="A1:E367"/>
  <sheetViews>
    <sheetView showGridLines="0" workbookViewId="0">
      <pane ySplit="2670" topLeftCell="A354" activePane="bottomLeft"/>
      <selection pane="bottomLeft" activeCell="C363" sqref="C363"/>
      <selection activeCell="H383" sqref="H383"/>
    </sheetView>
  </sheetViews>
  <sheetFormatPr defaultColWidth="11.42578125" defaultRowHeight="15.75"/>
  <cols>
    <col min="1" max="1" width="11.42578125" style="55"/>
    <col min="2" max="2" width="14.85546875" style="55" customWidth="1"/>
    <col min="3" max="4" width="16.42578125" style="55" customWidth="1"/>
    <col min="5" max="7" width="13.85546875" style="55" customWidth="1"/>
    <col min="8" max="16384" width="11.42578125" style="55"/>
  </cols>
  <sheetData>
    <row r="1" spans="1:4" ht="21" customHeight="1">
      <c r="A1" s="747" t="s">
        <v>599</v>
      </c>
      <c r="B1" s="747"/>
      <c r="C1" s="747"/>
      <c r="D1" s="747"/>
    </row>
    <row r="2" spans="1:4" ht="15.75" customHeight="1">
      <c r="A2" s="747"/>
      <c r="B2" s="747"/>
      <c r="C2" s="747"/>
      <c r="D2" s="747"/>
    </row>
    <row r="3" spans="1:4" ht="15" customHeight="1" thickBot="1">
      <c r="A3" s="748"/>
      <c r="B3" s="748"/>
      <c r="C3" s="748"/>
      <c r="D3" s="748"/>
    </row>
    <row r="4" spans="1:4" ht="16.5" thickBot="1">
      <c r="A4" s="795" t="s">
        <v>600</v>
      </c>
      <c r="B4" s="796"/>
      <c r="C4" s="796"/>
      <c r="D4" s="797"/>
    </row>
    <row r="5" spans="1:4" ht="16.5" thickBot="1">
      <c r="A5" s="798" t="s">
        <v>601</v>
      </c>
      <c r="B5" s="799"/>
      <c r="C5" s="799"/>
      <c r="D5" s="800"/>
    </row>
    <row r="6" spans="1:4" ht="18" thickBot="1">
      <c r="A6" s="529" t="s">
        <v>49</v>
      </c>
      <c r="B6" s="530" t="s">
        <v>50</v>
      </c>
      <c r="C6" s="530" t="s">
        <v>602</v>
      </c>
      <c r="D6" s="531" t="s">
        <v>577</v>
      </c>
    </row>
    <row r="7" spans="1:4" ht="16.5" hidden="1" thickBot="1">
      <c r="A7" s="532"/>
      <c r="B7" s="533"/>
      <c r="C7" s="533"/>
      <c r="D7" s="534"/>
    </row>
    <row r="8" spans="1:4" ht="16.5" hidden="1" thickBot="1">
      <c r="A8" s="535">
        <v>1994</v>
      </c>
      <c r="B8" s="536" t="s">
        <v>150</v>
      </c>
      <c r="C8" s="536">
        <v>26.01</v>
      </c>
      <c r="D8" s="537">
        <f>100*((1+C8/100)^0.0833333333-1)</f>
        <v>1.9452709075661989</v>
      </c>
    </row>
    <row r="9" spans="1:4" ht="16.5" hidden="1" thickBot="1">
      <c r="A9" s="535"/>
      <c r="B9" s="536"/>
      <c r="C9" s="536"/>
      <c r="D9" s="537"/>
    </row>
    <row r="10" spans="1:4" ht="16.5" hidden="1" thickBot="1">
      <c r="A10" s="535">
        <v>1995</v>
      </c>
      <c r="B10" s="536" t="s">
        <v>150</v>
      </c>
      <c r="C10" s="536">
        <v>17.72</v>
      </c>
      <c r="D10" s="537">
        <f t="shared" ref="D10:D73" si="0">100*((1+C10/100)^0.0833333333-1)</f>
        <v>1.3687725555856289</v>
      </c>
    </row>
    <row r="11" spans="1:4" ht="16.5" hidden="1" thickBot="1">
      <c r="A11" s="535"/>
      <c r="B11" s="536"/>
      <c r="C11" s="536"/>
      <c r="D11" s="537"/>
    </row>
    <row r="12" spans="1:4" ht="16.5" hidden="1" thickBot="1">
      <c r="A12" s="535">
        <v>1996</v>
      </c>
      <c r="B12" s="536" t="s">
        <v>150</v>
      </c>
      <c r="C12" s="536">
        <v>11.02</v>
      </c>
      <c r="D12" s="537">
        <f t="shared" si="0"/>
        <v>0.8749738734443735</v>
      </c>
    </row>
    <row r="13" spans="1:4" ht="16.5" hidden="1" thickBot="1">
      <c r="A13" s="535"/>
      <c r="B13" s="536"/>
      <c r="C13" s="536"/>
      <c r="D13" s="537"/>
    </row>
    <row r="14" spans="1:4" ht="16.5" hidden="1" thickBot="1">
      <c r="A14" s="535">
        <v>1997</v>
      </c>
      <c r="B14" s="536" t="s">
        <v>150</v>
      </c>
      <c r="C14" s="536">
        <v>9.89</v>
      </c>
      <c r="D14" s="537">
        <f t="shared" si="0"/>
        <v>0.78901040570726888</v>
      </c>
    </row>
    <row r="15" spans="1:4" ht="16.5" hidden="1" thickBot="1">
      <c r="A15" s="535"/>
      <c r="B15" s="536"/>
      <c r="C15" s="536"/>
      <c r="D15" s="537"/>
    </row>
    <row r="16" spans="1:4" ht="16.5" hidden="1" thickBot="1">
      <c r="A16" s="535">
        <v>1998</v>
      </c>
      <c r="B16" s="538" t="s">
        <v>56</v>
      </c>
      <c r="C16" s="536"/>
      <c r="D16" s="537"/>
    </row>
    <row r="17" spans="1:4" ht="16.5" hidden="1" thickBot="1">
      <c r="A17" s="535">
        <v>1998</v>
      </c>
      <c r="B17" s="538" t="s">
        <v>57</v>
      </c>
      <c r="C17" s="536"/>
      <c r="D17" s="537"/>
    </row>
    <row r="18" spans="1:4" ht="16.5" hidden="1" thickBot="1">
      <c r="A18" s="535">
        <v>1998</v>
      </c>
      <c r="B18" s="538" t="s">
        <v>58</v>
      </c>
      <c r="C18" s="536">
        <v>11.77</v>
      </c>
      <c r="D18" s="537">
        <f>100*((1+C18/100)^0.0833333333-1)</f>
        <v>0.93158753383404402</v>
      </c>
    </row>
    <row r="19" spans="1:4" ht="16.5" hidden="1" thickBot="1">
      <c r="A19" s="535">
        <v>1998</v>
      </c>
      <c r="B19" s="538" t="s">
        <v>59</v>
      </c>
      <c r="C19" s="536">
        <v>11.77</v>
      </c>
      <c r="D19" s="537">
        <f t="shared" si="0"/>
        <v>0.93158753383404402</v>
      </c>
    </row>
    <row r="20" spans="1:4" ht="16.5" hidden="1" thickBot="1">
      <c r="A20" s="535">
        <v>1998</v>
      </c>
      <c r="B20" s="538" t="s">
        <v>60</v>
      </c>
      <c r="C20" s="536">
        <v>11.77</v>
      </c>
      <c r="D20" s="537">
        <f t="shared" si="0"/>
        <v>0.93158753383404402</v>
      </c>
    </row>
    <row r="21" spans="1:4" ht="16.5" hidden="1" thickBot="1">
      <c r="A21" s="535">
        <v>1998</v>
      </c>
      <c r="B21" s="538" t="s">
        <v>61</v>
      </c>
      <c r="C21" s="536">
        <v>10.63</v>
      </c>
      <c r="D21" s="537">
        <f t="shared" si="0"/>
        <v>0.84539607628957292</v>
      </c>
    </row>
    <row r="22" spans="1:4" ht="16.5" hidden="1" thickBot="1">
      <c r="A22" s="535">
        <v>1998</v>
      </c>
      <c r="B22" s="538" t="s">
        <v>62</v>
      </c>
      <c r="C22" s="536">
        <v>10.63</v>
      </c>
      <c r="D22" s="537">
        <f t="shared" si="0"/>
        <v>0.84539607628957292</v>
      </c>
    </row>
    <row r="23" spans="1:4" ht="16.5" hidden="1" thickBot="1">
      <c r="A23" s="535">
        <v>1998</v>
      </c>
      <c r="B23" s="538" t="s">
        <v>63</v>
      </c>
      <c r="C23" s="536">
        <v>10.63</v>
      </c>
      <c r="D23" s="537">
        <f t="shared" si="0"/>
        <v>0.84539607628957292</v>
      </c>
    </row>
    <row r="24" spans="1:4" ht="16.5" hidden="1" thickBot="1">
      <c r="A24" s="535">
        <v>1998</v>
      </c>
      <c r="B24" s="538" t="s">
        <v>64</v>
      </c>
      <c r="C24" s="536">
        <v>11.68</v>
      </c>
      <c r="D24" s="537">
        <f t="shared" si="0"/>
        <v>0.9248123130708219</v>
      </c>
    </row>
    <row r="25" spans="1:4" ht="16.5" hidden="1" thickBot="1">
      <c r="A25" s="535">
        <v>1998</v>
      </c>
      <c r="B25" s="538" t="s">
        <v>65</v>
      </c>
      <c r="C25" s="536">
        <v>11.68</v>
      </c>
      <c r="D25" s="537">
        <f t="shared" si="0"/>
        <v>0.9248123130708219</v>
      </c>
    </row>
    <row r="26" spans="1:4" ht="16.5" hidden="1" thickBot="1">
      <c r="A26" s="535">
        <v>1998</v>
      </c>
      <c r="B26" s="538" t="s">
        <v>66</v>
      </c>
      <c r="C26" s="536">
        <v>11.68</v>
      </c>
      <c r="D26" s="537">
        <f t="shared" si="0"/>
        <v>0.9248123130708219</v>
      </c>
    </row>
    <row r="27" spans="1:4" ht="16.5" hidden="1" thickBot="1">
      <c r="A27" s="535">
        <v>1998</v>
      </c>
      <c r="B27" s="538" t="s">
        <v>55</v>
      </c>
      <c r="C27" s="536">
        <v>18.059999999999999</v>
      </c>
      <c r="D27" s="537">
        <f t="shared" si="0"/>
        <v>1.3931381708032875</v>
      </c>
    </row>
    <row r="28" spans="1:4" ht="16.5" hidden="1" thickBot="1">
      <c r="A28" s="535"/>
      <c r="B28" s="538"/>
      <c r="C28" s="536"/>
      <c r="D28" s="537"/>
    </row>
    <row r="29" spans="1:4" ht="16.5" hidden="1" thickBot="1">
      <c r="A29" s="535">
        <v>1999</v>
      </c>
      <c r="B29" s="538" t="s">
        <v>56</v>
      </c>
      <c r="C29" s="536">
        <v>12.84</v>
      </c>
      <c r="D29" s="537">
        <f t="shared" si="0"/>
        <v>1.011756493829985</v>
      </c>
    </row>
    <row r="30" spans="1:4" ht="16.5" hidden="1" thickBot="1">
      <c r="A30" s="535">
        <v>1999</v>
      </c>
      <c r="B30" s="538" t="s">
        <v>57</v>
      </c>
      <c r="C30" s="536">
        <v>12.84</v>
      </c>
      <c r="D30" s="537">
        <f t="shared" si="0"/>
        <v>1.011756493829985</v>
      </c>
    </row>
    <row r="31" spans="1:4" ht="16.5" hidden="1" thickBot="1">
      <c r="A31" s="535">
        <v>1999</v>
      </c>
      <c r="B31" s="538" t="s">
        <v>58</v>
      </c>
      <c r="C31" s="536">
        <v>12.84</v>
      </c>
      <c r="D31" s="537">
        <f t="shared" si="0"/>
        <v>1.011756493829985</v>
      </c>
    </row>
    <row r="32" spans="1:4" ht="16.5" hidden="1" thickBot="1">
      <c r="A32" s="535">
        <v>1999</v>
      </c>
      <c r="B32" s="538" t="s">
        <v>59</v>
      </c>
      <c r="C32" s="536">
        <v>13.84</v>
      </c>
      <c r="D32" s="537">
        <f t="shared" si="0"/>
        <v>1.0860532674113577</v>
      </c>
    </row>
    <row r="33" spans="1:4" ht="16.5" hidden="1" thickBot="1">
      <c r="A33" s="535">
        <v>1999</v>
      </c>
      <c r="B33" s="538" t="s">
        <v>60</v>
      </c>
      <c r="C33" s="536">
        <v>13.84</v>
      </c>
      <c r="D33" s="537">
        <f t="shared" si="0"/>
        <v>1.0860532674113577</v>
      </c>
    </row>
    <row r="34" spans="1:4" ht="16.5" hidden="1" thickBot="1">
      <c r="A34" s="535">
        <v>1999</v>
      </c>
      <c r="B34" s="538" t="s">
        <v>61</v>
      </c>
      <c r="C34" s="536">
        <v>13.84</v>
      </c>
      <c r="D34" s="537">
        <f t="shared" si="0"/>
        <v>1.0860532674113577</v>
      </c>
    </row>
    <row r="35" spans="1:4" ht="16.5" hidden="1" thickBot="1">
      <c r="A35" s="535">
        <v>1999</v>
      </c>
      <c r="B35" s="538" t="s">
        <v>62</v>
      </c>
      <c r="C35" s="536">
        <v>14.05</v>
      </c>
      <c r="D35" s="537">
        <f t="shared" si="0"/>
        <v>1.1015795501243097</v>
      </c>
    </row>
    <row r="36" spans="1:4" ht="16.5" hidden="1" thickBot="1">
      <c r="A36" s="535">
        <v>1999</v>
      </c>
      <c r="B36" s="538" t="s">
        <v>63</v>
      </c>
      <c r="C36" s="536">
        <v>14.05</v>
      </c>
      <c r="D36" s="537">
        <f t="shared" si="0"/>
        <v>1.1015795501243097</v>
      </c>
    </row>
    <row r="37" spans="1:4" ht="16.5" hidden="1" thickBot="1">
      <c r="A37" s="535">
        <v>1999</v>
      </c>
      <c r="B37" s="538" t="s">
        <v>64</v>
      </c>
      <c r="C37" s="536">
        <v>14.05</v>
      </c>
      <c r="D37" s="537">
        <f t="shared" si="0"/>
        <v>1.1015795501243097</v>
      </c>
    </row>
    <row r="38" spans="1:4" ht="16.5" hidden="1" thickBot="1">
      <c r="A38" s="535">
        <v>1999</v>
      </c>
      <c r="B38" s="538" t="s">
        <v>65</v>
      </c>
      <c r="C38" s="539">
        <v>12.5</v>
      </c>
      <c r="D38" s="537">
        <f t="shared" si="0"/>
        <v>0.98635805492466311</v>
      </c>
    </row>
    <row r="39" spans="1:4" ht="16.5" hidden="1" thickBot="1">
      <c r="A39" s="535">
        <v>1999</v>
      </c>
      <c r="B39" s="538" t="s">
        <v>66</v>
      </c>
      <c r="C39" s="539">
        <v>12.5</v>
      </c>
      <c r="D39" s="537">
        <f t="shared" si="0"/>
        <v>0.98635805492466311</v>
      </c>
    </row>
    <row r="40" spans="1:4" ht="16.5" hidden="1" thickBot="1">
      <c r="A40" s="535">
        <v>1999</v>
      </c>
      <c r="B40" s="538" t="s">
        <v>55</v>
      </c>
      <c r="C40" s="539">
        <v>12.5</v>
      </c>
      <c r="D40" s="537">
        <f t="shared" si="0"/>
        <v>0.98635805492466311</v>
      </c>
    </row>
    <row r="41" spans="1:4" ht="16.5" hidden="1" thickBot="1">
      <c r="A41" s="535"/>
      <c r="B41" s="538"/>
      <c r="C41" s="539"/>
      <c r="D41" s="537"/>
    </row>
    <row r="42" spans="1:4" ht="16.5" hidden="1" thickBot="1">
      <c r="A42" s="535">
        <v>2000</v>
      </c>
      <c r="B42" s="538" t="s">
        <v>56</v>
      </c>
      <c r="C42" s="539">
        <v>12</v>
      </c>
      <c r="D42" s="537">
        <f t="shared" si="0"/>
        <v>0.94887929307694296</v>
      </c>
    </row>
    <row r="43" spans="1:4" ht="16.5" hidden="1" thickBot="1">
      <c r="A43" s="535">
        <v>2000</v>
      </c>
      <c r="B43" s="538" t="s">
        <v>57</v>
      </c>
      <c r="C43" s="539">
        <v>12</v>
      </c>
      <c r="D43" s="537">
        <f t="shared" si="0"/>
        <v>0.94887929307694296</v>
      </c>
    </row>
    <row r="44" spans="1:4" ht="16.5" hidden="1" thickBot="1">
      <c r="A44" s="535">
        <v>2000</v>
      </c>
      <c r="B44" s="538" t="s">
        <v>58</v>
      </c>
      <c r="C44" s="539">
        <v>12</v>
      </c>
      <c r="D44" s="537">
        <f t="shared" si="0"/>
        <v>0.94887929307694296</v>
      </c>
    </row>
    <row r="45" spans="1:4" ht="16.5" hidden="1" thickBot="1">
      <c r="A45" s="535">
        <v>2000</v>
      </c>
      <c r="B45" s="538" t="s">
        <v>59</v>
      </c>
      <c r="C45" s="539">
        <v>11</v>
      </c>
      <c r="D45" s="537">
        <f t="shared" si="0"/>
        <v>0.87345938200429352</v>
      </c>
    </row>
    <row r="46" spans="1:4" ht="16.5" hidden="1" thickBot="1">
      <c r="A46" s="535">
        <v>2000</v>
      </c>
      <c r="B46" s="538" t="s">
        <v>60</v>
      </c>
      <c r="C46" s="539">
        <v>11</v>
      </c>
      <c r="D46" s="537">
        <f t="shared" si="0"/>
        <v>0.87345938200429352</v>
      </c>
    </row>
    <row r="47" spans="1:4" ht="16.5" hidden="1" thickBot="1">
      <c r="A47" s="535">
        <v>2000</v>
      </c>
      <c r="B47" s="538" t="s">
        <v>61</v>
      </c>
      <c r="C47" s="539">
        <v>11</v>
      </c>
      <c r="D47" s="537">
        <f t="shared" si="0"/>
        <v>0.87345938200429352</v>
      </c>
    </row>
    <row r="48" spans="1:4" ht="16.5" hidden="1" thickBot="1">
      <c r="A48" s="535">
        <v>2000</v>
      </c>
      <c r="B48" s="538" t="s">
        <v>62</v>
      </c>
      <c r="C48" s="539">
        <v>10.25</v>
      </c>
      <c r="D48" s="537">
        <f t="shared" si="0"/>
        <v>0.81648460486218877</v>
      </c>
    </row>
    <row r="49" spans="1:4" ht="16.5" hidden="1" thickBot="1">
      <c r="A49" s="535">
        <v>2000</v>
      </c>
      <c r="B49" s="538" t="s">
        <v>63</v>
      </c>
      <c r="C49" s="539">
        <v>10.25</v>
      </c>
      <c r="D49" s="537">
        <f t="shared" si="0"/>
        <v>0.81648460486218877</v>
      </c>
    </row>
    <row r="50" spans="1:4" ht="16.5" hidden="1" thickBot="1">
      <c r="A50" s="535">
        <v>2000</v>
      </c>
      <c r="B50" s="538" t="s">
        <v>64</v>
      </c>
      <c r="C50" s="539">
        <v>10.25</v>
      </c>
      <c r="D50" s="537">
        <f t="shared" si="0"/>
        <v>0.81648460486218877</v>
      </c>
    </row>
    <row r="51" spans="1:4" ht="16.5" hidden="1" thickBot="1">
      <c r="A51" s="535">
        <v>2000</v>
      </c>
      <c r="B51" s="538" t="s">
        <v>65</v>
      </c>
      <c r="C51" s="539">
        <v>9.75</v>
      </c>
      <c r="D51" s="537">
        <f t="shared" si="0"/>
        <v>0.77830370847546959</v>
      </c>
    </row>
    <row r="52" spans="1:4" ht="16.5" hidden="1" thickBot="1">
      <c r="A52" s="535">
        <v>2000</v>
      </c>
      <c r="B52" s="538" t="s">
        <v>66</v>
      </c>
      <c r="C52" s="539">
        <v>9.75</v>
      </c>
      <c r="D52" s="537">
        <f t="shared" si="0"/>
        <v>0.77830370847546959</v>
      </c>
    </row>
    <row r="53" spans="1:4" ht="16.5" hidden="1" thickBot="1">
      <c r="A53" s="535">
        <v>2000</v>
      </c>
      <c r="B53" s="538" t="s">
        <v>55</v>
      </c>
      <c r="C53" s="539">
        <v>9.75</v>
      </c>
      <c r="D53" s="537">
        <f t="shared" si="0"/>
        <v>0.77830370847546959</v>
      </c>
    </row>
    <row r="54" spans="1:4" ht="16.5" hidden="1" thickBot="1">
      <c r="A54" s="535"/>
      <c r="B54" s="538"/>
      <c r="C54" s="539"/>
      <c r="D54" s="537"/>
    </row>
    <row r="55" spans="1:4" ht="16.5" hidden="1" thickBot="1">
      <c r="A55" s="535">
        <v>2001</v>
      </c>
      <c r="B55" s="538" t="s">
        <v>56</v>
      </c>
      <c r="C55" s="539">
        <v>9.25</v>
      </c>
      <c r="D55" s="537">
        <f t="shared" si="0"/>
        <v>0.73996302842060935</v>
      </c>
    </row>
    <row r="56" spans="1:4" ht="16.5" hidden="1" thickBot="1">
      <c r="A56" s="535">
        <v>2001</v>
      </c>
      <c r="B56" s="538" t="s">
        <v>57</v>
      </c>
      <c r="C56" s="539">
        <v>9.25</v>
      </c>
      <c r="D56" s="537">
        <f t="shared" si="0"/>
        <v>0.73996302842060935</v>
      </c>
    </row>
    <row r="57" spans="1:4" ht="16.5" hidden="1" thickBot="1">
      <c r="A57" s="535">
        <v>2001</v>
      </c>
      <c r="B57" s="538" t="s">
        <v>58</v>
      </c>
      <c r="C57" s="539">
        <v>9.25</v>
      </c>
      <c r="D57" s="537">
        <f t="shared" si="0"/>
        <v>0.73996302842060935</v>
      </c>
    </row>
    <row r="58" spans="1:4" ht="16.5" hidden="1" thickBot="1">
      <c r="A58" s="535">
        <v>2001</v>
      </c>
      <c r="B58" s="538" t="s">
        <v>59</v>
      </c>
      <c r="C58" s="539">
        <v>9.25</v>
      </c>
      <c r="D58" s="537">
        <f t="shared" si="0"/>
        <v>0.73996302842060935</v>
      </c>
    </row>
    <row r="59" spans="1:4" ht="16.5" hidden="1" thickBot="1">
      <c r="A59" s="535">
        <v>2001</v>
      </c>
      <c r="B59" s="538" t="s">
        <v>60</v>
      </c>
      <c r="C59" s="539">
        <v>9.25</v>
      </c>
      <c r="D59" s="537">
        <f t="shared" si="0"/>
        <v>0.73996302842060935</v>
      </c>
    </row>
    <row r="60" spans="1:4" ht="16.5" hidden="1" thickBot="1">
      <c r="A60" s="535">
        <v>2001</v>
      </c>
      <c r="B60" s="538" t="s">
        <v>61</v>
      </c>
      <c r="C60" s="539">
        <v>9.25</v>
      </c>
      <c r="D60" s="537">
        <f t="shared" si="0"/>
        <v>0.73996302842060935</v>
      </c>
    </row>
    <row r="61" spans="1:4" ht="16.5" hidden="1" thickBot="1">
      <c r="A61" s="535">
        <v>2001</v>
      </c>
      <c r="B61" s="538" t="s">
        <v>62</v>
      </c>
      <c r="C61" s="539">
        <v>9.5</v>
      </c>
      <c r="D61" s="537">
        <f t="shared" si="0"/>
        <v>0.75915342875345626</v>
      </c>
    </row>
    <row r="62" spans="1:4" ht="16.5" hidden="1" thickBot="1">
      <c r="A62" s="535">
        <v>2001</v>
      </c>
      <c r="B62" s="538" t="s">
        <v>63</v>
      </c>
      <c r="C62" s="539">
        <v>9.5</v>
      </c>
      <c r="D62" s="537">
        <f t="shared" si="0"/>
        <v>0.75915342875345626</v>
      </c>
    </row>
    <row r="63" spans="1:4" ht="16.5" hidden="1" thickBot="1">
      <c r="A63" s="535">
        <v>2001</v>
      </c>
      <c r="B63" s="538" t="s">
        <v>64</v>
      </c>
      <c r="C63" s="539">
        <v>9.5</v>
      </c>
      <c r="D63" s="537">
        <f t="shared" si="0"/>
        <v>0.75915342875345626</v>
      </c>
    </row>
    <row r="64" spans="1:4" ht="16.5" hidden="1" thickBot="1">
      <c r="A64" s="535">
        <v>2001</v>
      </c>
      <c r="B64" s="538" t="s">
        <v>65</v>
      </c>
      <c r="C64" s="539">
        <v>10</v>
      </c>
      <c r="D64" s="537">
        <f t="shared" si="0"/>
        <v>0.7974140425701437</v>
      </c>
    </row>
    <row r="65" spans="1:4" ht="16.5" hidden="1" thickBot="1">
      <c r="A65" s="535">
        <v>2001</v>
      </c>
      <c r="B65" s="538" t="s">
        <v>66</v>
      </c>
      <c r="C65" s="539">
        <v>10</v>
      </c>
      <c r="D65" s="537">
        <f t="shared" si="0"/>
        <v>0.7974140425701437</v>
      </c>
    </row>
    <row r="66" spans="1:4" ht="16.5" hidden="1" thickBot="1">
      <c r="A66" s="535">
        <v>2001</v>
      </c>
      <c r="B66" s="538" t="s">
        <v>55</v>
      </c>
      <c r="C66" s="539">
        <v>10</v>
      </c>
      <c r="D66" s="537">
        <f t="shared" si="0"/>
        <v>0.7974140425701437</v>
      </c>
    </row>
    <row r="67" spans="1:4" ht="16.5" hidden="1" thickBot="1">
      <c r="A67" s="535"/>
      <c r="B67" s="538"/>
      <c r="C67" s="539"/>
      <c r="D67" s="537"/>
    </row>
    <row r="68" spans="1:4" ht="15.75" hidden="1" customHeight="1">
      <c r="A68" s="535">
        <v>2002</v>
      </c>
      <c r="B68" s="538" t="s">
        <v>56</v>
      </c>
      <c r="C68" s="539">
        <v>10</v>
      </c>
      <c r="D68" s="537">
        <f t="shared" si="0"/>
        <v>0.7974140425701437</v>
      </c>
    </row>
    <row r="69" spans="1:4" ht="16.5" hidden="1" thickBot="1">
      <c r="A69" s="535">
        <v>2002</v>
      </c>
      <c r="B69" s="538" t="s">
        <v>57</v>
      </c>
      <c r="C69" s="539">
        <v>10</v>
      </c>
      <c r="D69" s="537">
        <f t="shared" si="0"/>
        <v>0.7974140425701437</v>
      </c>
    </row>
    <row r="70" spans="1:4" ht="16.5" hidden="1" thickBot="1">
      <c r="A70" s="535">
        <v>2002</v>
      </c>
      <c r="B70" s="538" t="s">
        <v>58</v>
      </c>
      <c r="C70" s="539">
        <v>10</v>
      </c>
      <c r="D70" s="537">
        <f t="shared" si="0"/>
        <v>0.7974140425701437</v>
      </c>
    </row>
    <row r="71" spans="1:4" ht="16.5" hidden="1" thickBot="1">
      <c r="A71" s="535">
        <v>2002</v>
      </c>
      <c r="B71" s="538" t="s">
        <v>59</v>
      </c>
      <c r="C71" s="539">
        <v>9.5</v>
      </c>
      <c r="D71" s="537">
        <f t="shared" si="0"/>
        <v>0.75915342875345626</v>
      </c>
    </row>
    <row r="72" spans="1:4" ht="16.5" hidden="1" thickBot="1">
      <c r="A72" s="535">
        <v>2002</v>
      </c>
      <c r="B72" s="538" t="s">
        <v>60</v>
      </c>
      <c r="C72" s="539">
        <v>9.5</v>
      </c>
      <c r="D72" s="537">
        <f t="shared" si="0"/>
        <v>0.75915342875345626</v>
      </c>
    </row>
    <row r="73" spans="1:4" ht="16.5" hidden="1" thickBot="1">
      <c r="A73" s="535">
        <v>2002</v>
      </c>
      <c r="B73" s="538" t="s">
        <v>61</v>
      </c>
      <c r="C73" s="539">
        <v>9.5</v>
      </c>
      <c r="D73" s="537">
        <f t="shared" si="0"/>
        <v>0.75915342875345626</v>
      </c>
    </row>
    <row r="74" spans="1:4" ht="16.5" hidden="1" thickBot="1">
      <c r="A74" s="535">
        <v>2002</v>
      </c>
      <c r="B74" s="538" t="s">
        <v>62</v>
      </c>
      <c r="C74" s="539">
        <v>10</v>
      </c>
      <c r="D74" s="537">
        <f t="shared" ref="D74:D137" si="1">100*((1+C74/100)^0.0833333333-1)</f>
        <v>0.7974140425701437</v>
      </c>
    </row>
    <row r="75" spans="1:4" ht="16.5" hidden="1" thickBot="1">
      <c r="A75" s="535">
        <v>2002</v>
      </c>
      <c r="B75" s="538" t="s">
        <v>63</v>
      </c>
      <c r="C75" s="539">
        <v>10</v>
      </c>
      <c r="D75" s="537">
        <f t="shared" si="1"/>
        <v>0.7974140425701437</v>
      </c>
    </row>
    <row r="76" spans="1:4" ht="16.5" hidden="1" thickBot="1">
      <c r="A76" s="535">
        <v>2002</v>
      </c>
      <c r="B76" s="538" t="s">
        <v>64</v>
      </c>
      <c r="C76" s="539">
        <v>10</v>
      </c>
      <c r="D76" s="537">
        <f t="shared" si="1"/>
        <v>0.7974140425701437</v>
      </c>
    </row>
    <row r="77" spans="1:4" ht="16.5" hidden="1" thickBot="1">
      <c r="A77" s="535">
        <v>2002</v>
      </c>
      <c r="B77" s="538" t="s">
        <v>65</v>
      </c>
      <c r="C77" s="539">
        <v>10</v>
      </c>
      <c r="D77" s="537">
        <f t="shared" si="1"/>
        <v>0.7974140425701437</v>
      </c>
    </row>
    <row r="78" spans="1:4" ht="16.5" hidden="1" thickBot="1">
      <c r="A78" s="535">
        <v>2002</v>
      </c>
      <c r="B78" s="538" t="s">
        <v>66</v>
      </c>
      <c r="C78" s="539">
        <v>10</v>
      </c>
      <c r="D78" s="537">
        <f t="shared" si="1"/>
        <v>0.7974140425701437</v>
      </c>
    </row>
    <row r="79" spans="1:4" ht="16.5" hidden="1" thickBot="1">
      <c r="A79" s="535">
        <v>2002</v>
      </c>
      <c r="B79" s="538" t="s">
        <v>55</v>
      </c>
      <c r="C79" s="539">
        <v>10</v>
      </c>
      <c r="D79" s="537">
        <f t="shared" si="1"/>
        <v>0.7974140425701437</v>
      </c>
    </row>
    <row r="80" spans="1:4" ht="16.5" hidden="1" thickBot="1">
      <c r="A80" s="535"/>
      <c r="B80" s="538"/>
      <c r="C80" s="539"/>
      <c r="D80" s="537"/>
    </row>
    <row r="81" spans="1:4" ht="16.5" hidden="1" thickBot="1">
      <c r="A81" s="535">
        <v>2003</v>
      </c>
      <c r="B81" s="538" t="s">
        <v>56</v>
      </c>
      <c r="C81" s="539">
        <v>11</v>
      </c>
      <c r="D81" s="537">
        <f t="shared" si="1"/>
        <v>0.87345938200429352</v>
      </c>
    </row>
    <row r="82" spans="1:4" ht="16.5" hidden="1" thickBot="1">
      <c r="A82" s="535">
        <v>2003</v>
      </c>
      <c r="B82" s="538" t="s">
        <v>57</v>
      </c>
      <c r="C82" s="539">
        <v>11</v>
      </c>
      <c r="D82" s="537">
        <f t="shared" si="1"/>
        <v>0.87345938200429352</v>
      </c>
    </row>
    <row r="83" spans="1:4" ht="16.5" hidden="1" thickBot="1">
      <c r="A83" s="535">
        <v>2003</v>
      </c>
      <c r="B83" s="538" t="s">
        <v>58</v>
      </c>
      <c r="C83" s="539">
        <v>11</v>
      </c>
      <c r="D83" s="537">
        <f t="shared" si="1"/>
        <v>0.87345938200429352</v>
      </c>
    </row>
    <row r="84" spans="1:4" ht="16.5" hidden="1" thickBot="1">
      <c r="A84" s="535">
        <v>2003</v>
      </c>
      <c r="B84" s="538" t="s">
        <v>59</v>
      </c>
      <c r="C84" s="539">
        <v>12</v>
      </c>
      <c r="D84" s="537">
        <f t="shared" si="1"/>
        <v>0.94887929307694296</v>
      </c>
    </row>
    <row r="85" spans="1:4" ht="16.5" hidden="1" thickBot="1">
      <c r="A85" s="535">
        <v>2003</v>
      </c>
      <c r="B85" s="538" t="s">
        <v>60</v>
      </c>
      <c r="C85" s="539">
        <v>12</v>
      </c>
      <c r="D85" s="537">
        <f t="shared" si="1"/>
        <v>0.94887929307694296</v>
      </c>
    </row>
    <row r="86" spans="1:4" ht="16.5" hidden="1" thickBot="1">
      <c r="A86" s="535">
        <v>2003</v>
      </c>
      <c r="B86" s="538" t="s">
        <v>61</v>
      </c>
      <c r="C86" s="539">
        <v>12</v>
      </c>
      <c r="D86" s="537">
        <f t="shared" si="1"/>
        <v>0.94887929307694296</v>
      </c>
    </row>
    <row r="87" spans="1:4" ht="16.5" hidden="1" thickBot="1">
      <c r="A87" s="535">
        <v>2003</v>
      </c>
      <c r="B87" s="538" t="s">
        <v>62</v>
      </c>
      <c r="C87" s="539">
        <v>12</v>
      </c>
      <c r="D87" s="537">
        <f t="shared" si="1"/>
        <v>0.94887929307694296</v>
      </c>
    </row>
    <row r="88" spans="1:4" ht="16.5" hidden="1" thickBot="1">
      <c r="A88" s="535">
        <v>2003</v>
      </c>
      <c r="B88" s="538" t="s">
        <v>63</v>
      </c>
      <c r="C88" s="539">
        <v>12</v>
      </c>
      <c r="D88" s="537">
        <f t="shared" si="1"/>
        <v>0.94887929307694296</v>
      </c>
    </row>
    <row r="89" spans="1:4" ht="16.5" hidden="1" thickBot="1">
      <c r="A89" s="535">
        <v>2003</v>
      </c>
      <c r="B89" s="538" t="s">
        <v>64</v>
      </c>
      <c r="C89" s="539">
        <v>12</v>
      </c>
      <c r="D89" s="537">
        <f t="shared" si="1"/>
        <v>0.94887929307694296</v>
      </c>
    </row>
    <row r="90" spans="1:4" ht="16.5" hidden="1" thickBot="1">
      <c r="A90" s="535">
        <v>2003</v>
      </c>
      <c r="B90" s="538" t="s">
        <v>65</v>
      </c>
      <c r="C90" s="539">
        <v>11</v>
      </c>
      <c r="D90" s="537">
        <f t="shared" si="1"/>
        <v>0.87345938200429352</v>
      </c>
    </row>
    <row r="91" spans="1:4" ht="16.5" hidden="1" thickBot="1">
      <c r="A91" s="535">
        <v>2003</v>
      </c>
      <c r="B91" s="538" t="s">
        <v>66</v>
      </c>
      <c r="C91" s="539">
        <v>11</v>
      </c>
      <c r="D91" s="537">
        <f t="shared" si="1"/>
        <v>0.87345938200429352</v>
      </c>
    </row>
    <row r="92" spans="1:4" ht="16.5" hidden="1" thickBot="1">
      <c r="A92" s="535">
        <v>2003</v>
      </c>
      <c r="B92" s="538" t="s">
        <v>55</v>
      </c>
      <c r="C92" s="539">
        <v>11</v>
      </c>
      <c r="D92" s="537">
        <f t="shared" si="1"/>
        <v>0.87345938200429352</v>
      </c>
    </row>
    <row r="93" spans="1:4" ht="16.5" hidden="1" thickBot="1">
      <c r="A93" s="535"/>
      <c r="B93" s="538"/>
      <c r="C93" s="539"/>
      <c r="D93" s="537"/>
    </row>
    <row r="94" spans="1:4" ht="16.5" hidden="1" thickBot="1">
      <c r="A94" s="535">
        <v>2004</v>
      </c>
      <c r="B94" s="538" t="s">
        <v>56</v>
      </c>
      <c r="C94" s="539">
        <v>10</v>
      </c>
      <c r="D94" s="537">
        <f t="shared" si="1"/>
        <v>0.7974140425701437</v>
      </c>
    </row>
    <row r="95" spans="1:4" ht="16.5" hidden="1" thickBot="1">
      <c r="A95" s="535">
        <v>2004</v>
      </c>
      <c r="B95" s="538" t="s">
        <v>57</v>
      </c>
      <c r="C95" s="539">
        <v>10</v>
      </c>
      <c r="D95" s="537">
        <f t="shared" si="1"/>
        <v>0.7974140425701437</v>
      </c>
    </row>
    <row r="96" spans="1:4" ht="16.5" hidden="1" thickBot="1">
      <c r="A96" s="535">
        <v>2004</v>
      </c>
      <c r="B96" s="538" t="s">
        <v>58</v>
      </c>
      <c r="C96" s="539">
        <v>10</v>
      </c>
      <c r="D96" s="537">
        <f t="shared" si="1"/>
        <v>0.7974140425701437</v>
      </c>
    </row>
    <row r="97" spans="1:4" ht="16.5" hidden="1" thickBot="1">
      <c r="A97" s="535">
        <v>2004</v>
      </c>
      <c r="B97" s="538" t="s">
        <v>59</v>
      </c>
      <c r="C97" s="539">
        <v>9.75</v>
      </c>
      <c r="D97" s="537">
        <f t="shared" si="1"/>
        <v>0.77830370847546959</v>
      </c>
    </row>
    <row r="98" spans="1:4" ht="16.5" hidden="1" thickBot="1">
      <c r="A98" s="535">
        <v>2004</v>
      </c>
      <c r="B98" s="538" t="s">
        <v>60</v>
      </c>
      <c r="C98" s="539">
        <v>9.75</v>
      </c>
      <c r="D98" s="537">
        <f t="shared" si="1"/>
        <v>0.77830370847546959</v>
      </c>
    </row>
    <row r="99" spans="1:4" ht="16.5" hidden="1" thickBot="1">
      <c r="A99" s="535">
        <v>2004</v>
      </c>
      <c r="B99" s="538" t="s">
        <v>61</v>
      </c>
      <c r="C99" s="539">
        <v>9.75</v>
      </c>
      <c r="D99" s="537">
        <f t="shared" si="1"/>
        <v>0.77830370847546959</v>
      </c>
    </row>
    <row r="100" spans="1:4" ht="16.5" hidden="1" thickBot="1">
      <c r="A100" s="535">
        <v>2004</v>
      </c>
      <c r="B100" s="538" t="s">
        <v>62</v>
      </c>
      <c r="C100" s="539">
        <v>9.75</v>
      </c>
      <c r="D100" s="537">
        <f t="shared" si="1"/>
        <v>0.77830370847546959</v>
      </c>
    </row>
    <row r="101" spans="1:4" ht="16.5" hidden="1" thickBot="1">
      <c r="A101" s="535">
        <v>2004</v>
      </c>
      <c r="B101" s="538" t="s">
        <v>77</v>
      </c>
      <c r="C101" s="539">
        <v>9.75</v>
      </c>
      <c r="D101" s="537">
        <f t="shared" si="1"/>
        <v>0.77830370847546959</v>
      </c>
    </row>
    <row r="102" spans="1:4" ht="16.5" hidden="1" thickBot="1">
      <c r="A102" s="535">
        <v>2004</v>
      </c>
      <c r="B102" s="538" t="s">
        <v>79</v>
      </c>
      <c r="C102" s="539">
        <v>9.75</v>
      </c>
      <c r="D102" s="537">
        <f t="shared" si="1"/>
        <v>0.77830370847546959</v>
      </c>
    </row>
    <row r="103" spans="1:4" ht="16.5" hidden="1" thickBot="1">
      <c r="A103" s="535">
        <v>2004</v>
      </c>
      <c r="B103" s="538" t="s">
        <v>78</v>
      </c>
      <c r="C103" s="539">
        <v>9.75</v>
      </c>
      <c r="D103" s="537">
        <f t="shared" si="1"/>
        <v>0.77830370847546959</v>
      </c>
    </row>
    <row r="104" spans="1:4" ht="16.5" hidden="1" thickBot="1">
      <c r="A104" s="535">
        <v>2004</v>
      </c>
      <c r="B104" s="538" t="s">
        <v>68</v>
      </c>
      <c r="C104" s="539">
        <v>9.75</v>
      </c>
      <c r="D104" s="537">
        <f t="shared" si="1"/>
        <v>0.77830370847546959</v>
      </c>
    </row>
    <row r="105" spans="1:4" ht="16.5" hidden="1" thickBot="1">
      <c r="A105" s="535">
        <v>2004</v>
      </c>
      <c r="B105" s="538" t="s">
        <v>69</v>
      </c>
      <c r="C105" s="539">
        <v>9.75</v>
      </c>
      <c r="D105" s="537">
        <f t="shared" si="1"/>
        <v>0.77830370847546959</v>
      </c>
    </row>
    <row r="106" spans="1:4" ht="16.5" hidden="1" thickBot="1">
      <c r="A106" s="535">
        <v>2005</v>
      </c>
      <c r="B106" s="538" t="s">
        <v>70</v>
      </c>
      <c r="C106" s="539">
        <v>9.75</v>
      </c>
      <c r="D106" s="537">
        <f t="shared" si="1"/>
        <v>0.77830370847546959</v>
      </c>
    </row>
    <row r="107" spans="1:4" ht="16.5" hidden="1" thickBot="1">
      <c r="A107" s="535">
        <v>2005</v>
      </c>
      <c r="B107" s="538" t="s">
        <v>57</v>
      </c>
      <c r="C107" s="539">
        <v>9.75</v>
      </c>
      <c r="D107" s="537">
        <f t="shared" si="1"/>
        <v>0.77830370847546959</v>
      </c>
    </row>
    <row r="108" spans="1:4" ht="16.5" hidden="1" thickBot="1">
      <c r="A108" s="535">
        <v>2005</v>
      </c>
      <c r="B108" s="538" t="s">
        <v>58</v>
      </c>
      <c r="C108" s="539">
        <v>9.75</v>
      </c>
      <c r="D108" s="537">
        <f t="shared" si="1"/>
        <v>0.77830370847546959</v>
      </c>
    </row>
    <row r="109" spans="1:4" ht="16.5" hidden="1" thickBot="1">
      <c r="A109" s="535">
        <v>2005</v>
      </c>
      <c r="B109" s="538" t="s">
        <v>59</v>
      </c>
      <c r="C109" s="539">
        <v>9.75</v>
      </c>
      <c r="D109" s="537">
        <f t="shared" si="1"/>
        <v>0.77830370847546959</v>
      </c>
    </row>
    <row r="110" spans="1:4" ht="16.5" hidden="1" thickBot="1">
      <c r="A110" s="535">
        <v>2005</v>
      </c>
      <c r="B110" s="538" t="s">
        <v>60</v>
      </c>
      <c r="C110" s="539">
        <v>9.75</v>
      </c>
      <c r="D110" s="537">
        <f t="shared" si="1"/>
        <v>0.77830370847546959</v>
      </c>
    </row>
    <row r="111" spans="1:4" ht="16.5" hidden="1" thickBot="1">
      <c r="A111" s="535">
        <v>2005</v>
      </c>
      <c r="B111" s="538" t="s">
        <v>61</v>
      </c>
      <c r="C111" s="539">
        <v>9.75</v>
      </c>
      <c r="D111" s="537">
        <f t="shared" si="1"/>
        <v>0.77830370847546959</v>
      </c>
    </row>
    <row r="112" spans="1:4" ht="16.5" hidden="1" thickBot="1">
      <c r="A112" s="535">
        <v>2005</v>
      </c>
      <c r="B112" s="538" t="s">
        <v>62</v>
      </c>
      <c r="C112" s="539">
        <v>9.75</v>
      </c>
      <c r="D112" s="537">
        <f t="shared" si="1"/>
        <v>0.77830370847546959</v>
      </c>
    </row>
    <row r="113" spans="1:4" ht="16.5" hidden="1" thickBot="1">
      <c r="A113" s="535">
        <v>2005</v>
      </c>
      <c r="B113" s="538" t="s">
        <v>63</v>
      </c>
      <c r="C113" s="539">
        <v>9.75</v>
      </c>
      <c r="D113" s="537">
        <f t="shared" si="1"/>
        <v>0.77830370847546959</v>
      </c>
    </row>
    <row r="114" spans="1:4" ht="16.5" hidden="1" thickBot="1">
      <c r="A114" s="535">
        <v>2005</v>
      </c>
      <c r="B114" s="538" t="s">
        <v>64</v>
      </c>
      <c r="C114" s="539">
        <v>9.75</v>
      </c>
      <c r="D114" s="537">
        <f t="shared" si="1"/>
        <v>0.77830370847546959</v>
      </c>
    </row>
    <row r="115" spans="1:4" ht="16.5" hidden="1" thickBot="1">
      <c r="A115" s="535">
        <v>2005</v>
      </c>
      <c r="B115" s="538" t="s">
        <v>78</v>
      </c>
      <c r="C115" s="539">
        <v>9.75</v>
      </c>
      <c r="D115" s="537">
        <f t="shared" si="1"/>
        <v>0.77830370847546959</v>
      </c>
    </row>
    <row r="116" spans="1:4" ht="16.5" hidden="1" thickBot="1">
      <c r="A116" s="535">
        <v>2005</v>
      </c>
      <c r="B116" s="538" t="s">
        <v>68</v>
      </c>
      <c r="C116" s="539">
        <v>9.75</v>
      </c>
      <c r="D116" s="537">
        <f t="shared" si="1"/>
        <v>0.77830370847546959</v>
      </c>
    </row>
    <row r="117" spans="1:4" ht="16.5" hidden="1" thickBot="1">
      <c r="A117" s="535">
        <v>2005</v>
      </c>
      <c r="B117" s="538" t="s">
        <v>69</v>
      </c>
      <c r="C117" s="539">
        <v>9</v>
      </c>
      <c r="D117" s="537">
        <f t="shared" si="1"/>
        <v>0.72073233132434744</v>
      </c>
    </row>
    <row r="118" spans="1:4" ht="16.5" hidden="1" thickBot="1">
      <c r="A118" s="535">
        <v>2006</v>
      </c>
      <c r="B118" s="538" t="s">
        <v>70</v>
      </c>
      <c r="C118" s="539">
        <v>9</v>
      </c>
      <c r="D118" s="537">
        <f t="shared" si="1"/>
        <v>0.72073233132434744</v>
      </c>
    </row>
    <row r="119" spans="1:4" ht="16.5" hidden="1" thickBot="1">
      <c r="A119" s="535">
        <v>2006</v>
      </c>
      <c r="B119" s="538" t="s">
        <v>57</v>
      </c>
      <c r="C119" s="539">
        <v>9</v>
      </c>
      <c r="D119" s="537">
        <f t="shared" si="1"/>
        <v>0.72073233132434744</v>
      </c>
    </row>
    <row r="120" spans="1:4" ht="16.5" hidden="1" thickBot="1">
      <c r="A120" s="535">
        <v>2006</v>
      </c>
      <c r="B120" s="538" t="s">
        <v>58</v>
      </c>
      <c r="C120" s="539">
        <v>9</v>
      </c>
      <c r="D120" s="537">
        <f t="shared" si="1"/>
        <v>0.72073233132434744</v>
      </c>
    </row>
    <row r="121" spans="1:4" ht="16.5" hidden="1" thickBot="1">
      <c r="A121" s="535">
        <v>2006</v>
      </c>
      <c r="B121" s="538" t="s">
        <v>73</v>
      </c>
      <c r="C121" s="539">
        <v>8.15</v>
      </c>
      <c r="D121" s="537">
        <f t="shared" si="1"/>
        <v>0.65504414416592827</v>
      </c>
    </row>
    <row r="122" spans="1:4" ht="16.5" hidden="1" thickBot="1">
      <c r="A122" s="535">
        <v>2006</v>
      </c>
      <c r="B122" s="538" t="s">
        <v>74</v>
      </c>
      <c r="C122" s="539">
        <v>8.15</v>
      </c>
      <c r="D122" s="537">
        <f t="shared" si="1"/>
        <v>0.65504414416592827</v>
      </c>
    </row>
    <row r="123" spans="1:4" ht="16.5" hidden="1" thickBot="1">
      <c r="A123" s="535">
        <v>2006</v>
      </c>
      <c r="B123" s="538" t="s">
        <v>75</v>
      </c>
      <c r="C123" s="539">
        <v>8.15</v>
      </c>
      <c r="D123" s="537">
        <f t="shared" si="1"/>
        <v>0.65504414416592827</v>
      </c>
    </row>
    <row r="124" spans="1:4" ht="16.5" hidden="1" thickBot="1">
      <c r="A124" s="535">
        <v>2006</v>
      </c>
      <c r="B124" s="538" t="s">
        <v>76</v>
      </c>
      <c r="C124" s="539">
        <v>7.5</v>
      </c>
      <c r="D124" s="537">
        <f t="shared" si="1"/>
        <v>0.60449190218665461</v>
      </c>
    </row>
    <row r="125" spans="1:4" ht="16.5" hidden="1" thickBot="1">
      <c r="A125" s="535">
        <v>2006</v>
      </c>
      <c r="B125" s="538" t="s">
        <v>77</v>
      </c>
      <c r="C125" s="539">
        <v>7.5</v>
      </c>
      <c r="D125" s="537">
        <f t="shared" si="1"/>
        <v>0.60449190218665461</v>
      </c>
    </row>
    <row r="126" spans="1:4" ht="16.5" hidden="1" thickBot="1">
      <c r="A126" s="535">
        <v>2006</v>
      </c>
      <c r="B126" s="538" t="s">
        <v>79</v>
      </c>
      <c r="C126" s="539">
        <v>7.5</v>
      </c>
      <c r="D126" s="537">
        <f t="shared" si="1"/>
        <v>0.60449190218665461</v>
      </c>
    </row>
    <row r="127" spans="1:4" ht="16.5" hidden="1" thickBot="1">
      <c r="A127" s="535">
        <v>2006</v>
      </c>
      <c r="B127" s="538" t="s">
        <v>78</v>
      </c>
      <c r="C127" s="539">
        <v>6.85</v>
      </c>
      <c r="D127" s="537">
        <f t="shared" si="1"/>
        <v>0.55365868710504085</v>
      </c>
    </row>
    <row r="128" spans="1:4" ht="16.5" hidden="1" thickBot="1">
      <c r="A128" s="535">
        <v>2006</v>
      </c>
      <c r="B128" s="538" t="s">
        <v>68</v>
      </c>
      <c r="C128" s="539">
        <v>6.85</v>
      </c>
      <c r="D128" s="537">
        <f t="shared" si="1"/>
        <v>0.55365868710504085</v>
      </c>
    </row>
    <row r="129" spans="1:4" ht="16.5" hidden="1" thickBot="1">
      <c r="A129" s="535">
        <v>2006</v>
      </c>
      <c r="B129" s="538" t="s">
        <v>69</v>
      </c>
      <c r="C129" s="539">
        <v>6.85</v>
      </c>
      <c r="D129" s="537">
        <f t="shared" si="1"/>
        <v>0.55365868710504085</v>
      </c>
    </row>
    <row r="130" spans="1:4" ht="16.5" hidden="1" thickBot="1">
      <c r="A130" s="535">
        <v>2007</v>
      </c>
      <c r="B130" s="538" t="s">
        <v>70</v>
      </c>
      <c r="C130" s="539">
        <v>6.5</v>
      </c>
      <c r="D130" s="537">
        <f t="shared" si="1"/>
        <v>0.52616942747376605</v>
      </c>
    </row>
    <row r="131" spans="1:4" ht="16.5" hidden="1" thickBot="1">
      <c r="A131" s="535">
        <v>2007</v>
      </c>
      <c r="B131" s="538" t="s">
        <v>57</v>
      </c>
      <c r="C131" s="539">
        <v>6.5</v>
      </c>
      <c r="D131" s="537">
        <f t="shared" si="1"/>
        <v>0.52616942747376605</v>
      </c>
    </row>
    <row r="132" spans="1:4" ht="16.5" hidden="1" thickBot="1">
      <c r="A132" s="535">
        <v>2007</v>
      </c>
      <c r="B132" s="538" t="s">
        <v>58</v>
      </c>
      <c r="C132" s="539">
        <v>6.5</v>
      </c>
      <c r="D132" s="537">
        <f t="shared" si="1"/>
        <v>0.52616942747376605</v>
      </c>
    </row>
    <row r="133" spans="1:4" ht="16.5" hidden="1" thickBot="1">
      <c r="A133" s="535">
        <v>2007</v>
      </c>
      <c r="B133" s="538" t="s">
        <v>59</v>
      </c>
      <c r="C133" s="539">
        <v>6.5</v>
      </c>
      <c r="D133" s="537">
        <f t="shared" si="1"/>
        <v>0.52616942747376605</v>
      </c>
    </row>
    <row r="134" spans="1:4" ht="16.5" hidden="1" thickBot="1">
      <c r="A134" s="535">
        <v>2007</v>
      </c>
      <c r="B134" s="538" t="s">
        <v>60</v>
      </c>
      <c r="C134" s="539">
        <v>6.5</v>
      </c>
      <c r="D134" s="537">
        <f t="shared" si="1"/>
        <v>0.52616942747376605</v>
      </c>
    </row>
    <row r="135" spans="1:4" ht="16.5" hidden="1" thickBot="1">
      <c r="A135" s="535">
        <v>2007</v>
      </c>
      <c r="B135" s="538" t="s">
        <v>61</v>
      </c>
      <c r="C135" s="539">
        <v>6.5</v>
      </c>
      <c r="D135" s="537">
        <f t="shared" si="1"/>
        <v>0.52616942747376605</v>
      </c>
    </row>
    <row r="136" spans="1:4" ht="16.5" hidden="1" thickBot="1">
      <c r="A136" s="535">
        <v>2007</v>
      </c>
      <c r="B136" s="538" t="s">
        <v>62</v>
      </c>
      <c r="C136" s="539">
        <v>6.25</v>
      </c>
      <c r="D136" s="537">
        <f t="shared" si="1"/>
        <v>0.50648349477397936</v>
      </c>
    </row>
    <row r="137" spans="1:4" ht="16.5" hidden="1" thickBot="1">
      <c r="A137" s="535">
        <v>2007</v>
      </c>
      <c r="B137" s="538" t="s">
        <v>63</v>
      </c>
      <c r="C137" s="539">
        <v>6.25</v>
      </c>
      <c r="D137" s="537">
        <f t="shared" si="1"/>
        <v>0.50648349477397936</v>
      </c>
    </row>
    <row r="138" spans="1:4" ht="16.5" hidden="1" thickBot="1">
      <c r="A138" s="535">
        <v>2007</v>
      </c>
      <c r="B138" s="538" t="s">
        <v>64</v>
      </c>
      <c r="C138" s="539">
        <v>6.25</v>
      </c>
      <c r="D138" s="537">
        <f t="shared" ref="D138:D203" si="2">100*((1+C138/100)^0.0833333333-1)</f>
        <v>0.50648349477397936</v>
      </c>
    </row>
    <row r="139" spans="1:4" ht="16.5" hidden="1" thickBot="1">
      <c r="A139" s="535">
        <v>2007</v>
      </c>
      <c r="B139" s="538" t="s">
        <v>65</v>
      </c>
      <c r="C139" s="539">
        <v>6.25</v>
      </c>
      <c r="D139" s="537">
        <f t="shared" si="2"/>
        <v>0.50648349477397936</v>
      </c>
    </row>
    <row r="140" spans="1:4" ht="16.5" hidden="1" thickBot="1">
      <c r="A140" s="535">
        <v>2007</v>
      </c>
      <c r="B140" s="538" t="s">
        <v>66</v>
      </c>
      <c r="C140" s="539">
        <v>6.25</v>
      </c>
      <c r="D140" s="537">
        <f t="shared" si="2"/>
        <v>0.50648349477397936</v>
      </c>
    </row>
    <row r="141" spans="1:4" ht="16.5" hidden="1" thickBot="1">
      <c r="A141" s="535">
        <v>2007</v>
      </c>
      <c r="B141" s="538" t="s">
        <v>55</v>
      </c>
      <c r="C141" s="539">
        <v>6.25</v>
      </c>
      <c r="D141" s="537">
        <f t="shared" si="2"/>
        <v>0.50648349477397936</v>
      </c>
    </row>
    <row r="142" spans="1:4" ht="16.5" hidden="1" thickBot="1">
      <c r="A142" s="535">
        <v>2008</v>
      </c>
      <c r="B142" s="538" t="s">
        <v>56</v>
      </c>
      <c r="C142" s="539">
        <v>6.25</v>
      </c>
      <c r="D142" s="537">
        <f t="shared" si="2"/>
        <v>0.50648349477397936</v>
      </c>
    </row>
    <row r="143" spans="1:4" ht="16.5" hidden="1" thickBot="1">
      <c r="A143" s="535">
        <v>2008</v>
      </c>
      <c r="B143" s="538" t="s">
        <v>57</v>
      </c>
      <c r="C143" s="539">
        <v>6.25</v>
      </c>
      <c r="D143" s="537">
        <f t="shared" si="2"/>
        <v>0.50648349477397936</v>
      </c>
    </row>
    <row r="144" spans="1:4" ht="16.5" hidden="1" thickBot="1">
      <c r="A144" s="535">
        <v>2008</v>
      </c>
      <c r="B144" s="538" t="s">
        <v>58</v>
      </c>
      <c r="C144" s="539">
        <v>6.25</v>
      </c>
      <c r="D144" s="537">
        <f t="shared" si="2"/>
        <v>0.50648349477397936</v>
      </c>
    </row>
    <row r="145" spans="1:5" ht="16.5" hidden="1" thickBot="1">
      <c r="A145" s="535">
        <v>2008</v>
      </c>
      <c r="B145" s="538" t="s">
        <v>59</v>
      </c>
      <c r="C145" s="539">
        <v>6.25</v>
      </c>
      <c r="D145" s="537">
        <f t="shared" si="2"/>
        <v>0.50648349477397936</v>
      </c>
    </row>
    <row r="146" spans="1:5" ht="16.5" hidden="1" thickBot="1">
      <c r="A146" s="535">
        <v>2008</v>
      </c>
      <c r="B146" s="538" t="s">
        <v>60</v>
      </c>
      <c r="C146" s="539">
        <v>6.25</v>
      </c>
      <c r="D146" s="537">
        <f t="shared" si="2"/>
        <v>0.50648349477397936</v>
      </c>
    </row>
    <row r="147" spans="1:5" ht="16.5" hidden="1" thickBot="1">
      <c r="A147" s="535">
        <v>2008</v>
      </c>
      <c r="B147" s="538" t="s">
        <v>61</v>
      </c>
      <c r="C147" s="539">
        <v>6.25</v>
      </c>
      <c r="D147" s="537">
        <f t="shared" si="2"/>
        <v>0.50648349477397936</v>
      </c>
    </row>
    <row r="148" spans="1:5" ht="16.5" hidden="1" thickBot="1">
      <c r="A148" s="535">
        <v>2008</v>
      </c>
      <c r="B148" s="538" t="s">
        <v>62</v>
      </c>
      <c r="C148" s="539">
        <v>6.25</v>
      </c>
      <c r="D148" s="537">
        <f t="shared" si="2"/>
        <v>0.50648349477397936</v>
      </c>
    </row>
    <row r="149" spans="1:5" ht="16.5" hidden="1" thickBot="1">
      <c r="A149" s="535">
        <v>2008</v>
      </c>
      <c r="B149" s="538" t="s">
        <v>63</v>
      </c>
      <c r="C149" s="539">
        <v>6.25</v>
      </c>
      <c r="D149" s="537">
        <f t="shared" si="2"/>
        <v>0.50648349477397936</v>
      </c>
    </row>
    <row r="150" spans="1:5" ht="16.5" hidden="1" thickBot="1">
      <c r="A150" s="535">
        <v>2008</v>
      </c>
      <c r="B150" s="538" t="s">
        <v>64</v>
      </c>
      <c r="C150" s="539">
        <v>6.25</v>
      </c>
      <c r="D150" s="537">
        <f t="shared" si="2"/>
        <v>0.50648349477397936</v>
      </c>
    </row>
    <row r="151" spans="1:5" ht="16.5" hidden="1" thickBot="1">
      <c r="A151" s="535">
        <v>2008</v>
      </c>
      <c r="B151" s="538" t="s">
        <v>65</v>
      </c>
      <c r="C151" s="539">
        <v>6.25</v>
      </c>
      <c r="D151" s="537">
        <f t="shared" si="2"/>
        <v>0.50648349477397936</v>
      </c>
    </row>
    <row r="152" spans="1:5" ht="16.5" hidden="1" thickBot="1">
      <c r="A152" s="535">
        <v>2008</v>
      </c>
      <c r="B152" s="538" t="s">
        <v>66</v>
      </c>
      <c r="C152" s="539">
        <v>6.25</v>
      </c>
      <c r="D152" s="537">
        <f t="shared" si="2"/>
        <v>0.50648349477397936</v>
      </c>
    </row>
    <row r="153" spans="1:5" ht="16.5" hidden="1" thickBot="1">
      <c r="A153" s="535">
        <v>2008</v>
      </c>
      <c r="B153" s="538" t="s">
        <v>55</v>
      </c>
      <c r="C153" s="539">
        <v>6.25</v>
      </c>
      <c r="D153" s="537">
        <f t="shared" si="2"/>
        <v>0.50648349477397936</v>
      </c>
    </row>
    <row r="154" spans="1:5" ht="16.5" hidden="1" thickBot="1">
      <c r="A154" s="535">
        <v>2009</v>
      </c>
      <c r="B154" s="538" t="s">
        <v>56</v>
      </c>
      <c r="C154" s="539">
        <v>6.25</v>
      </c>
      <c r="D154" s="537">
        <f t="shared" si="2"/>
        <v>0.50648349477397936</v>
      </c>
    </row>
    <row r="155" spans="1:5" ht="16.5" hidden="1" thickBot="1">
      <c r="A155" s="535">
        <v>2009</v>
      </c>
      <c r="B155" s="538" t="s">
        <v>57</v>
      </c>
      <c r="C155" s="539">
        <v>6.25</v>
      </c>
      <c r="D155" s="537">
        <f t="shared" si="2"/>
        <v>0.50648349477397936</v>
      </c>
    </row>
    <row r="156" spans="1:5" ht="16.5" hidden="1" thickBot="1">
      <c r="A156" s="535">
        <v>2009</v>
      </c>
      <c r="B156" s="538" t="s">
        <v>72</v>
      </c>
      <c r="C156" s="539">
        <v>6.25</v>
      </c>
      <c r="D156" s="537">
        <f t="shared" si="2"/>
        <v>0.50648349477397936</v>
      </c>
    </row>
    <row r="157" spans="1:5" ht="16.5" hidden="1" thickBot="1">
      <c r="A157" s="535">
        <v>2009</v>
      </c>
      <c r="B157" s="538" t="s">
        <v>73</v>
      </c>
      <c r="C157" s="539">
        <v>6.25</v>
      </c>
      <c r="D157" s="537">
        <f t="shared" si="2"/>
        <v>0.50648349477397936</v>
      </c>
    </row>
    <row r="158" spans="1:5" ht="16.5" hidden="1" thickBot="1">
      <c r="A158" s="535">
        <v>2009</v>
      </c>
      <c r="B158" s="538" t="s">
        <v>74</v>
      </c>
      <c r="C158" s="539">
        <v>6.25</v>
      </c>
      <c r="D158" s="537">
        <f t="shared" si="2"/>
        <v>0.50648349477397936</v>
      </c>
    </row>
    <row r="159" spans="1:5" ht="16.5" hidden="1" thickBot="1">
      <c r="A159" s="535">
        <v>2009</v>
      </c>
      <c r="B159" s="538" t="s">
        <v>75</v>
      </c>
      <c r="C159" s="539">
        <v>6.25</v>
      </c>
      <c r="D159" s="537">
        <f t="shared" si="2"/>
        <v>0.50648349477397936</v>
      </c>
      <c r="E159" s="540" t="s">
        <v>603</v>
      </c>
    </row>
    <row r="160" spans="1:5" ht="16.5" hidden="1" thickBot="1">
      <c r="A160" s="535">
        <v>2009</v>
      </c>
      <c r="B160" s="538" t="s">
        <v>76</v>
      </c>
      <c r="C160" s="539">
        <v>6</v>
      </c>
      <c r="D160" s="537">
        <f t="shared" si="2"/>
        <v>0.48675505633912763</v>
      </c>
    </row>
    <row r="161" spans="1:4" ht="16.5" hidden="1" thickBot="1">
      <c r="A161" s="535">
        <v>2009</v>
      </c>
      <c r="B161" s="538" t="s">
        <v>77</v>
      </c>
      <c r="C161" s="539">
        <v>6</v>
      </c>
      <c r="D161" s="537">
        <f t="shared" si="2"/>
        <v>0.48675505633912763</v>
      </c>
    </row>
    <row r="162" spans="1:4" ht="16.5" hidden="1" thickBot="1">
      <c r="A162" s="535">
        <v>2009</v>
      </c>
      <c r="B162" s="538" t="s">
        <v>79</v>
      </c>
      <c r="C162" s="539">
        <v>6</v>
      </c>
      <c r="D162" s="537">
        <f t="shared" si="2"/>
        <v>0.48675505633912763</v>
      </c>
    </row>
    <row r="163" spans="1:4" ht="16.5" hidden="1" thickBot="1">
      <c r="A163" s="535">
        <v>2009</v>
      </c>
      <c r="B163" s="538" t="s">
        <v>78</v>
      </c>
      <c r="C163" s="539">
        <v>6</v>
      </c>
      <c r="D163" s="537">
        <f t="shared" si="2"/>
        <v>0.48675505633912763</v>
      </c>
    </row>
    <row r="164" spans="1:4" ht="16.5" hidden="1" thickBot="1">
      <c r="A164" s="535">
        <v>2009</v>
      </c>
      <c r="B164" s="538" t="s">
        <v>68</v>
      </c>
      <c r="C164" s="539">
        <v>6</v>
      </c>
      <c r="D164" s="537">
        <f t="shared" si="2"/>
        <v>0.48675505633912763</v>
      </c>
    </row>
    <row r="165" spans="1:4" ht="16.5" hidden="1" thickBot="1">
      <c r="A165" s="535">
        <v>2009</v>
      </c>
      <c r="B165" s="538" t="s">
        <v>69</v>
      </c>
      <c r="C165" s="539">
        <v>6</v>
      </c>
      <c r="D165" s="537">
        <f t="shared" si="2"/>
        <v>0.48675505633912763</v>
      </c>
    </row>
    <row r="166" spans="1:4" ht="16.5" hidden="1" thickBot="1">
      <c r="A166" s="535">
        <v>2010</v>
      </c>
      <c r="B166" s="538" t="s">
        <v>56</v>
      </c>
      <c r="C166" s="539">
        <v>6</v>
      </c>
      <c r="D166" s="537">
        <f t="shared" si="2"/>
        <v>0.48675505633912763</v>
      </c>
    </row>
    <row r="167" spans="1:4" ht="16.5" hidden="1" thickBot="1">
      <c r="A167" s="535">
        <v>2010</v>
      </c>
      <c r="B167" s="538" t="s">
        <v>71</v>
      </c>
      <c r="C167" s="539">
        <v>6</v>
      </c>
      <c r="D167" s="537">
        <f t="shared" si="2"/>
        <v>0.48675505633912763</v>
      </c>
    </row>
    <row r="168" spans="1:4" ht="16.5" hidden="1" thickBot="1">
      <c r="A168" s="535">
        <v>2010</v>
      </c>
      <c r="B168" s="538" t="s">
        <v>72</v>
      </c>
      <c r="C168" s="539">
        <v>6</v>
      </c>
      <c r="D168" s="537">
        <f>100*((1+C169/100)^0.0833333333-1)</f>
        <v>0.48675505633912763</v>
      </c>
    </row>
    <row r="169" spans="1:4" ht="16.5" hidden="1" thickBot="1">
      <c r="A169" s="535">
        <v>2010</v>
      </c>
      <c r="B169" s="538" t="s">
        <v>73</v>
      </c>
      <c r="C169" s="539">
        <v>6</v>
      </c>
      <c r="D169" s="537">
        <f t="shared" si="2"/>
        <v>0.48675505633912763</v>
      </c>
    </row>
    <row r="170" spans="1:4" ht="16.5" hidden="1" thickBot="1">
      <c r="A170" s="535">
        <v>2010</v>
      </c>
      <c r="B170" s="538" t="s">
        <v>74</v>
      </c>
      <c r="C170" s="539">
        <v>6</v>
      </c>
      <c r="D170" s="537">
        <f t="shared" si="2"/>
        <v>0.48675505633912763</v>
      </c>
    </row>
    <row r="171" spans="1:4" ht="16.5" hidden="1" thickBot="1">
      <c r="A171" s="535">
        <v>2010</v>
      </c>
      <c r="B171" s="538" t="s">
        <v>75</v>
      </c>
      <c r="C171" s="539">
        <v>6</v>
      </c>
      <c r="D171" s="537">
        <f t="shared" si="2"/>
        <v>0.48675505633912763</v>
      </c>
    </row>
    <row r="172" spans="1:4" ht="16.5" hidden="1" thickBot="1">
      <c r="A172" s="535">
        <v>2010</v>
      </c>
      <c r="B172" s="538" t="s">
        <v>76</v>
      </c>
      <c r="C172" s="539">
        <v>6</v>
      </c>
      <c r="D172" s="537">
        <f t="shared" si="2"/>
        <v>0.48675505633912763</v>
      </c>
    </row>
    <row r="173" spans="1:4" ht="16.5" hidden="1" thickBot="1">
      <c r="A173" s="535">
        <v>2010</v>
      </c>
      <c r="B173" s="538" t="s">
        <v>77</v>
      </c>
      <c r="C173" s="539">
        <v>6</v>
      </c>
      <c r="D173" s="537">
        <f t="shared" si="2"/>
        <v>0.48675505633912763</v>
      </c>
    </row>
    <row r="174" spans="1:4" ht="16.5" hidden="1" thickBot="1">
      <c r="A174" s="535">
        <v>2010</v>
      </c>
      <c r="B174" s="538" t="s">
        <v>79</v>
      </c>
      <c r="C174" s="539">
        <v>6</v>
      </c>
      <c r="D174" s="537">
        <f t="shared" si="2"/>
        <v>0.48675505633912763</v>
      </c>
    </row>
    <row r="175" spans="1:4" ht="16.5" hidden="1" thickBot="1">
      <c r="A175" s="535">
        <v>2010</v>
      </c>
      <c r="B175" s="538" t="s">
        <v>78</v>
      </c>
      <c r="C175" s="539">
        <v>6</v>
      </c>
      <c r="D175" s="537">
        <f t="shared" si="2"/>
        <v>0.48675505633912763</v>
      </c>
    </row>
    <row r="176" spans="1:4" ht="16.5" hidden="1" thickBot="1">
      <c r="A176" s="535">
        <v>2010</v>
      </c>
      <c r="B176" s="538" t="s">
        <v>68</v>
      </c>
      <c r="C176" s="539">
        <v>6</v>
      </c>
      <c r="D176" s="537">
        <f t="shared" si="2"/>
        <v>0.48675505633912763</v>
      </c>
    </row>
    <row r="177" spans="1:4" ht="16.5" hidden="1" thickBot="1">
      <c r="A177" s="535">
        <v>2010</v>
      </c>
      <c r="B177" s="538" t="s">
        <v>69</v>
      </c>
      <c r="C177" s="539">
        <v>6</v>
      </c>
      <c r="D177" s="537">
        <f t="shared" si="2"/>
        <v>0.48675505633912763</v>
      </c>
    </row>
    <row r="178" spans="1:4">
      <c r="A178" s="541">
        <v>2011</v>
      </c>
      <c r="B178" s="542" t="s">
        <v>70</v>
      </c>
      <c r="C178" s="543">
        <v>6</v>
      </c>
      <c r="D178" s="544">
        <f t="shared" si="2"/>
        <v>0.48675505633912763</v>
      </c>
    </row>
    <row r="179" spans="1:4">
      <c r="A179" s="545">
        <v>2011</v>
      </c>
      <c r="B179" s="546" t="s">
        <v>71</v>
      </c>
      <c r="C179" s="547">
        <v>6</v>
      </c>
      <c r="D179" s="548">
        <f t="shared" si="2"/>
        <v>0.48675505633912763</v>
      </c>
    </row>
    <row r="180" spans="1:4">
      <c r="A180" s="545">
        <v>2011</v>
      </c>
      <c r="B180" s="546" t="s">
        <v>72</v>
      </c>
      <c r="C180" s="547">
        <v>6</v>
      </c>
      <c r="D180" s="548">
        <f t="shared" si="2"/>
        <v>0.48675505633912763</v>
      </c>
    </row>
    <row r="181" spans="1:4">
      <c r="A181" s="545">
        <v>2011</v>
      </c>
      <c r="B181" s="546" t="s">
        <v>73</v>
      </c>
      <c r="C181" s="547">
        <v>6</v>
      </c>
      <c r="D181" s="548">
        <f t="shared" si="2"/>
        <v>0.48675505633912763</v>
      </c>
    </row>
    <row r="182" spans="1:4">
      <c r="A182" s="545">
        <v>2011</v>
      </c>
      <c r="B182" s="546" t="s">
        <v>74</v>
      </c>
      <c r="C182" s="547">
        <v>6</v>
      </c>
      <c r="D182" s="548">
        <f t="shared" si="2"/>
        <v>0.48675505633912763</v>
      </c>
    </row>
    <row r="183" spans="1:4">
      <c r="A183" s="545">
        <v>2011</v>
      </c>
      <c r="B183" s="546" t="s">
        <v>75</v>
      </c>
      <c r="C183" s="547">
        <v>6</v>
      </c>
      <c r="D183" s="548">
        <f t="shared" si="2"/>
        <v>0.48675505633912763</v>
      </c>
    </row>
    <row r="184" spans="1:4">
      <c r="A184" s="545">
        <v>2011</v>
      </c>
      <c r="B184" s="546" t="s">
        <v>76</v>
      </c>
      <c r="C184" s="547">
        <v>6</v>
      </c>
      <c r="D184" s="548">
        <f t="shared" si="2"/>
        <v>0.48675505633912763</v>
      </c>
    </row>
    <row r="185" spans="1:4">
      <c r="A185" s="545">
        <v>2011</v>
      </c>
      <c r="B185" s="546" t="s">
        <v>77</v>
      </c>
      <c r="C185" s="547">
        <v>6</v>
      </c>
      <c r="D185" s="548">
        <f t="shared" si="2"/>
        <v>0.48675505633912763</v>
      </c>
    </row>
    <row r="186" spans="1:4">
      <c r="A186" s="545">
        <v>2011</v>
      </c>
      <c r="B186" s="546" t="s">
        <v>79</v>
      </c>
      <c r="C186" s="547">
        <v>6</v>
      </c>
      <c r="D186" s="548">
        <f t="shared" si="2"/>
        <v>0.48675505633912763</v>
      </c>
    </row>
    <row r="187" spans="1:4">
      <c r="A187" s="545">
        <v>2011</v>
      </c>
      <c r="B187" s="546" t="s">
        <v>78</v>
      </c>
      <c r="C187" s="547">
        <v>6</v>
      </c>
      <c r="D187" s="548">
        <f t="shared" si="2"/>
        <v>0.48675505633912763</v>
      </c>
    </row>
    <row r="188" spans="1:4">
      <c r="A188" s="545">
        <v>2011</v>
      </c>
      <c r="B188" s="546" t="s">
        <v>68</v>
      </c>
      <c r="C188" s="547">
        <v>6</v>
      </c>
      <c r="D188" s="548">
        <f t="shared" si="2"/>
        <v>0.48675505633912763</v>
      </c>
    </row>
    <row r="189" spans="1:4">
      <c r="A189" s="545">
        <v>2011</v>
      </c>
      <c r="B189" s="546" t="s">
        <v>69</v>
      </c>
      <c r="C189" s="547">
        <v>6</v>
      </c>
      <c r="D189" s="548">
        <f t="shared" si="2"/>
        <v>0.48675505633912763</v>
      </c>
    </row>
    <row r="190" spans="1:4">
      <c r="A190" s="545">
        <f>2012</f>
        <v>2012</v>
      </c>
      <c r="B190" s="546" t="s">
        <v>70</v>
      </c>
      <c r="C190" s="547">
        <v>6</v>
      </c>
      <c r="D190" s="548">
        <f t="shared" si="2"/>
        <v>0.48675505633912763</v>
      </c>
    </row>
    <row r="191" spans="1:4">
      <c r="A191" s="545">
        <f>2012</f>
        <v>2012</v>
      </c>
      <c r="B191" s="546" t="s">
        <v>71</v>
      </c>
      <c r="C191" s="547">
        <v>6</v>
      </c>
      <c r="D191" s="548">
        <f t="shared" si="2"/>
        <v>0.48675505633912763</v>
      </c>
    </row>
    <row r="192" spans="1:4">
      <c r="A192" s="545">
        <f>2012</f>
        <v>2012</v>
      </c>
      <c r="B192" s="546" t="s">
        <v>72</v>
      </c>
      <c r="C192" s="547">
        <v>6</v>
      </c>
      <c r="D192" s="548">
        <f t="shared" si="2"/>
        <v>0.48675505633912763</v>
      </c>
    </row>
    <row r="193" spans="1:4">
      <c r="A193" s="545">
        <f>2012</f>
        <v>2012</v>
      </c>
      <c r="B193" s="546" t="s">
        <v>73</v>
      </c>
      <c r="C193" s="547">
        <v>6</v>
      </c>
      <c r="D193" s="548">
        <f t="shared" si="2"/>
        <v>0.48675505633912763</v>
      </c>
    </row>
    <row r="194" spans="1:4">
      <c r="A194" s="545">
        <f>2012</f>
        <v>2012</v>
      </c>
      <c r="B194" s="546" t="s">
        <v>74</v>
      </c>
      <c r="C194" s="547">
        <v>6</v>
      </c>
      <c r="D194" s="548">
        <f t="shared" si="2"/>
        <v>0.48675505633912763</v>
      </c>
    </row>
    <row r="195" spans="1:4">
      <c r="A195" s="545">
        <f>2012</f>
        <v>2012</v>
      </c>
      <c r="B195" s="546" t="s">
        <v>75</v>
      </c>
      <c r="C195" s="547">
        <v>6</v>
      </c>
      <c r="D195" s="548">
        <f t="shared" si="2"/>
        <v>0.48675505633912763</v>
      </c>
    </row>
    <row r="196" spans="1:4">
      <c r="A196" s="545">
        <f>2012</f>
        <v>2012</v>
      </c>
      <c r="B196" s="546" t="s">
        <v>76</v>
      </c>
      <c r="C196" s="547">
        <v>5.5</v>
      </c>
      <c r="D196" s="548">
        <f t="shared" si="2"/>
        <v>0.44716989152502329</v>
      </c>
    </row>
    <row r="197" spans="1:4">
      <c r="A197" s="545">
        <f>2012</f>
        <v>2012</v>
      </c>
      <c r="B197" s="546" t="s">
        <v>77</v>
      </c>
      <c r="C197" s="547">
        <v>5.5</v>
      </c>
      <c r="D197" s="548">
        <f t="shared" si="2"/>
        <v>0.44716989152502329</v>
      </c>
    </row>
    <row r="198" spans="1:4">
      <c r="A198" s="545">
        <f>2012</f>
        <v>2012</v>
      </c>
      <c r="B198" s="546" t="s">
        <v>79</v>
      </c>
      <c r="C198" s="547">
        <v>5.5</v>
      </c>
      <c r="D198" s="548">
        <f t="shared" si="2"/>
        <v>0.44716989152502329</v>
      </c>
    </row>
    <row r="199" spans="1:4">
      <c r="A199" s="545">
        <f>2012</f>
        <v>2012</v>
      </c>
      <c r="B199" s="546" t="s">
        <v>78</v>
      </c>
      <c r="C199" s="547">
        <v>5.5</v>
      </c>
      <c r="D199" s="548">
        <f t="shared" si="2"/>
        <v>0.44716989152502329</v>
      </c>
    </row>
    <row r="200" spans="1:4">
      <c r="A200" s="545">
        <f>2012</f>
        <v>2012</v>
      </c>
      <c r="B200" s="546" t="s">
        <v>68</v>
      </c>
      <c r="C200" s="547">
        <v>5.5</v>
      </c>
      <c r="D200" s="548">
        <f t="shared" si="2"/>
        <v>0.44716989152502329</v>
      </c>
    </row>
    <row r="201" spans="1:4">
      <c r="A201" s="545">
        <f>2012</f>
        <v>2012</v>
      </c>
      <c r="B201" s="546" t="s">
        <v>69</v>
      </c>
      <c r="C201" s="547">
        <v>5.5</v>
      </c>
      <c r="D201" s="548">
        <f t="shared" si="2"/>
        <v>0.44716989152502329</v>
      </c>
    </row>
    <row r="202" spans="1:4">
      <c r="A202" s="545">
        <f>2013</f>
        <v>2013</v>
      </c>
      <c r="B202" s="546" t="s">
        <v>70</v>
      </c>
      <c r="C202" s="547">
        <v>5</v>
      </c>
      <c r="D202" s="548">
        <f t="shared" si="2"/>
        <v>0.40741237820154375</v>
      </c>
    </row>
    <row r="203" spans="1:4">
      <c r="A203" s="545">
        <f>2013</f>
        <v>2013</v>
      </c>
      <c r="B203" s="546" t="s">
        <v>71</v>
      </c>
      <c r="C203" s="547">
        <v>5</v>
      </c>
      <c r="D203" s="548">
        <f t="shared" si="2"/>
        <v>0.40741237820154375</v>
      </c>
    </row>
    <row r="204" spans="1:4">
      <c r="A204" s="545">
        <f>2013</f>
        <v>2013</v>
      </c>
      <c r="B204" s="546" t="s">
        <v>72</v>
      </c>
      <c r="C204" s="547">
        <v>5</v>
      </c>
      <c r="D204" s="548">
        <f t="shared" ref="D204:D267" si="3">100*((1+C204/100)^0.0833333333-1)</f>
        <v>0.40741237820154375</v>
      </c>
    </row>
    <row r="205" spans="1:4">
      <c r="A205" s="545">
        <f>2013</f>
        <v>2013</v>
      </c>
      <c r="B205" s="546" t="s">
        <v>73</v>
      </c>
      <c r="C205" s="547">
        <v>5</v>
      </c>
      <c r="D205" s="548">
        <f t="shared" si="3"/>
        <v>0.40741237820154375</v>
      </c>
    </row>
    <row r="206" spans="1:4">
      <c r="A206" s="545">
        <f>2013</f>
        <v>2013</v>
      </c>
      <c r="B206" s="546" t="s">
        <v>74</v>
      </c>
      <c r="C206" s="547">
        <v>5</v>
      </c>
      <c r="D206" s="548">
        <f t="shared" si="3"/>
        <v>0.40741237820154375</v>
      </c>
    </row>
    <row r="207" spans="1:4">
      <c r="A207" s="545">
        <f>2013</f>
        <v>2013</v>
      </c>
      <c r="B207" s="546" t="s">
        <v>75</v>
      </c>
      <c r="C207" s="547">
        <v>5</v>
      </c>
      <c r="D207" s="548">
        <f t="shared" si="3"/>
        <v>0.40741237820154375</v>
      </c>
    </row>
    <row r="208" spans="1:4">
      <c r="A208" s="545">
        <f>2013</f>
        <v>2013</v>
      </c>
      <c r="B208" s="546" t="s">
        <v>76</v>
      </c>
      <c r="C208" s="547">
        <v>5</v>
      </c>
      <c r="D208" s="548">
        <f t="shared" si="3"/>
        <v>0.40741237820154375</v>
      </c>
    </row>
    <row r="209" spans="1:4">
      <c r="A209" s="545">
        <f>2013</f>
        <v>2013</v>
      </c>
      <c r="B209" s="546" t="s">
        <v>77</v>
      </c>
      <c r="C209" s="547">
        <v>5</v>
      </c>
      <c r="D209" s="548">
        <f t="shared" si="3"/>
        <v>0.40741237820154375</v>
      </c>
    </row>
    <row r="210" spans="1:4">
      <c r="A210" s="545">
        <f>2013</f>
        <v>2013</v>
      </c>
      <c r="B210" s="546" t="s">
        <v>79</v>
      </c>
      <c r="C210" s="547">
        <v>5</v>
      </c>
      <c r="D210" s="548">
        <f t="shared" si="3"/>
        <v>0.40741237820154375</v>
      </c>
    </row>
    <row r="211" spans="1:4">
      <c r="A211" s="545">
        <f>2013</f>
        <v>2013</v>
      </c>
      <c r="B211" s="546" t="s">
        <v>78</v>
      </c>
      <c r="C211" s="547">
        <v>5</v>
      </c>
      <c r="D211" s="548">
        <f t="shared" si="3"/>
        <v>0.40741237820154375</v>
      </c>
    </row>
    <row r="212" spans="1:4">
      <c r="A212" s="545">
        <f>2013</f>
        <v>2013</v>
      </c>
      <c r="B212" s="546" t="s">
        <v>68</v>
      </c>
      <c r="C212" s="547">
        <v>5</v>
      </c>
      <c r="D212" s="548">
        <f t="shared" si="3"/>
        <v>0.40741237820154375</v>
      </c>
    </row>
    <row r="213" spans="1:4">
      <c r="A213" s="545">
        <f>2013</f>
        <v>2013</v>
      </c>
      <c r="B213" s="546" t="s">
        <v>69</v>
      </c>
      <c r="C213" s="547">
        <v>5</v>
      </c>
      <c r="D213" s="548">
        <f t="shared" si="3"/>
        <v>0.40741237820154375</v>
      </c>
    </row>
    <row r="214" spans="1:4">
      <c r="A214" s="545">
        <f>2014</f>
        <v>2014</v>
      </c>
      <c r="B214" s="546" t="s">
        <v>70</v>
      </c>
      <c r="C214" s="547">
        <v>5</v>
      </c>
      <c r="D214" s="548">
        <f t="shared" si="3"/>
        <v>0.40741237820154375</v>
      </c>
    </row>
    <row r="215" spans="1:4">
      <c r="A215" s="545">
        <f>2014</f>
        <v>2014</v>
      </c>
      <c r="B215" s="546" t="s">
        <v>71</v>
      </c>
      <c r="C215" s="547">
        <v>5</v>
      </c>
      <c r="D215" s="548">
        <f t="shared" si="3"/>
        <v>0.40741237820154375</v>
      </c>
    </row>
    <row r="216" spans="1:4">
      <c r="A216" s="545">
        <f>2014</f>
        <v>2014</v>
      </c>
      <c r="B216" s="546" t="s">
        <v>72</v>
      </c>
      <c r="C216" s="547">
        <v>5</v>
      </c>
      <c r="D216" s="548">
        <f t="shared" si="3"/>
        <v>0.40741237820154375</v>
      </c>
    </row>
    <row r="217" spans="1:4">
      <c r="A217" s="545">
        <f>2014</f>
        <v>2014</v>
      </c>
      <c r="B217" s="546" t="s">
        <v>73</v>
      </c>
      <c r="C217" s="547">
        <v>5</v>
      </c>
      <c r="D217" s="548">
        <f t="shared" si="3"/>
        <v>0.40741237820154375</v>
      </c>
    </row>
    <row r="218" spans="1:4">
      <c r="A218" s="545">
        <f>2014</f>
        <v>2014</v>
      </c>
      <c r="B218" s="546" t="s">
        <v>74</v>
      </c>
      <c r="C218" s="547">
        <v>5</v>
      </c>
      <c r="D218" s="548">
        <f t="shared" si="3"/>
        <v>0.40741237820154375</v>
      </c>
    </row>
    <row r="219" spans="1:4">
      <c r="A219" s="545">
        <f>2014</f>
        <v>2014</v>
      </c>
      <c r="B219" s="546" t="s">
        <v>75</v>
      </c>
      <c r="C219" s="547">
        <v>5</v>
      </c>
      <c r="D219" s="548">
        <f t="shared" si="3"/>
        <v>0.40741237820154375</v>
      </c>
    </row>
    <row r="220" spans="1:4">
      <c r="A220" s="545">
        <f>2014</f>
        <v>2014</v>
      </c>
      <c r="B220" s="546" t="s">
        <v>76</v>
      </c>
      <c r="C220" s="547">
        <v>5</v>
      </c>
      <c r="D220" s="548">
        <f t="shared" si="3"/>
        <v>0.40741237820154375</v>
      </c>
    </row>
    <row r="221" spans="1:4">
      <c r="A221" s="545">
        <f>2014</f>
        <v>2014</v>
      </c>
      <c r="B221" s="546" t="s">
        <v>77</v>
      </c>
      <c r="C221" s="547">
        <v>5</v>
      </c>
      <c r="D221" s="548">
        <f t="shared" si="3"/>
        <v>0.40741237820154375</v>
      </c>
    </row>
    <row r="222" spans="1:4">
      <c r="A222" s="545">
        <f>2014</f>
        <v>2014</v>
      </c>
      <c r="B222" s="546" t="s">
        <v>79</v>
      </c>
      <c r="C222" s="547">
        <v>5</v>
      </c>
      <c r="D222" s="548">
        <f t="shared" si="3"/>
        <v>0.40741237820154375</v>
      </c>
    </row>
    <row r="223" spans="1:4">
      <c r="A223" s="545">
        <f>2014</f>
        <v>2014</v>
      </c>
      <c r="B223" s="546" t="s">
        <v>78</v>
      </c>
      <c r="C223" s="547">
        <v>5</v>
      </c>
      <c r="D223" s="548">
        <f t="shared" si="3"/>
        <v>0.40741237820154375</v>
      </c>
    </row>
    <row r="224" spans="1:4">
      <c r="A224" s="545">
        <f>2014</f>
        <v>2014</v>
      </c>
      <c r="B224" s="546" t="s">
        <v>68</v>
      </c>
      <c r="C224" s="547">
        <v>5</v>
      </c>
      <c r="D224" s="548">
        <f t="shared" si="3"/>
        <v>0.40741237820154375</v>
      </c>
    </row>
    <row r="225" spans="1:4">
      <c r="A225" s="545">
        <f>2014</f>
        <v>2014</v>
      </c>
      <c r="B225" s="546" t="s">
        <v>69</v>
      </c>
      <c r="C225" s="547">
        <v>5</v>
      </c>
      <c r="D225" s="548">
        <f t="shared" si="3"/>
        <v>0.40741237820154375</v>
      </c>
    </row>
    <row r="226" spans="1:4">
      <c r="A226" s="545">
        <f>2015</f>
        <v>2015</v>
      </c>
      <c r="B226" s="546" t="s">
        <v>70</v>
      </c>
      <c r="C226" s="547">
        <v>5.5</v>
      </c>
      <c r="D226" s="548">
        <f t="shared" si="3"/>
        <v>0.44716989152502329</v>
      </c>
    </row>
    <row r="227" spans="1:4">
      <c r="A227" s="545">
        <f>2015</f>
        <v>2015</v>
      </c>
      <c r="B227" s="546" t="s">
        <v>71</v>
      </c>
      <c r="C227" s="547">
        <v>5.5</v>
      </c>
      <c r="D227" s="548">
        <f t="shared" si="3"/>
        <v>0.44716989152502329</v>
      </c>
    </row>
    <row r="228" spans="1:4">
      <c r="A228" s="545">
        <f>2015</f>
        <v>2015</v>
      </c>
      <c r="B228" s="546" t="s">
        <v>72</v>
      </c>
      <c r="C228" s="547">
        <v>5.5</v>
      </c>
      <c r="D228" s="548">
        <f t="shared" si="3"/>
        <v>0.44716989152502329</v>
      </c>
    </row>
    <row r="229" spans="1:4">
      <c r="A229" s="545">
        <f>2015</f>
        <v>2015</v>
      </c>
      <c r="B229" s="546" t="s">
        <v>73</v>
      </c>
      <c r="C229" s="547">
        <v>6</v>
      </c>
      <c r="D229" s="548">
        <f t="shared" si="3"/>
        <v>0.48675505633912763</v>
      </c>
    </row>
    <row r="230" spans="1:4">
      <c r="A230" s="545">
        <f>2015</f>
        <v>2015</v>
      </c>
      <c r="B230" s="546" t="s">
        <v>74</v>
      </c>
      <c r="C230" s="547">
        <v>6</v>
      </c>
      <c r="D230" s="548">
        <f t="shared" si="3"/>
        <v>0.48675505633912763</v>
      </c>
    </row>
    <row r="231" spans="1:4">
      <c r="A231" s="545">
        <f>2015</f>
        <v>2015</v>
      </c>
      <c r="B231" s="546" t="s">
        <v>75</v>
      </c>
      <c r="C231" s="547">
        <v>6</v>
      </c>
      <c r="D231" s="548">
        <f t="shared" si="3"/>
        <v>0.48675505633912763</v>
      </c>
    </row>
    <row r="232" spans="1:4">
      <c r="A232" s="545">
        <f>2015</f>
        <v>2015</v>
      </c>
      <c r="B232" s="546" t="s">
        <v>76</v>
      </c>
      <c r="C232" s="547">
        <v>6.5</v>
      </c>
      <c r="D232" s="548">
        <f t="shared" si="3"/>
        <v>0.52616942747376605</v>
      </c>
    </row>
    <row r="233" spans="1:4">
      <c r="A233" s="545">
        <f>2015</f>
        <v>2015</v>
      </c>
      <c r="B233" s="546" t="s">
        <v>77</v>
      </c>
      <c r="C233" s="547">
        <v>6.5</v>
      </c>
      <c r="D233" s="548">
        <f t="shared" si="3"/>
        <v>0.52616942747376605</v>
      </c>
    </row>
    <row r="234" spans="1:4">
      <c r="A234" s="545">
        <f>2015</f>
        <v>2015</v>
      </c>
      <c r="B234" s="546" t="s">
        <v>79</v>
      </c>
      <c r="C234" s="547">
        <v>6.5</v>
      </c>
      <c r="D234" s="548">
        <f t="shared" si="3"/>
        <v>0.52616942747376605</v>
      </c>
    </row>
    <row r="235" spans="1:4">
      <c r="A235" s="545">
        <f>2015</f>
        <v>2015</v>
      </c>
      <c r="B235" s="546" t="s">
        <v>78</v>
      </c>
      <c r="C235" s="547">
        <v>7</v>
      </c>
      <c r="D235" s="548">
        <f t="shared" si="3"/>
        <v>0.56541453851373102</v>
      </c>
    </row>
    <row r="236" spans="1:4">
      <c r="A236" s="545">
        <f>2015</f>
        <v>2015</v>
      </c>
      <c r="B236" s="546" t="s">
        <v>68</v>
      </c>
      <c r="C236" s="547">
        <v>7</v>
      </c>
      <c r="D236" s="548">
        <f t="shared" si="3"/>
        <v>0.56541453851373102</v>
      </c>
    </row>
    <row r="237" spans="1:4">
      <c r="A237" s="545">
        <f>2015</f>
        <v>2015</v>
      </c>
      <c r="B237" s="546" t="s">
        <v>69</v>
      </c>
      <c r="C237" s="547">
        <v>7</v>
      </c>
      <c r="D237" s="548">
        <f t="shared" si="3"/>
        <v>0.56541453851373102</v>
      </c>
    </row>
    <row r="238" spans="1:4">
      <c r="A238" s="545">
        <f>2016</f>
        <v>2016</v>
      </c>
      <c r="B238" s="546" t="s">
        <v>70</v>
      </c>
      <c r="C238" s="547">
        <v>7.5</v>
      </c>
      <c r="D238" s="548">
        <f t="shared" si="3"/>
        <v>0.60449190218665461</v>
      </c>
    </row>
    <row r="239" spans="1:4">
      <c r="A239" s="545">
        <f>2016</f>
        <v>2016</v>
      </c>
      <c r="B239" s="546" t="s">
        <v>71</v>
      </c>
      <c r="C239" s="547">
        <v>7.5</v>
      </c>
      <c r="D239" s="548">
        <f t="shared" si="3"/>
        <v>0.60449190218665461</v>
      </c>
    </row>
    <row r="240" spans="1:4">
      <c r="A240" s="545">
        <f>2016</f>
        <v>2016</v>
      </c>
      <c r="B240" s="546" t="s">
        <v>72</v>
      </c>
      <c r="C240" s="547">
        <v>7.5</v>
      </c>
      <c r="D240" s="548">
        <f t="shared" si="3"/>
        <v>0.60449190218665461</v>
      </c>
    </row>
    <row r="241" spans="1:4">
      <c r="A241" s="545">
        <f>2016</f>
        <v>2016</v>
      </c>
      <c r="B241" s="546" t="s">
        <v>73</v>
      </c>
      <c r="C241" s="547">
        <v>7.5</v>
      </c>
      <c r="D241" s="548">
        <f t="shared" si="3"/>
        <v>0.60449190218665461</v>
      </c>
    </row>
    <row r="242" spans="1:4">
      <c r="A242" s="545">
        <f>2016</f>
        <v>2016</v>
      </c>
      <c r="B242" s="546" t="s">
        <v>74</v>
      </c>
      <c r="C242" s="547">
        <v>7.5</v>
      </c>
      <c r="D242" s="548">
        <f t="shared" si="3"/>
        <v>0.60449190218665461</v>
      </c>
    </row>
    <row r="243" spans="1:4">
      <c r="A243" s="545">
        <f>2016</f>
        <v>2016</v>
      </c>
      <c r="B243" s="546" t="s">
        <v>75</v>
      </c>
      <c r="C243" s="547">
        <v>7.5</v>
      </c>
      <c r="D243" s="548">
        <f t="shared" si="3"/>
        <v>0.60449190218665461</v>
      </c>
    </row>
    <row r="244" spans="1:4">
      <c r="A244" s="545">
        <f>2016</f>
        <v>2016</v>
      </c>
      <c r="B244" s="546" t="s">
        <v>76</v>
      </c>
      <c r="C244" s="547">
        <v>7.5</v>
      </c>
      <c r="D244" s="548">
        <f t="shared" si="3"/>
        <v>0.60449190218665461</v>
      </c>
    </row>
    <row r="245" spans="1:4">
      <c r="A245" s="545">
        <f>2016</f>
        <v>2016</v>
      </c>
      <c r="B245" s="546" t="s">
        <v>77</v>
      </c>
      <c r="C245" s="547">
        <v>7.5</v>
      </c>
      <c r="D245" s="548">
        <f t="shared" si="3"/>
        <v>0.60449190218665461</v>
      </c>
    </row>
    <row r="246" spans="1:4">
      <c r="A246" s="545">
        <f>2016</f>
        <v>2016</v>
      </c>
      <c r="B246" s="546" t="s">
        <v>79</v>
      </c>
      <c r="C246" s="547">
        <v>7.5</v>
      </c>
      <c r="D246" s="548">
        <f t="shared" si="3"/>
        <v>0.60449190218665461</v>
      </c>
    </row>
    <row r="247" spans="1:4">
      <c r="A247" s="545">
        <f>2016</f>
        <v>2016</v>
      </c>
      <c r="B247" s="546" t="s">
        <v>78</v>
      </c>
      <c r="C247" s="547">
        <v>7.5</v>
      </c>
      <c r="D247" s="548">
        <f t="shared" si="3"/>
        <v>0.60449190218665461</v>
      </c>
    </row>
    <row r="248" spans="1:4">
      <c r="A248" s="545">
        <f>2016</f>
        <v>2016</v>
      </c>
      <c r="B248" s="546" t="s">
        <v>68</v>
      </c>
      <c r="C248" s="547">
        <v>7.5</v>
      </c>
      <c r="D248" s="548">
        <f t="shared" si="3"/>
        <v>0.60449190218665461</v>
      </c>
    </row>
    <row r="249" spans="1:4">
      <c r="A249" s="545">
        <f>2016</f>
        <v>2016</v>
      </c>
      <c r="B249" s="546" t="s">
        <v>69</v>
      </c>
      <c r="C249" s="547">
        <v>7.5</v>
      </c>
      <c r="D249" s="548">
        <f t="shared" si="3"/>
        <v>0.60449190218665461</v>
      </c>
    </row>
    <row r="250" spans="1:4">
      <c r="A250" s="545">
        <f>2017</f>
        <v>2017</v>
      </c>
      <c r="B250" s="546" t="s">
        <v>70</v>
      </c>
      <c r="C250" s="547">
        <v>7.5</v>
      </c>
      <c r="D250" s="548">
        <f t="shared" si="3"/>
        <v>0.60449190218665461</v>
      </c>
    </row>
    <row r="251" spans="1:4">
      <c r="A251" s="545">
        <f>2017</f>
        <v>2017</v>
      </c>
      <c r="B251" s="546" t="s">
        <v>71</v>
      </c>
      <c r="C251" s="547">
        <v>7.5</v>
      </c>
      <c r="D251" s="548">
        <f t="shared" si="3"/>
        <v>0.60449190218665461</v>
      </c>
    </row>
    <row r="252" spans="1:4">
      <c r="A252" s="545">
        <f>2017</f>
        <v>2017</v>
      </c>
      <c r="B252" s="546" t="s">
        <v>72</v>
      </c>
      <c r="C252" s="547">
        <v>7.5</v>
      </c>
      <c r="D252" s="548">
        <f t="shared" si="3"/>
        <v>0.60449190218665461</v>
      </c>
    </row>
    <row r="253" spans="1:4">
      <c r="A253" s="545">
        <f>2017</f>
        <v>2017</v>
      </c>
      <c r="B253" s="546" t="s">
        <v>73</v>
      </c>
      <c r="C253" s="547">
        <v>7</v>
      </c>
      <c r="D253" s="548">
        <f t="shared" si="3"/>
        <v>0.56541453851373102</v>
      </c>
    </row>
    <row r="254" spans="1:4">
      <c r="A254" s="545">
        <f>2017</f>
        <v>2017</v>
      </c>
      <c r="B254" s="546" t="s">
        <v>74</v>
      </c>
      <c r="C254" s="547">
        <v>7</v>
      </c>
      <c r="D254" s="548">
        <f t="shared" si="3"/>
        <v>0.56541453851373102</v>
      </c>
    </row>
    <row r="255" spans="1:4">
      <c r="A255" s="545">
        <f>2017</f>
        <v>2017</v>
      </c>
      <c r="B255" s="546" t="s">
        <v>75</v>
      </c>
      <c r="C255" s="547">
        <v>7</v>
      </c>
      <c r="D255" s="548">
        <f t="shared" si="3"/>
        <v>0.56541453851373102</v>
      </c>
    </row>
    <row r="256" spans="1:4">
      <c r="A256" s="545">
        <f>2017</f>
        <v>2017</v>
      </c>
      <c r="B256" s="546" t="s">
        <v>76</v>
      </c>
      <c r="C256" s="547">
        <v>7</v>
      </c>
      <c r="D256" s="548">
        <f t="shared" si="3"/>
        <v>0.56541453851373102</v>
      </c>
    </row>
    <row r="257" spans="1:4">
      <c r="A257" s="545">
        <f>2017</f>
        <v>2017</v>
      </c>
      <c r="B257" s="546" t="s">
        <v>77</v>
      </c>
      <c r="C257" s="547">
        <v>7</v>
      </c>
      <c r="D257" s="548">
        <f t="shared" si="3"/>
        <v>0.56541453851373102</v>
      </c>
    </row>
    <row r="258" spans="1:4">
      <c r="A258" s="545">
        <f>2017</f>
        <v>2017</v>
      </c>
      <c r="B258" s="546" t="s">
        <v>79</v>
      </c>
      <c r="C258" s="547">
        <v>7</v>
      </c>
      <c r="D258" s="548">
        <f t="shared" si="3"/>
        <v>0.56541453851373102</v>
      </c>
    </row>
    <row r="259" spans="1:4">
      <c r="A259" s="545">
        <f>2017</f>
        <v>2017</v>
      </c>
      <c r="B259" s="546" t="s">
        <v>78</v>
      </c>
      <c r="C259" s="547">
        <v>7</v>
      </c>
      <c r="D259" s="548">
        <f t="shared" si="3"/>
        <v>0.56541453851373102</v>
      </c>
    </row>
    <row r="260" spans="1:4">
      <c r="A260" s="545">
        <f>2017</f>
        <v>2017</v>
      </c>
      <c r="B260" s="546" t="s">
        <v>68</v>
      </c>
      <c r="C260" s="547">
        <v>7</v>
      </c>
      <c r="D260" s="548">
        <f t="shared" si="3"/>
        <v>0.56541453851373102</v>
      </c>
    </row>
    <row r="261" spans="1:4">
      <c r="A261" s="545">
        <f>2017</f>
        <v>2017</v>
      </c>
      <c r="B261" s="546" t="s">
        <v>69</v>
      </c>
      <c r="C261" s="547">
        <v>7</v>
      </c>
      <c r="D261" s="548">
        <f t="shared" si="3"/>
        <v>0.56541453851373102</v>
      </c>
    </row>
    <row r="262" spans="1:4">
      <c r="A262" s="545">
        <f>2018</f>
        <v>2018</v>
      </c>
      <c r="B262" s="546" t="s">
        <v>70</v>
      </c>
      <c r="C262" s="547">
        <v>6.75</v>
      </c>
      <c r="D262" s="548">
        <f t="shared" si="3"/>
        <v>0.54581304547574039</v>
      </c>
    </row>
    <row r="263" spans="1:4">
      <c r="A263" s="545">
        <f>2018</f>
        <v>2018</v>
      </c>
      <c r="B263" s="546" t="s">
        <v>71</v>
      </c>
      <c r="C263" s="547">
        <v>6.75</v>
      </c>
      <c r="D263" s="548">
        <f t="shared" si="3"/>
        <v>0.54581304547574039</v>
      </c>
    </row>
    <row r="264" spans="1:4">
      <c r="A264" s="545">
        <f>2018</f>
        <v>2018</v>
      </c>
      <c r="B264" s="546" t="s">
        <v>72</v>
      </c>
      <c r="C264" s="547">
        <v>6.75</v>
      </c>
      <c r="D264" s="548">
        <f t="shared" si="3"/>
        <v>0.54581304547574039</v>
      </c>
    </row>
    <row r="265" spans="1:4">
      <c r="A265" s="545">
        <f>2018</f>
        <v>2018</v>
      </c>
      <c r="B265" s="546" t="s">
        <v>73</v>
      </c>
      <c r="C265" s="547">
        <v>6.6</v>
      </c>
      <c r="D265" s="548">
        <f t="shared" si="3"/>
        <v>0.53403194178414104</v>
      </c>
    </row>
    <row r="266" spans="1:4">
      <c r="A266" s="545">
        <f>2018</f>
        <v>2018</v>
      </c>
      <c r="B266" s="546" t="s">
        <v>74</v>
      </c>
      <c r="C266" s="547">
        <v>6.6</v>
      </c>
      <c r="D266" s="548">
        <f t="shared" si="3"/>
        <v>0.53403194178414104</v>
      </c>
    </row>
    <row r="267" spans="1:4">
      <c r="A267" s="545">
        <f>2018</f>
        <v>2018</v>
      </c>
      <c r="B267" s="546" t="s">
        <v>75</v>
      </c>
      <c r="C267" s="547">
        <v>6.6</v>
      </c>
      <c r="D267" s="548">
        <f t="shared" si="3"/>
        <v>0.53403194178414104</v>
      </c>
    </row>
    <row r="268" spans="1:4">
      <c r="A268" s="545">
        <f>2018</f>
        <v>2018</v>
      </c>
      <c r="B268" s="546" t="s">
        <v>76</v>
      </c>
      <c r="C268" s="547">
        <v>6.56</v>
      </c>
      <c r="D268" s="548">
        <f t="shared" ref="D268:D331" si="4">100*((1+C268/100)^0.0833333333-1)</f>
        <v>0.53088774772094283</v>
      </c>
    </row>
    <row r="269" spans="1:4">
      <c r="A269" s="545">
        <f>2018</f>
        <v>2018</v>
      </c>
      <c r="B269" s="546" t="s">
        <v>77</v>
      </c>
      <c r="C269" s="547">
        <v>6.56</v>
      </c>
      <c r="D269" s="548">
        <f t="shared" si="4"/>
        <v>0.53088774772094283</v>
      </c>
    </row>
    <row r="270" spans="1:4">
      <c r="A270" s="545">
        <f>2018</f>
        <v>2018</v>
      </c>
      <c r="B270" s="546" t="s">
        <v>79</v>
      </c>
      <c r="C270" s="547">
        <v>6.56</v>
      </c>
      <c r="D270" s="548">
        <f t="shared" si="4"/>
        <v>0.53088774772094283</v>
      </c>
    </row>
    <row r="271" spans="1:4">
      <c r="A271" s="545">
        <f>2018</f>
        <v>2018</v>
      </c>
      <c r="B271" s="546" t="s">
        <v>78</v>
      </c>
      <c r="C271" s="547">
        <v>6.98</v>
      </c>
      <c r="D271" s="548">
        <f t="shared" si="4"/>
        <v>0.56384796482300548</v>
      </c>
    </row>
    <row r="272" spans="1:4">
      <c r="A272" s="545">
        <f>2018</f>
        <v>2018</v>
      </c>
      <c r="B272" s="546" t="s">
        <v>68</v>
      </c>
      <c r="C272" s="547">
        <v>6.98</v>
      </c>
      <c r="D272" s="548">
        <f t="shared" si="4"/>
        <v>0.56384796482300548</v>
      </c>
    </row>
    <row r="273" spans="1:4">
      <c r="A273" s="545">
        <f>2018</f>
        <v>2018</v>
      </c>
      <c r="B273" s="546" t="s">
        <v>69</v>
      </c>
      <c r="C273" s="547">
        <v>6.98</v>
      </c>
      <c r="D273" s="548">
        <f t="shared" si="4"/>
        <v>0.56384796482300548</v>
      </c>
    </row>
    <row r="274" spans="1:4">
      <c r="A274" s="545">
        <f>2019</f>
        <v>2019</v>
      </c>
      <c r="B274" s="546" t="s">
        <v>70</v>
      </c>
      <c r="C274" s="547">
        <v>7.03</v>
      </c>
      <c r="D274" s="548">
        <f t="shared" si="4"/>
        <v>0.56776389584285436</v>
      </c>
    </row>
    <row r="275" spans="1:4">
      <c r="A275" s="545">
        <f>2019</f>
        <v>2019</v>
      </c>
      <c r="B275" s="546" t="s">
        <v>71</v>
      </c>
      <c r="C275" s="547">
        <v>7.03</v>
      </c>
      <c r="D275" s="548">
        <f t="shared" si="4"/>
        <v>0.56776389584285436</v>
      </c>
    </row>
    <row r="276" spans="1:4">
      <c r="A276" s="549">
        <f>2019</f>
        <v>2019</v>
      </c>
      <c r="B276" s="550" t="s">
        <v>72</v>
      </c>
      <c r="C276" s="551">
        <v>7.03</v>
      </c>
      <c r="D276" s="552">
        <f t="shared" si="4"/>
        <v>0.56776389584285436</v>
      </c>
    </row>
    <row r="277" spans="1:4">
      <c r="A277" s="549">
        <f>2019</f>
        <v>2019</v>
      </c>
      <c r="B277" s="550" t="s">
        <v>73</v>
      </c>
      <c r="C277" s="551">
        <v>6.26</v>
      </c>
      <c r="D277" s="552">
        <f t="shared" si="4"/>
        <v>0.5072717469162713</v>
      </c>
    </row>
    <row r="278" spans="1:4">
      <c r="A278" s="549">
        <f>2019</f>
        <v>2019</v>
      </c>
      <c r="B278" s="550" t="s">
        <v>74</v>
      </c>
      <c r="C278" s="551">
        <v>6.26</v>
      </c>
      <c r="D278" s="552">
        <f t="shared" si="4"/>
        <v>0.5072717469162713</v>
      </c>
    </row>
    <row r="279" spans="1:4">
      <c r="A279" s="549">
        <f>2019</f>
        <v>2019</v>
      </c>
      <c r="B279" s="550" t="s">
        <v>75</v>
      </c>
      <c r="C279" s="551">
        <v>5.95</v>
      </c>
      <c r="D279" s="552">
        <f t="shared" si="4"/>
        <v>0.4828042510601982</v>
      </c>
    </row>
    <row r="280" spans="1:4">
      <c r="A280" s="549">
        <f>2019</f>
        <v>2019</v>
      </c>
      <c r="B280" s="550" t="s">
        <v>76</v>
      </c>
      <c r="C280" s="551">
        <v>5.95</v>
      </c>
      <c r="D280" s="552">
        <f t="shared" si="4"/>
        <v>0.4828042510601982</v>
      </c>
    </row>
    <row r="281" spans="1:4">
      <c r="A281" s="549">
        <f>2019</f>
        <v>2019</v>
      </c>
      <c r="B281" s="550" t="s">
        <v>77</v>
      </c>
      <c r="C281" s="551">
        <v>5.95</v>
      </c>
      <c r="D281" s="552">
        <f t="shared" si="4"/>
        <v>0.4828042510601982</v>
      </c>
    </row>
    <row r="282" spans="1:4">
      <c r="A282" s="549">
        <f>2019</f>
        <v>2019</v>
      </c>
      <c r="B282" s="550" t="s">
        <v>79</v>
      </c>
      <c r="C282" s="551">
        <v>5.57</v>
      </c>
      <c r="D282" s="552">
        <f t="shared" si="4"/>
        <v>0.45272215418259432</v>
      </c>
    </row>
    <row r="283" spans="1:4">
      <c r="A283" s="549">
        <f>2019</f>
        <v>2019</v>
      </c>
      <c r="B283" s="550" t="s">
        <v>78</v>
      </c>
      <c r="C283" s="551">
        <v>5.57</v>
      </c>
      <c r="D283" s="552">
        <f t="shared" si="4"/>
        <v>0.45272215418259432</v>
      </c>
    </row>
    <row r="284" spans="1:4">
      <c r="A284" s="549">
        <f>2019</f>
        <v>2019</v>
      </c>
      <c r="B284" s="550" t="s">
        <v>68</v>
      </c>
      <c r="C284" s="551">
        <v>5.57</v>
      </c>
      <c r="D284" s="552">
        <f t="shared" si="4"/>
        <v>0.45272215418259432</v>
      </c>
    </row>
    <row r="285" spans="1:4">
      <c r="A285" s="549">
        <f>2019</f>
        <v>2019</v>
      </c>
      <c r="B285" s="550" t="s">
        <v>69</v>
      </c>
      <c r="C285" s="551">
        <v>5.09</v>
      </c>
      <c r="D285" s="552">
        <f t="shared" si="4"/>
        <v>0.4145815202127201</v>
      </c>
    </row>
    <row r="286" spans="1:4">
      <c r="A286" s="549">
        <f>2020</f>
        <v>2020</v>
      </c>
      <c r="B286" s="550" t="s">
        <v>70</v>
      </c>
      <c r="C286" s="551">
        <v>5.09</v>
      </c>
      <c r="D286" s="552">
        <f t="shared" si="4"/>
        <v>0.4145815202127201</v>
      </c>
    </row>
    <row r="287" spans="1:4">
      <c r="A287" s="549">
        <f>2020</f>
        <v>2020</v>
      </c>
      <c r="B287" s="550" t="s">
        <v>71</v>
      </c>
      <c r="C287" s="551">
        <v>5.09</v>
      </c>
      <c r="D287" s="552">
        <f t="shared" si="4"/>
        <v>0.4145815202127201</v>
      </c>
    </row>
    <row r="288" spans="1:4">
      <c r="A288" s="549">
        <f>2020</f>
        <v>2020</v>
      </c>
      <c r="B288" s="550" t="s">
        <v>72</v>
      </c>
      <c r="C288" s="551">
        <v>5.09</v>
      </c>
      <c r="D288" s="552">
        <f t="shared" si="4"/>
        <v>0.4145815202127201</v>
      </c>
    </row>
    <row r="289" spans="1:4">
      <c r="A289" s="549">
        <f>2020</f>
        <v>2020</v>
      </c>
      <c r="B289" s="550" t="s">
        <v>73</v>
      </c>
      <c r="C289" s="551">
        <v>4.9400000000000004</v>
      </c>
      <c r="D289" s="552">
        <f t="shared" si="4"/>
        <v>0.40262982014811488</v>
      </c>
    </row>
    <row r="290" spans="1:4">
      <c r="A290" s="549">
        <f>2020</f>
        <v>2020</v>
      </c>
      <c r="B290" s="550" t="s">
        <v>74</v>
      </c>
      <c r="C290" s="551">
        <v>4.9400000000000004</v>
      </c>
      <c r="D290" s="552">
        <f t="shared" si="4"/>
        <v>0.40262982014811488</v>
      </c>
    </row>
    <row r="291" spans="1:4">
      <c r="A291" s="549">
        <f>2020</f>
        <v>2020</v>
      </c>
      <c r="B291" s="550" t="s">
        <v>75</v>
      </c>
      <c r="C291" s="551">
        <v>4.9400000000000004</v>
      </c>
      <c r="D291" s="552">
        <f t="shared" si="4"/>
        <v>0.40262982014811488</v>
      </c>
    </row>
    <row r="292" spans="1:4">
      <c r="A292" s="549">
        <f>2020</f>
        <v>2020</v>
      </c>
      <c r="B292" s="550" t="s">
        <v>76</v>
      </c>
      <c r="C292" s="551">
        <v>4.91</v>
      </c>
      <c r="D292" s="552">
        <f t="shared" si="4"/>
        <v>0.40023760107854578</v>
      </c>
    </row>
    <row r="293" spans="1:4">
      <c r="A293" s="549">
        <f>2020</f>
        <v>2020</v>
      </c>
      <c r="B293" s="550" t="s">
        <v>77</v>
      </c>
      <c r="C293" s="551">
        <v>4.91</v>
      </c>
      <c r="D293" s="552">
        <f t="shared" si="4"/>
        <v>0.40023760107854578</v>
      </c>
    </row>
    <row r="294" spans="1:4">
      <c r="A294" s="549">
        <f>2020</f>
        <v>2020</v>
      </c>
      <c r="B294" s="550" t="s">
        <v>79</v>
      </c>
      <c r="C294" s="551">
        <v>4.91</v>
      </c>
      <c r="D294" s="552">
        <f t="shared" si="4"/>
        <v>0.40023760107854578</v>
      </c>
    </row>
    <row r="295" spans="1:4">
      <c r="A295" s="549">
        <f>2020</f>
        <v>2020</v>
      </c>
      <c r="B295" s="550" t="s">
        <v>78</v>
      </c>
      <c r="C295" s="551">
        <v>4.55</v>
      </c>
      <c r="D295" s="552">
        <f t="shared" si="4"/>
        <v>0.37148195573426523</v>
      </c>
    </row>
    <row r="296" spans="1:4">
      <c r="A296" s="549">
        <f>2020</f>
        <v>2020</v>
      </c>
      <c r="B296" s="550" t="s">
        <v>68</v>
      </c>
      <c r="C296" s="551">
        <v>4.55</v>
      </c>
      <c r="D296" s="552">
        <f t="shared" si="4"/>
        <v>0.37148195573426523</v>
      </c>
    </row>
    <row r="297" spans="1:4">
      <c r="A297" s="549">
        <f>2020</f>
        <v>2020</v>
      </c>
      <c r="B297" s="550" t="s">
        <v>69</v>
      </c>
      <c r="C297" s="551">
        <v>4.55</v>
      </c>
      <c r="D297" s="552">
        <f t="shared" si="4"/>
        <v>0.37148195573426523</v>
      </c>
    </row>
    <row r="298" spans="1:4">
      <c r="A298" s="549">
        <f>2021</f>
        <v>2021</v>
      </c>
      <c r="B298" s="550" t="s">
        <v>70</v>
      </c>
      <c r="C298" s="551">
        <v>4.3899999999999997</v>
      </c>
      <c r="D298" s="552">
        <f t="shared" si="4"/>
        <v>0.35867252442296493</v>
      </c>
    </row>
    <row r="299" spans="1:4">
      <c r="A299" s="549">
        <f>2021</f>
        <v>2021</v>
      </c>
      <c r="B299" s="550" t="s">
        <v>71</v>
      </c>
      <c r="C299" s="551">
        <v>4.3899999999999997</v>
      </c>
      <c r="D299" s="552">
        <f t="shared" si="4"/>
        <v>0.35867252442296493</v>
      </c>
    </row>
    <row r="300" spans="1:4">
      <c r="A300" s="549">
        <f>2021</f>
        <v>2021</v>
      </c>
      <c r="B300" s="550" t="s">
        <v>72</v>
      </c>
      <c r="C300" s="551">
        <v>4.3899999999999997</v>
      </c>
      <c r="D300" s="552">
        <f t="shared" si="4"/>
        <v>0.35867252442296493</v>
      </c>
    </row>
    <row r="301" spans="1:4">
      <c r="A301" s="549">
        <f>2021</f>
        <v>2021</v>
      </c>
      <c r="B301" s="550" t="s">
        <v>73</v>
      </c>
      <c r="C301" s="551">
        <v>4.6100000000000003</v>
      </c>
      <c r="D301" s="552">
        <f t="shared" si="4"/>
        <v>0.37628086011856077</v>
      </c>
    </row>
    <row r="302" spans="1:4">
      <c r="A302" s="549">
        <f>2021</f>
        <v>2021</v>
      </c>
      <c r="B302" s="550" t="s">
        <v>74</v>
      </c>
      <c r="C302" s="551">
        <v>4.6100000000000003</v>
      </c>
      <c r="D302" s="552">
        <f t="shared" si="4"/>
        <v>0.37628086011856077</v>
      </c>
    </row>
    <row r="303" spans="1:4">
      <c r="A303" s="549">
        <f>2021</f>
        <v>2021</v>
      </c>
      <c r="B303" s="550" t="s">
        <v>75</v>
      </c>
      <c r="C303" s="551">
        <v>4.6100000000000003</v>
      </c>
      <c r="D303" s="552">
        <f t="shared" si="4"/>
        <v>0.37628086011856077</v>
      </c>
    </row>
    <row r="304" spans="1:4">
      <c r="A304" s="549">
        <f>2021</f>
        <v>2021</v>
      </c>
      <c r="B304" s="550" t="s">
        <v>76</v>
      </c>
      <c r="C304" s="551">
        <v>4.88</v>
      </c>
      <c r="D304" s="552">
        <f t="shared" si="4"/>
        <v>0.39784475485571402</v>
      </c>
    </row>
    <row r="305" spans="1:4">
      <c r="A305" s="549">
        <f>2021</f>
        <v>2021</v>
      </c>
      <c r="B305" s="550" t="s">
        <v>77</v>
      </c>
      <c r="C305" s="551">
        <v>4.88</v>
      </c>
      <c r="D305" s="552">
        <f t="shared" si="4"/>
        <v>0.39784475485571402</v>
      </c>
    </row>
    <row r="306" spans="1:4">
      <c r="A306" s="549">
        <f>2021</f>
        <v>2021</v>
      </c>
      <c r="B306" s="550" t="s">
        <v>79</v>
      </c>
      <c r="C306" s="551">
        <v>4.88</v>
      </c>
      <c r="D306" s="552">
        <f t="shared" si="4"/>
        <v>0.39784475485571402</v>
      </c>
    </row>
    <row r="307" spans="1:4">
      <c r="A307" s="549">
        <f>2021</f>
        <v>2021</v>
      </c>
      <c r="B307" s="550" t="s">
        <v>78</v>
      </c>
      <c r="C307" s="551">
        <v>5.32</v>
      </c>
      <c r="D307" s="552">
        <f t="shared" si="4"/>
        <v>0.432877123139086</v>
      </c>
    </row>
    <row r="308" spans="1:4">
      <c r="A308" s="549">
        <f>2021</f>
        <v>2021</v>
      </c>
      <c r="B308" s="550" t="s">
        <v>68</v>
      </c>
      <c r="C308" s="551">
        <v>5.32</v>
      </c>
      <c r="D308" s="552">
        <f t="shared" si="4"/>
        <v>0.432877123139086</v>
      </c>
    </row>
    <row r="309" spans="1:4">
      <c r="A309" s="549">
        <f>2021</f>
        <v>2021</v>
      </c>
      <c r="B309" s="550" t="s">
        <v>69</v>
      </c>
      <c r="C309" s="551">
        <v>5.32</v>
      </c>
      <c r="D309" s="552">
        <f t="shared" si="4"/>
        <v>0.432877123139086</v>
      </c>
    </row>
    <row r="310" spans="1:4">
      <c r="A310" s="549">
        <f>2022</f>
        <v>2022</v>
      </c>
      <c r="B310" s="550" t="s">
        <v>70</v>
      </c>
      <c r="C310" s="551">
        <v>6.08</v>
      </c>
      <c r="D310" s="552">
        <f t="shared" si="4"/>
        <v>0.49307279295536244</v>
      </c>
    </row>
    <row r="311" spans="1:4">
      <c r="A311" s="549">
        <f>2022</f>
        <v>2022</v>
      </c>
      <c r="B311" s="550" t="s">
        <v>71</v>
      </c>
      <c r="C311" s="551">
        <v>6.08</v>
      </c>
      <c r="D311" s="552">
        <f t="shared" si="4"/>
        <v>0.49307279295536244</v>
      </c>
    </row>
    <row r="312" spans="1:4">
      <c r="A312" s="549">
        <f>2022</f>
        <v>2022</v>
      </c>
      <c r="B312" s="550" t="s">
        <v>72</v>
      </c>
      <c r="C312" s="551">
        <v>6.08</v>
      </c>
      <c r="D312" s="552">
        <f t="shared" si="4"/>
        <v>0.49307279295536244</v>
      </c>
    </row>
    <row r="313" spans="1:4">
      <c r="A313" s="549">
        <f>2022</f>
        <v>2022</v>
      </c>
      <c r="B313" s="550" t="s">
        <v>73</v>
      </c>
      <c r="C313" s="551">
        <v>6.82</v>
      </c>
      <c r="D313" s="552">
        <f t="shared" si="4"/>
        <v>0.55130570159445114</v>
      </c>
    </row>
    <row r="314" spans="1:4">
      <c r="A314" s="545">
        <f>2022</f>
        <v>2022</v>
      </c>
      <c r="B314" s="546" t="s">
        <v>74</v>
      </c>
      <c r="C314" s="547">
        <v>6.82</v>
      </c>
      <c r="D314" s="548">
        <f t="shared" si="4"/>
        <v>0.55130570159445114</v>
      </c>
    </row>
    <row r="315" spans="1:4">
      <c r="A315" s="549">
        <f>2022</f>
        <v>2022</v>
      </c>
      <c r="B315" s="550" t="s">
        <v>75</v>
      </c>
      <c r="C315" s="551">
        <v>6.82</v>
      </c>
      <c r="D315" s="552">
        <f t="shared" si="4"/>
        <v>0.55130570159445114</v>
      </c>
    </row>
    <row r="316" spans="1:4">
      <c r="A316" s="549">
        <f>2022</f>
        <v>2022</v>
      </c>
      <c r="B316" s="550" t="s">
        <v>76</v>
      </c>
      <c r="C316" s="551">
        <v>7.01</v>
      </c>
      <c r="D316" s="552">
        <f t="shared" si="4"/>
        <v>0.56619772470567487</v>
      </c>
    </row>
    <row r="317" spans="1:4">
      <c r="A317" s="549">
        <f>2022</f>
        <v>2022</v>
      </c>
      <c r="B317" s="550" t="s">
        <v>77</v>
      </c>
      <c r="C317" s="551">
        <v>7.01</v>
      </c>
      <c r="D317" s="552">
        <f t="shared" si="4"/>
        <v>0.56619772470567487</v>
      </c>
    </row>
    <row r="318" spans="1:4">
      <c r="A318" s="549">
        <f>2022</f>
        <v>2022</v>
      </c>
      <c r="B318" s="550" t="s">
        <v>79</v>
      </c>
      <c r="C318" s="551">
        <v>7.01</v>
      </c>
      <c r="D318" s="552">
        <f t="shared" si="4"/>
        <v>0.56619772470567487</v>
      </c>
    </row>
    <row r="319" spans="1:4">
      <c r="A319" s="549">
        <f>2022</f>
        <v>2022</v>
      </c>
      <c r="B319" s="550" t="s">
        <v>78</v>
      </c>
      <c r="C319" s="551">
        <v>7.2</v>
      </c>
      <c r="D319" s="552">
        <f t="shared" si="4"/>
        <v>0.58106552964627411</v>
      </c>
    </row>
    <row r="320" spans="1:4">
      <c r="A320" s="549">
        <f>2022</f>
        <v>2022</v>
      </c>
      <c r="B320" s="550" t="s">
        <v>68</v>
      </c>
      <c r="C320" s="551">
        <v>7.2</v>
      </c>
      <c r="D320" s="552">
        <f t="shared" si="4"/>
        <v>0.58106552964627411</v>
      </c>
    </row>
    <row r="321" spans="1:4">
      <c r="A321" s="549">
        <f>2022</f>
        <v>2022</v>
      </c>
      <c r="B321" s="550" t="s">
        <v>69</v>
      </c>
      <c r="C321" s="551">
        <v>7.2</v>
      </c>
      <c r="D321" s="552">
        <f t="shared" si="4"/>
        <v>0.58106552964627411</v>
      </c>
    </row>
    <row r="322" spans="1:4">
      <c r="A322" s="549">
        <f>2023</f>
        <v>2023</v>
      </c>
      <c r="B322" s="550" t="s">
        <v>70</v>
      </c>
      <c r="C322" s="551">
        <v>7.37</v>
      </c>
      <c r="D322" s="552">
        <f t="shared" si="4"/>
        <v>0.59434784131051632</v>
      </c>
    </row>
    <row r="323" spans="1:4">
      <c r="A323" s="549">
        <f>2023</f>
        <v>2023</v>
      </c>
      <c r="B323" s="550" t="s">
        <v>71</v>
      </c>
      <c r="C323" s="551">
        <v>7.37</v>
      </c>
      <c r="D323" s="552">
        <f t="shared" si="4"/>
        <v>0.59434784131051632</v>
      </c>
    </row>
    <row r="324" spans="1:4">
      <c r="A324" s="549">
        <f>2023</f>
        <v>2023</v>
      </c>
      <c r="B324" s="550" t="s">
        <v>72</v>
      </c>
      <c r="C324" s="551">
        <v>7.37</v>
      </c>
      <c r="D324" s="552">
        <f t="shared" si="4"/>
        <v>0.59434784131051632</v>
      </c>
    </row>
    <row r="325" spans="1:4">
      <c r="A325" s="549">
        <f>2023</f>
        <v>2023</v>
      </c>
      <c r="B325" s="550" t="s">
        <v>73</v>
      </c>
      <c r="C325" s="551">
        <v>7.28</v>
      </c>
      <c r="D325" s="552">
        <f t="shared" si="4"/>
        <v>0.58731843257882055</v>
      </c>
    </row>
    <row r="326" spans="1:4">
      <c r="A326" s="549">
        <f>2023</f>
        <v>2023</v>
      </c>
      <c r="B326" s="550" t="s">
        <v>74</v>
      </c>
      <c r="C326" s="551">
        <v>7.28</v>
      </c>
      <c r="D326" s="552">
        <f t="shared" si="4"/>
        <v>0.58731843257882055</v>
      </c>
    </row>
    <row r="327" spans="1:4" ht="16.5" customHeight="1">
      <c r="A327" s="549">
        <f>2023</f>
        <v>2023</v>
      </c>
      <c r="B327" s="550" t="s">
        <v>75</v>
      </c>
      <c r="C327" s="551">
        <v>7.28</v>
      </c>
      <c r="D327" s="552">
        <f t="shared" si="4"/>
        <v>0.58731843257882055</v>
      </c>
    </row>
    <row r="328" spans="1:4">
      <c r="A328" s="549">
        <f>2023</f>
        <v>2023</v>
      </c>
      <c r="B328" s="550" t="s">
        <v>76</v>
      </c>
      <c r="C328" s="551">
        <v>7</v>
      </c>
      <c r="D328" s="552">
        <f t="shared" si="4"/>
        <v>0.56541453851373102</v>
      </c>
    </row>
    <row r="329" spans="1:4">
      <c r="A329" s="549">
        <f>2023</f>
        <v>2023</v>
      </c>
      <c r="B329" s="550" t="s">
        <v>77</v>
      </c>
      <c r="C329" s="551">
        <v>7</v>
      </c>
      <c r="D329" s="552">
        <f t="shared" si="4"/>
        <v>0.56541453851373102</v>
      </c>
    </row>
    <row r="330" spans="1:4">
      <c r="A330" s="549">
        <f>2023</f>
        <v>2023</v>
      </c>
      <c r="B330" s="550" t="s">
        <v>79</v>
      </c>
      <c r="C330" s="551">
        <v>7</v>
      </c>
      <c r="D330" s="552">
        <f t="shared" si="4"/>
        <v>0.56541453851373102</v>
      </c>
    </row>
    <row r="331" spans="1:4">
      <c r="A331" s="549">
        <f>2023</f>
        <v>2023</v>
      </c>
      <c r="B331" s="550" t="s">
        <v>78</v>
      </c>
      <c r="C331" s="551">
        <v>6.55</v>
      </c>
      <c r="D331" s="552">
        <f t="shared" si="4"/>
        <v>0.53010153015979888</v>
      </c>
    </row>
    <row r="332" spans="1:4">
      <c r="A332" s="549">
        <f>2023</f>
        <v>2023</v>
      </c>
      <c r="B332" s="550" t="s">
        <v>68</v>
      </c>
      <c r="C332" s="551">
        <v>6.55</v>
      </c>
      <c r="D332" s="552">
        <f t="shared" ref="D332:D346" si="5">100*((1+C332/100)^0.0833333333-1)</f>
        <v>0.53010153015979888</v>
      </c>
    </row>
    <row r="333" spans="1:4">
      <c r="A333" s="549">
        <f>2023</f>
        <v>2023</v>
      </c>
      <c r="B333" s="550" t="s">
        <v>69</v>
      </c>
      <c r="C333" s="551">
        <v>6.55</v>
      </c>
      <c r="D333" s="552">
        <f t="shared" si="5"/>
        <v>0.53010153015979888</v>
      </c>
    </row>
    <row r="334" spans="1:4">
      <c r="A334" s="549">
        <f>2024</f>
        <v>2024</v>
      </c>
      <c r="B334" s="550" t="s">
        <v>70</v>
      </c>
      <c r="C334" s="551">
        <v>6.53</v>
      </c>
      <c r="D334" s="552">
        <f t="shared" si="5"/>
        <v>0.52852889209797915</v>
      </c>
    </row>
    <row r="335" spans="1:4">
      <c r="A335" s="549">
        <f>2024</f>
        <v>2024</v>
      </c>
      <c r="B335" s="550" t="s">
        <v>71</v>
      </c>
      <c r="C335" s="551">
        <v>6.53</v>
      </c>
      <c r="D335" s="552">
        <f t="shared" si="5"/>
        <v>0.52852889209797915</v>
      </c>
    </row>
    <row r="336" spans="1:4">
      <c r="A336" s="549">
        <f>2024</f>
        <v>2024</v>
      </c>
      <c r="B336" s="550" t="s">
        <v>72</v>
      </c>
      <c r="C336" s="551">
        <v>6.53</v>
      </c>
      <c r="D336" s="552">
        <f t="shared" si="5"/>
        <v>0.52852889209797915</v>
      </c>
    </row>
    <row r="337" spans="1:4">
      <c r="A337" s="549">
        <f>2024</f>
        <v>2024</v>
      </c>
      <c r="B337" s="550" t="s">
        <v>73</v>
      </c>
      <c r="C337" s="551">
        <v>6.67</v>
      </c>
      <c r="D337" s="552">
        <f t="shared" si="5"/>
        <v>0.53953167996805274</v>
      </c>
    </row>
    <row r="338" spans="1:4">
      <c r="A338" s="549">
        <f>2024</f>
        <v>2024</v>
      </c>
      <c r="B338" s="550" t="s">
        <v>74</v>
      </c>
      <c r="C338" s="551">
        <v>6.67</v>
      </c>
      <c r="D338" s="552">
        <f t="shared" si="5"/>
        <v>0.53953167996805274</v>
      </c>
    </row>
    <row r="339" spans="1:4">
      <c r="A339" s="549">
        <f>2024</f>
        <v>2024</v>
      </c>
      <c r="B339" s="550" t="s">
        <v>75</v>
      </c>
      <c r="C339" s="551">
        <v>6.67</v>
      </c>
      <c r="D339" s="552">
        <f t="shared" si="5"/>
        <v>0.53953167996805274</v>
      </c>
    </row>
    <row r="340" spans="1:4">
      <c r="A340" s="549">
        <f>2024</f>
        <v>2024</v>
      </c>
      <c r="B340" s="550" t="s">
        <v>76</v>
      </c>
      <c r="C340" s="551">
        <v>6.91</v>
      </c>
      <c r="D340" s="552">
        <f t="shared" si="5"/>
        <v>0.55836284192105623</v>
      </c>
    </row>
    <row r="341" spans="1:4">
      <c r="A341" s="549">
        <f>2024</f>
        <v>2024</v>
      </c>
      <c r="B341" s="550" t="s">
        <v>77</v>
      </c>
      <c r="C341" s="551">
        <v>6.91</v>
      </c>
      <c r="D341" s="552">
        <f t="shared" si="5"/>
        <v>0.55836284192105623</v>
      </c>
    </row>
    <row r="342" spans="1:4">
      <c r="A342" s="549">
        <f>2024</f>
        <v>2024</v>
      </c>
      <c r="B342" s="550" t="s">
        <v>79</v>
      </c>
      <c r="C342" s="551">
        <v>6.91</v>
      </c>
      <c r="D342" s="552">
        <f t="shared" si="5"/>
        <v>0.55836284192105623</v>
      </c>
    </row>
    <row r="343" spans="1:4">
      <c r="A343" s="549">
        <f>2024</f>
        <v>2024</v>
      </c>
      <c r="B343" s="550" t="s">
        <v>78</v>
      </c>
      <c r="C343" s="551">
        <v>7.43</v>
      </c>
      <c r="D343" s="552">
        <f t="shared" si="5"/>
        <v>0.59903111375165796</v>
      </c>
    </row>
    <row r="344" spans="1:4">
      <c r="A344" s="549">
        <f>2024</f>
        <v>2024</v>
      </c>
      <c r="B344" s="550" t="s">
        <v>68</v>
      </c>
      <c r="C344" s="551">
        <v>7.43</v>
      </c>
      <c r="D344" s="552">
        <f t="shared" si="5"/>
        <v>0.59903111375165796</v>
      </c>
    </row>
    <row r="345" spans="1:4">
      <c r="A345" s="549">
        <f>2024</f>
        <v>2024</v>
      </c>
      <c r="B345" s="550" t="s">
        <v>69</v>
      </c>
      <c r="C345" s="551">
        <v>7.43</v>
      </c>
      <c r="D345" s="552">
        <f t="shared" si="5"/>
        <v>0.59903111375165796</v>
      </c>
    </row>
    <row r="346" spans="1:4">
      <c r="A346" s="549">
        <f>2025</f>
        <v>2025</v>
      </c>
      <c r="B346" s="550" t="s">
        <v>70</v>
      </c>
      <c r="C346" s="551">
        <v>7.97</v>
      </c>
      <c r="D346" s="552">
        <f t="shared" si="5"/>
        <v>0.64107300568101433</v>
      </c>
    </row>
    <row r="347" spans="1:4">
      <c r="A347" s="549">
        <f>2025</f>
        <v>2025</v>
      </c>
      <c r="B347" s="550" t="s">
        <v>71</v>
      </c>
      <c r="C347" s="551">
        <v>7.97</v>
      </c>
      <c r="D347" s="552">
        <f t="shared" ref="D347:D352" si="6">100*((1+C347/100)^0.0833333333-1)</f>
        <v>0.64107300568101433</v>
      </c>
    </row>
    <row r="348" spans="1:4">
      <c r="A348" s="549">
        <f>2025</f>
        <v>2025</v>
      </c>
      <c r="B348" s="550" t="s">
        <v>72</v>
      </c>
      <c r="C348" s="551">
        <v>7.97</v>
      </c>
      <c r="D348" s="552">
        <f t="shared" si="6"/>
        <v>0.64107300568101433</v>
      </c>
    </row>
    <row r="349" spans="1:4">
      <c r="A349" s="549">
        <f>2025</f>
        <v>2025</v>
      </c>
      <c r="B349" s="550" t="s">
        <v>73</v>
      </c>
      <c r="C349" s="551">
        <v>8.65</v>
      </c>
      <c r="D349" s="552">
        <f t="shared" si="6"/>
        <v>0.69374131896011715</v>
      </c>
    </row>
    <row r="350" spans="1:4">
      <c r="A350" s="549">
        <f>2025</f>
        <v>2025</v>
      </c>
      <c r="B350" s="550" t="s">
        <v>74</v>
      </c>
      <c r="C350" s="551">
        <v>8.65</v>
      </c>
      <c r="D350" s="552">
        <f t="shared" si="6"/>
        <v>0.69374131896011715</v>
      </c>
    </row>
    <row r="351" spans="1:4">
      <c r="A351" s="549">
        <f>2025</f>
        <v>2025</v>
      </c>
      <c r="B351" s="550" t="s">
        <v>75</v>
      </c>
      <c r="C351" s="551">
        <v>8.65</v>
      </c>
      <c r="D351" s="552">
        <f t="shared" si="6"/>
        <v>0.69374131896011715</v>
      </c>
    </row>
    <row r="352" spans="1:4">
      <c r="A352" s="549">
        <f>2025</f>
        <v>2025</v>
      </c>
      <c r="B352" s="550" t="s">
        <v>76</v>
      </c>
      <c r="C352" s="551">
        <v>8.9600000000000009</v>
      </c>
      <c r="D352" s="552">
        <f t="shared" si="6"/>
        <v>0.71765166841730732</v>
      </c>
    </row>
    <row r="353" spans="1:4">
      <c r="A353" s="549">
        <f>2025</f>
        <v>2025</v>
      </c>
      <c r="B353" s="550" t="s">
        <v>77</v>
      </c>
      <c r="C353" s="551">
        <v>8.9600000000000009</v>
      </c>
      <c r="D353" s="552">
        <f t="shared" ref="D353" si="7">100*((1+C353/100)^0.0833333333-1)</f>
        <v>0.71765166841730732</v>
      </c>
    </row>
    <row r="354" spans="1:4">
      <c r="A354" s="549">
        <f>2025</f>
        <v>2025</v>
      </c>
      <c r="B354" s="550" t="s">
        <v>79</v>
      </c>
      <c r="C354" s="551">
        <v>8.9600000000000009</v>
      </c>
      <c r="D354" s="552">
        <f t="shared" ref="D354" si="8">100*((1+C354/100)^0.0833333333-1)</f>
        <v>0.71765166841730732</v>
      </c>
    </row>
    <row r="355" spans="1:4">
      <c r="A355" s="545">
        <f>2025</f>
        <v>2025</v>
      </c>
      <c r="B355" s="546" t="s">
        <v>78</v>
      </c>
      <c r="C355" s="547">
        <v>9.07</v>
      </c>
      <c r="D355" s="548">
        <f t="shared" ref="D355" si="9">100*((1+C355/100)^0.0833333333-1)</f>
        <v>0.7261209986515027</v>
      </c>
    </row>
    <row r="356" spans="1:4">
      <c r="A356" s="545">
        <f>2025</f>
        <v>2025</v>
      </c>
      <c r="B356" s="546" t="s">
        <v>68</v>
      </c>
      <c r="C356" s="547">
        <v>9.07</v>
      </c>
      <c r="D356" s="548">
        <f t="shared" ref="D356" si="10">100*((1+C356/100)^0.0833333333-1)</f>
        <v>0.7261209986515027</v>
      </c>
    </row>
    <row r="357" spans="1:4">
      <c r="A357" s="545">
        <f>2025</f>
        <v>2025</v>
      </c>
      <c r="B357" s="546" t="s">
        <v>69</v>
      </c>
      <c r="C357" s="547">
        <v>9.07</v>
      </c>
      <c r="D357" s="548">
        <f t="shared" ref="D357:D358" si="11">100*((1+C357/100)^0.0833333333-1)</f>
        <v>0.7261209986515027</v>
      </c>
    </row>
    <row r="358" spans="1:4">
      <c r="A358" s="545">
        <f>2026</f>
        <v>2026</v>
      </c>
      <c r="B358" s="546" t="s">
        <v>70</v>
      </c>
      <c r="C358" s="547">
        <v>9.19</v>
      </c>
      <c r="D358" s="548">
        <f t="shared" si="11"/>
        <v>0.73535134284739012</v>
      </c>
    </row>
    <row r="359" spans="1:4">
      <c r="A359" s="545">
        <f>2026</f>
        <v>2026</v>
      </c>
      <c r="B359" s="546" t="s">
        <v>71</v>
      </c>
      <c r="C359" s="547">
        <v>9.19</v>
      </c>
      <c r="D359" s="548">
        <f t="shared" ref="D359" si="12">100*((1+C359/100)^0.0833333333-1)</f>
        <v>0.73535134284739012</v>
      </c>
    </row>
    <row r="360" spans="1:4">
      <c r="A360" s="545">
        <f>2026</f>
        <v>2026</v>
      </c>
      <c r="B360" s="546" t="s">
        <v>72</v>
      </c>
      <c r="C360" s="547">
        <v>9.19</v>
      </c>
      <c r="D360" s="548">
        <f t="shared" ref="D360:D361" si="13">100*((1+C360/100)^0.0833333333-1)</f>
        <v>0.73535134284739012</v>
      </c>
    </row>
    <row r="361" spans="1:4">
      <c r="A361" s="545">
        <f>2026</f>
        <v>2026</v>
      </c>
      <c r="B361" s="546" t="s">
        <v>73</v>
      </c>
      <c r="C361" s="547">
        <v>9.1300000000000008</v>
      </c>
      <c r="D361" s="548">
        <f t="shared" si="13"/>
        <v>0.73073733374073857</v>
      </c>
    </row>
    <row r="362" spans="1:4" ht="16.5" thickBot="1">
      <c r="A362" s="553">
        <f>2026</f>
        <v>2026</v>
      </c>
      <c r="B362" s="554" t="s">
        <v>74</v>
      </c>
      <c r="C362" s="555">
        <v>9.1300000000000008</v>
      </c>
      <c r="D362" s="556">
        <f t="shared" ref="D362" si="14">100*((1+C362/100)^0.0833333333-1)</f>
        <v>0.73073733374073857</v>
      </c>
    </row>
    <row r="363" spans="1:4">
      <c r="A363" s="111" t="s">
        <v>604</v>
      </c>
      <c r="B363" s="557"/>
    </row>
    <row r="364" spans="1:4">
      <c r="A364" s="558" t="s">
        <v>605</v>
      </c>
      <c r="C364" s="559"/>
    </row>
    <row r="365" spans="1:4">
      <c r="A365" s="558" t="s">
        <v>606</v>
      </c>
    </row>
    <row r="366" spans="1:4">
      <c r="A366" s="560" t="s">
        <v>607</v>
      </c>
    </row>
    <row r="367" spans="1:4">
      <c r="A367" s="55">
        <v>256</v>
      </c>
    </row>
  </sheetData>
  <mergeCells count="3">
    <mergeCell ref="A4:D4"/>
    <mergeCell ref="A5:D5"/>
    <mergeCell ref="A1:D3"/>
  </mergeCells>
  <phoneticPr fontId="77" type="noConversion"/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D649-3BFB-420A-8994-EC2A8D0EF958}">
  <sheetPr>
    <tabColor theme="9" tint="-0.249977111117893"/>
  </sheetPr>
  <dimension ref="A1:J512"/>
  <sheetViews>
    <sheetView showGridLines="0" workbookViewId="0">
      <pane ySplit="2625" topLeftCell="A358" activePane="bottomLeft"/>
      <selection pane="bottomLeft" activeCell="I364" sqref="I364"/>
      <selection activeCell="H382" sqref="H382"/>
    </sheetView>
  </sheetViews>
  <sheetFormatPr defaultColWidth="12.42578125" defaultRowHeight="15.75"/>
  <cols>
    <col min="1" max="1" width="10.28515625" style="55" customWidth="1"/>
    <col min="2" max="2" width="11.28515625" style="55" customWidth="1"/>
    <col min="3" max="3" width="13.85546875" style="55" customWidth="1"/>
    <col min="4" max="4" width="11.85546875" style="55" customWidth="1"/>
    <col min="5" max="5" width="13" style="55" customWidth="1"/>
    <col min="6" max="6" width="13.28515625" style="55" customWidth="1"/>
    <col min="7" max="7" width="16.42578125" style="55" customWidth="1"/>
    <col min="8" max="10" width="21.42578125" style="55" customWidth="1"/>
    <col min="11" max="16384" width="12.42578125" style="55"/>
  </cols>
  <sheetData>
    <row r="1" spans="1:8" ht="21" customHeight="1">
      <c r="A1" s="801" t="s">
        <v>608</v>
      </c>
      <c r="B1" s="801"/>
      <c r="C1" s="801"/>
      <c r="D1" s="801"/>
      <c r="E1" s="801"/>
      <c r="F1" s="801"/>
      <c r="G1" s="801"/>
      <c r="H1" s="183"/>
    </row>
    <row r="2" spans="1:8" ht="15.75" customHeight="1">
      <c r="A2" s="801"/>
      <c r="B2" s="801"/>
      <c r="C2" s="801"/>
      <c r="D2" s="801"/>
      <c r="E2" s="801"/>
      <c r="F2" s="801"/>
      <c r="G2" s="801"/>
      <c r="H2" s="183"/>
    </row>
    <row r="3" spans="1:8" ht="15" customHeight="1" thickBot="1">
      <c r="A3" s="802"/>
      <c r="B3" s="802"/>
      <c r="C3" s="802"/>
      <c r="D3" s="802"/>
      <c r="E3" s="802"/>
      <c r="F3" s="802"/>
      <c r="G3" s="802"/>
      <c r="H3" s="183"/>
    </row>
    <row r="4" spans="1:8" ht="17.25" customHeight="1" thickBot="1">
      <c r="A4" s="708" t="s">
        <v>609</v>
      </c>
      <c r="B4" s="709"/>
      <c r="C4" s="710"/>
      <c r="D4" s="711" t="s">
        <v>610</v>
      </c>
      <c r="E4" s="712"/>
      <c r="F4" s="712"/>
      <c r="G4" s="712"/>
      <c r="H4" s="184"/>
    </row>
    <row r="5" spans="1:8" ht="15" customHeight="1" thickBot="1">
      <c r="A5" s="713" t="s">
        <v>46</v>
      </c>
      <c r="B5" s="714"/>
      <c r="C5" s="715"/>
      <c r="D5" s="716" t="s">
        <v>47</v>
      </c>
      <c r="E5" s="717"/>
      <c r="F5" s="718"/>
      <c r="G5" s="719" t="s">
        <v>48</v>
      </c>
    </row>
    <row r="6" spans="1:8" ht="15.75" customHeight="1" thickBot="1">
      <c r="A6" s="65" t="s">
        <v>49</v>
      </c>
      <c r="B6" s="66" t="s">
        <v>50</v>
      </c>
      <c r="C6" s="66" t="s">
        <v>51</v>
      </c>
      <c r="D6" s="66" t="s">
        <v>52</v>
      </c>
      <c r="E6" s="66" t="s">
        <v>53</v>
      </c>
      <c r="F6" s="66" t="s">
        <v>54</v>
      </c>
      <c r="G6" s="720"/>
    </row>
    <row r="7" spans="1:8" ht="16.5" hidden="1" customHeight="1">
      <c r="A7" s="561">
        <v>1993</v>
      </c>
      <c r="B7" s="562" t="s">
        <v>55</v>
      </c>
      <c r="C7" s="563">
        <v>326.10500000000002</v>
      </c>
      <c r="D7" s="564">
        <v>35.75</v>
      </c>
      <c r="E7" s="564"/>
      <c r="F7" s="565"/>
      <c r="G7" s="566">
        <f>+$C$350/C7</f>
        <v>1.7608438999708684E-2</v>
      </c>
    </row>
    <row r="8" spans="1:8" ht="16.5" hidden="1" customHeight="1">
      <c r="A8" s="535"/>
      <c r="B8" s="567"/>
      <c r="C8" s="568"/>
      <c r="D8" s="569"/>
      <c r="E8" s="569"/>
      <c r="F8" s="570"/>
      <c r="G8" s="571"/>
    </row>
    <row r="9" spans="1:8" ht="16.5" hidden="1" customHeight="1">
      <c r="A9" s="535">
        <v>1994</v>
      </c>
      <c r="B9" s="567" t="s">
        <v>62</v>
      </c>
      <c r="C9" s="568">
        <v>0.94</v>
      </c>
      <c r="D9" s="569"/>
      <c r="E9" s="569"/>
      <c r="F9" s="570"/>
      <c r="G9" s="571">
        <f>+$C$350/C9</f>
        <v>6.1087234042553202</v>
      </c>
    </row>
    <row r="10" spans="1:8" ht="16.5" hidden="1" customHeight="1">
      <c r="A10" s="535">
        <v>1994</v>
      </c>
      <c r="B10" s="567" t="s">
        <v>55</v>
      </c>
      <c r="C10" s="568">
        <v>0.84599999999999997</v>
      </c>
      <c r="D10" s="569">
        <v>0.95</v>
      </c>
      <c r="E10" s="569">
        <f>100*($C$10/$C$7-1)</f>
        <v>-99.740574354885695</v>
      </c>
      <c r="F10" s="570">
        <f>100*($C$10/$C$7-1)</f>
        <v>-99.740574354885695</v>
      </c>
      <c r="G10" s="571">
        <f>+$C$350/C10</f>
        <v>6.7874704491725772</v>
      </c>
    </row>
    <row r="11" spans="1:8" ht="16.5" hidden="1" customHeight="1">
      <c r="A11" s="535"/>
      <c r="B11" s="567"/>
      <c r="C11" s="568"/>
      <c r="D11" s="569"/>
      <c r="E11" s="569"/>
      <c r="F11" s="570"/>
      <c r="G11" s="571"/>
    </row>
    <row r="12" spans="1:8" ht="16.5" hidden="1" customHeight="1">
      <c r="A12" s="535">
        <v>1995</v>
      </c>
      <c r="B12" s="567" t="s">
        <v>55</v>
      </c>
      <c r="C12" s="568">
        <v>0.97299999999999998</v>
      </c>
      <c r="D12" s="569">
        <v>0.52</v>
      </c>
      <c r="E12" s="569">
        <f>100*($C$12/$C$10-1)</f>
        <v>15.011820330969261</v>
      </c>
      <c r="F12" s="570">
        <f>100*($C$12/$C$10-1)</f>
        <v>15.011820330969261</v>
      </c>
      <c r="G12" s="571">
        <f>+$C$350/C12</f>
        <v>5.9015416238437828</v>
      </c>
    </row>
    <row r="13" spans="1:8" ht="16.5" hidden="1" customHeight="1">
      <c r="A13" s="535"/>
      <c r="B13" s="567"/>
      <c r="C13" s="568"/>
      <c r="D13" s="569"/>
      <c r="E13" s="569"/>
      <c r="F13" s="570"/>
      <c r="G13" s="571"/>
    </row>
    <row r="14" spans="1:8" ht="16.5" hidden="1" customHeight="1">
      <c r="A14" s="535">
        <v>1996</v>
      </c>
      <c r="B14" s="567" t="s">
        <v>55</v>
      </c>
      <c r="C14" s="568">
        <v>1.0389999999999999</v>
      </c>
      <c r="D14" s="569">
        <v>0.67</v>
      </c>
      <c r="E14" s="569">
        <f>100*($C$14/$C$12-1)</f>
        <v>6.7831449126413146</v>
      </c>
      <c r="F14" s="570">
        <v>0.63</v>
      </c>
      <c r="G14" s="571">
        <f>+$C$350/C14</f>
        <v>5.5266602502406164</v>
      </c>
    </row>
    <row r="15" spans="1:8" ht="16.5" hidden="1" customHeight="1">
      <c r="A15" s="535"/>
      <c r="B15" s="567"/>
      <c r="C15" s="568"/>
      <c r="D15" s="569"/>
      <c r="E15" s="569"/>
      <c r="F15" s="570"/>
      <c r="G15" s="571"/>
    </row>
    <row r="16" spans="1:8" ht="16.5" hidden="1" customHeight="1">
      <c r="A16" s="535">
        <v>1997</v>
      </c>
      <c r="B16" s="567" t="s">
        <v>55</v>
      </c>
      <c r="C16" s="568">
        <v>1.1599999999999999</v>
      </c>
      <c r="D16" s="569">
        <v>0.63</v>
      </c>
      <c r="E16" s="569">
        <f>100*(($C$16/$C$14)-1)</f>
        <v>11.645813282001916</v>
      </c>
      <c r="F16" s="570">
        <v>9.93</v>
      </c>
      <c r="G16" s="571">
        <f>+$C$350/C16</f>
        <v>4.950172413793104</v>
      </c>
    </row>
    <row r="17" spans="1:7" ht="16.5" hidden="1" customHeight="1">
      <c r="A17" s="535"/>
      <c r="B17" s="567"/>
      <c r="C17" s="568"/>
      <c r="D17" s="569"/>
      <c r="E17" s="569"/>
      <c r="F17" s="570"/>
      <c r="G17" s="571"/>
    </row>
    <row r="18" spans="1:7" ht="16.5" hidden="1" customHeight="1">
      <c r="A18" s="535">
        <v>1998</v>
      </c>
      <c r="B18" s="567" t="s">
        <v>56</v>
      </c>
      <c r="C18" s="568">
        <v>1.1240000000000001</v>
      </c>
      <c r="D18" s="569">
        <f>100*($C$18/$C$16-1)</f>
        <v>-3.103448275862053</v>
      </c>
      <c r="E18" s="569">
        <f>100*($C$18/$C$16-1)</f>
        <v>-3.103448275862053</v>
      </c>
      <c r="F18" s="570">
        <v>7.43</v>
      </c>
      <c r="G18" s="571">
        <f t="shared" ref="G18:G29" si="0">+$C$350/C18</f>
        <v>5.1087188612099643</v>
      </c>
    </row>
    <row r="19" spans="1:7" ht="16.5" hidden="1" customHeight="1">
      <c r="A19" s="535">
        <v>1998</v>
      </c>
      <c r="B19" s="567" t="s">
        <v>57</v>
      </c>
      <c r="C19" s="568">
        <v>1.1299999999999999</v>
      </c>
      <c r="D19" s="569">
        <f>100*($C$19/$C$18-1)</f>
        <v>0.53380782918146519</v>
      </c>
      <c r="E19" s="569">
        <f>100*($C$19/$C$16-1)</f>
        <v>-2.5862068965517238</v>
      </c>
      <c r="F19" s="570">
        <v>7.47</v>
      </c>
      <c r="G19" s="571">
        <f t="shared" si="0"/>
        <v>5.0815929203539829</v>
      </c>
    </row>
    <row r="20" spans="1:7" ht="16.5" hidden="1" customHeight="1">
      <c r="A20" s="535">
        <v>1998</v>
      </c>
      <c r="B20" s="567" t="s">
        <v>58</v>
      </c>
      <c r="C20" s="568">
        <v>1.137</v>
      </c>
      <c r="D20" s="569">
        <f>100*($C$20/$C$19-1)</f>
        <v>0.61946902654868019</v>
      </c>
      <c r="E20" s="569">
        <f>100*($C$20/$C$16-1)</f>
        <v>-1.9827586206896508</v>
      </c>
      <c r="F20" s="570">
        <v>7.23</v>
      </c>
      <c r="G20" s="571">
        <f t="shared" si="0"/>
        <v>5.0503078276165354</v>
      </c>
    </row>
    <row r="21" spans="1:7" ht="16.5" hidden="1" customHeight="1">
      <c r="A21" s="535">
        <v>1998</v>
      </c>
      <c r="B21" s="567" t="s">
        <v>59</v>
      </c>
      <c r="C21" s="568">
        <v>1.1439999999999999</v>
      </c>
      <c r="D21" s="569">
        <f>100*($C$21/$C$20-1)</f>
        <v>0.61565523306947867</v>
      </c>
      <c r="E21" s="569">
        <f>100*($C$21/$C$16-1)</f>
        <v>-1.379310344827589</v>
      </c>
      <c r="F21" s="570">
        <v>7.58</v>
      </c>
      <c r="G21" s="571">
        <f t="shared" si="0"/>
        <v>5.0194055944055949</v>
      </c>
    </row>
    <row r="22" spans="1:7" ht="16.5" hidden="1" customHeight="1">
      <c r="A22" s="535">
        <v>1998</v>
      </c>
      <c r="B22" s="567" t="s">
        <v>60</v>
      </c>
      <c r="C22" s="568">
        <v>1.1499999999999999</v>
      </c>
      <c r="D22" s="569">
        <f>100*($C$22/$C$21-1)</f>
        <v>0.52447552447552059</v>
      </c>
      <c r="E22" s="569">
        <f>100*($C$22/$C$16-1)</f>
        <v>-0.86206896551723755</v>
      </c>
      <c r="F22" s="570">
        <v>7.53</v>
      </c>
      <c r="G22" s="571">
        <f t="shared" si="0"/>
        <v>4.9932173913043485</v>
      </c>
    </row>
    <row r="23" spans="1:7" ht="16.5" hidden="1" customHeight="1">
      <c r="A23" s="535">
        <v>1998</v>
      </c>
      <c r="B23" s="567" t="s">
        <v>61</v>
      </c>
      <c r="C23" s="568">
        <v>1.157</v>
      </c>
      <c r="D23" s="569">
        <f>100*($C$22/$C$21-1)</f>
        <v>0.52447552447552059</v>
      </c>
      <c r="E23" s="569">
        <f>100*($C$23/$C$16-1)</f>
        <v>-0.2586206896551646</v>
      </c>
      <c r="F23" s="570">
        <v>7.47</v>
      </c>
      <c r="G23" s="571">
        <f t="shared" si="0"/>
        <v>4.9630077787381159</v>
      </c>
    </row>
    <row r="24" spans="1:7" ht="16.5" hidden="1" customHeight="1">
      <c r="A24" s="535">
        <v>1998</v>
      </c>
      <c r="B24" s="567" t="s">
        <v>62</v>
      </c>
      <c r="C24" s="568">
        <v>1.163</v>
      </c>
      <c r="D24" s="569">
        <f>100*($C$23/$C$22-1)</f>
        <v>0.60869565217391841</v>
      </c>
      <c r="E24" s="569">
        <f>100*($C$24/$C$16-1)</f>
        <v>0.25862068965518681</v>
      </c>
      <c r="F24" s="570">
        <v>7.43</v>
      </c>
      <c r="G24" s="571">
        <f t="shared" si="0"/>
        <v>4.9374032674118657</v>
      </c>
    </row>
    <row r="25" spans="1:7" ht="16.5" hidden="1" customHeight="1">
      <c r="A25" s="535">
        <v>1998</v>
      </c>
      <c r="B25" s="567" t="s">
        <v>63</v>
      </c>
      <c r="C25" s="568">
        <v>1.177</v>
      </c>
      <c r="D25" s="569">
        <f>100*($C$24/$C$23-1)</f>
        <v>0.51858254105445756</v>
      </c>
      <c r="E25" s="569">
        <f>100*($C$25/$C$16-1)</f>
        <v>1.4655172413793105</v>
      </c>
      <c r="F25" s="570">
        <v>7.73</v>
      </c>
      <c r="G25" s="571">
        <f t="shared" si="0"/>
        <v>4.8786745964316056</v>
      </c>
    </row>
    <row r="26" spans="1:7" ht="16.5" hidden="1" customHeight="1">
      <c r="A26" s="535">
        <v>1998</v>
      </c>
      <c r="B26" s="567" t="s">
        <v>64</v>
      </c>
      <c r="C26" s="568">
        <v>1.1859999999999999</v>
      </c>
      <c r="D26" s="569">
        <f>100*($C$25/$C$24-1)</f>
        <v>1.2037833190025715</v>
      </c>
      <c r="E26" s="569">
        <f>+$C$26/$C$16*100-100</f>
        <v>2.2413793103448256</v>
      </c>
      <c r="F26" s="570">
        <v>7.97</v>
      </c>
      <c r="G26" s="571">
        <f t="shared" si="0"/>
        <v>4.8416526138279936</v>
      </c>
    </row>
    <row r="27" spans="1:7" ht="16.5" hidden="1" customHeight="1">
      <c r="A27" s="535">
        <v>1998</v>
      </c>
      <c r="B27" s="567" t="s">
        <v>65</v>
      </c>
      <c r="C27" s="568">
        <v>1.1930000000000001</v>
      </c>
      <c r="D27" s="569">
        <f>100*($C$27/$C$25-1)</f>
        <v>1.3593882752761299</v>
      </c>
      <c r="E27" s="569">
        <f>+$C$27/$C$16*100-100</f>
        <v>2.8448275862069039</v>
      </c>
      <c r="F27" s="570">
        <v>8.01</v>
      </c>
      <c r="G27" s="571">
        <f t="shared" si="0"/>
        <v>4.8132439228834869</v>
      </c>
    </row>
    <row r="28" spans="1:7" ht="16.5" hidden="1" customHeight="1">
      <c r="A28" s="535">
        <v>1998</v>
      </c>
      <c r="B28" s="567" t="s">
        <v>66</v>
      </c>
      <c r="C28" s="568">
        <v>1.2010000000000001</v>
      </c>
      <c r="D28" s="569">
        <f>100*($C$28/$C$27-1)</f>
        <v>0.67057837384745245</v>
      </c>
      <c r="E28" s="569">
        <f>+$C$28/$C$16*100-100</f>
        <v>3.5344827586206975</v>
      </c>
      <c r="F28" s="570">
        <v>7.85</v>
      </c>
      <c r="G28" s="571">
        <f t="shared" si="0"/>
        <v>4.7811823480432976</v>
      </c>
    </row>
    <row r="29" spans="1:7" ht="16.5" hidden="1" customHeight="1">
      <c r="A29" s="535">
        <v>1998</v>
      </c>
      <c r="B29" s="567" t="s">
        <v>55</v>
      </c>
      <c r="C29" s="568">
        <v>1.2090000000000001</v>
      </c>
      <c r="D29" s="569">
        <f>100*($C$29/$C$28-1)</f>
        <v>0.66611157368858809</v>
      </c>
      <c r="E29" s="569">
        <f>+(($C$29/$C$16)-1)*100</f>
        <v>4.2241379310344884</v>
      </c>
      <c r="F29" s="570">
        <v>8.26</v>
      </c>
      <c r="G29" s="571">
        <f t="shared" si="0"/>
        <v>4.749545078577337</v>
      </c>
    </row>
    <row r="30" spans="1:7" ht="16.5" hidden="1" customHeight="1">
      <c r="A30" s="535"/>
      <c r="B30" s="567"/>
      <c r="C30" s="568"/>
      <c r="D30" s="569"/>
      <c r="E30" s="569"/>
      <c r="F30" s="570"/>
      <c r="G30" s="571"/>
    </row>
    <row r="31" spans="1:7" ht="16.5" hidden="1" customHeight="1">
      <c r="A31" s="535">
        <v>1999</v>
      </c>
      <c r="B31" s="567" t="s">
        <v>56</v>
      </c>
      <c r="C31" s="568">
        <v>1.9893000000000001</v>
      </c>
      <c r="D31" s="569">
        <f>($C$31/$C$29-1)*100</f>
        <v>64.540942928039698</v>
      </c>
      <c r="E31" s="569">
        <f>+(($C$31/$C$29)-1)*100</f>
        <v>64.540942928039698</v>
      </c>
      <c r="F31" s="570">
        <f>+(($C$31/$C$18)-1)*100</f>
        <v>76.983985765124558</v>
      </c>
      <c r="G31" s="571">
        <f t="shared" ref="G31:G42" si="1">+$C$350/C31</f>
        <v>2.8865430050771628</v>
      </c>
    </row>
    <row r="32" spans="1:7" ht="16.5" hidden="1" customHeight="1">
      <c r="A32" s="535">
        <v>1999</v>
      </c>
      <c r="B32" s="567" t="s">
        <v>57</v>
      </c>
      <c r="C32" s="568">
        <v>2.0649999999999999</v>
      </c>
      <c r="D32" s="569">
        <f>($C$32/$C$31-1)*100</f>
        <v>3.8053586688785002</v>
      </c>
      <c r="E32" s="569">
        <f>+(($C$32/$C$29)-1)*100</f>
        <v>70.802315963606262</v>
      </c>
      <c r="F32" s="570">
        <f>+(($C$32/$C$19)-1)*100</f>
        <v>82.74336283185842</v>
      </c>
      <c r="G32" s="571">
        <f t="shared" si="1"/>
        <v>2.7807263922518164</v>
      </c>
    </row>
    <row r="33" spans="1:7" ht="16.5" hidden="1" customHeight="1">
      <c r="A33" s="535">
        <v>1999</v>
      </c>
      <c r="B33" s="567" t="s">
        <v>58</v>
      </c>
      <c r="C33" s="572">
        <v>1.722</v>
      </c>
      <c r="D33" s="569">
        <f>($C$33/$C$32-1)*100</f>
        <v>-16.610169491525429</v>
      </c>
      <c r="E33" s="569">
        <f>+(($C$33/$C$29)-1)*100</f>
        <v>42.431761786600489</v>
      </c>
      <c r="F33" s="570">
        <f>+(($C$33/$C$20)-1)*100</f>
        <v>51.451187335092349</v>
      </c>
      <c r="G33" s="571">
        <f t="shared" si="1"/>
        <v>3.3346109175377472</v>
      </c>
    </row>
    <row r="34" spans="1:7" ht="16.5" hidden="1" customHeight="1">
      <c r="A34" s="535">
        <v>1999</v>
      </c>
      <c r="B34" s="567" t="s">
        <v>59</v>
      </c>
      <c r="C34" s="568">
        <v>1.661</v>
      </c>
      <c r="D34" s="569">
        <f>($C$34/$C$33-1)*100</f>
        <v>-3.5423925667828038</v>
      </c>
      <c r="E34" s="569">
        <f>+(($C$34/$C$29)-1)*100</f>
        <v>37.386269644334156</v>
      </c>
      <c r="F34" s="570">
        <f>+(($C$34/$C$21)-1)*100</f>
        <v>45.192307692307708</v>
      </c>
      <c r="G34" s="571">
        <f t="shared" si="1"/>
        <v>3.4570740517760385</v>
      </c>
    </row>
    <row r="35" spans="1:7" ht="16.5" hidden="1" customHeight="1">
      <c r="A35" s="535">
        <v>1999</v>
      </c>
      <c r="B35" s="567" t="s">
        <v>60</v>
      </c>
      <c r="C35" s="568">
        <v>1.724</v>
      </c>
      <c r="D35" s="569">
        <f>($C$35/$C$34-1)*100</f>
        <v>3.7928958458759654</v>
      </c>
      <c r="E35" s="569">
        <f>+(($C$35/$C$29)-1)*100</f>
        <v>42.597187758478071</v>
      </c>
      <c r="F35" s="570">
        <f>+(($C$35/$C$22)-1)*100</f>
        <v>49.913043478260889</v>
      </c>
      <c r="G35" s="571">
        <f t="shared" si="1"/>
        <v>3.3307424593967521</v>
      </c>
    </row>
    <row r="36" spans="1:7" ht="16.5" hidden="1" customHeight="1">
      <c r="A36" s="535">
        <v>1999</v>
      </c>
      <c r="B36" s="567" t="s">
        <v>61</v>
      </c>
      <c r="C36" s="568">
        <v>1.7689999999999999</v>
      </c>
      <c r="D36" s="569">
        <f>($C$36/$C$35-1)*100</f>
        <v>2.6102088167053283</v>
      </c>
      <c r="E36" s="569">
        <f>+(($C$36/$C$29)-1)*100</f>
        <v>46.319272125723728</v>
      </c>
      <c r="F36" s="570">
        <f>+(($C$36/$C$23)-1)*100</f>
        <v>52.895419187554005</v>
      </c>
      <c r="G36" s="571">
        <f t="shared" si="1"/>
        <v>3.2460146975692488</v>
      </c>
    </row>
    <row r="37" spans="1:7" ht="16.5" hidden="1" customHeight="1">
      <c r="A37" s="535">
        <v>1999</v>
      </c>
      <c r="B37" s="567" t="s">
        <v>62</v>
      </c>
      <c r="C37" s="568">
        <v>1.7889999999999999</v>
      </c>
      <c r="D37" s="569">
        <f>($C$37/$C$36-1)*100</f>
        <v>1.1305822498586693</v>
      </c>
      <c r="E37" s="569">
        <f>+(($C$37/$C$29)-1)*100</f>
        <v>47.973531844499576</v>
      </c>
      <c r="F37" s="570">
        <f>+(($C$37/$C$24)-1)*100</f>
        <v>53.826311263972485</v>
      </c>
      <c r="G37" s="571">
        <f t="shared" si="1"/>
        <v>3.209726103968698</v>
      </c>
    </row>
    <row r="38" spans="1:7" ht="16.5" hidden="1" customHeight="1">
      <c r="A38" s="535">
        <v>1999</v>
      </c>
      <c r="B38" s="567" t="s">
        <v>63</v>
      </c>
      <c r="C38" s="568">
        <v>1.9159999999999999</v>
      </c>
      <c r="D38" s="569">
        <f>($C$38/$C$37-1)*100</f>
        <v>7.0989379541643416</v>
      </c>
      <c r="E38" s="569">
        <f>+(($C$38/$C$29)-1)*100</f>
        <v>58.478081058726204</v>
      </c>
      <c r="F38" s="570">
        <f>+(($C$38/$C$25)-1)*100</f>
        <v>62.78674596431604</v>
      </c>
      <c r="G38" s="571">
        <f t="shared" si="1"/>
        <v>2.9969728601252612</v>
      </c>
    </row>
    <row r="39" spans="1:7" ht="16.5" hidden="1" customHeight="1">
      <c r="A39" s="535">
        <v>1999</v>
      </c>
      <c r="B39" s="567" t="s">
        <v>64</v>
      </c>
      <c r="C39" s="568">
        <v>1.9370000000000001</v>
      </c>
      <c r="D39" s="569">
        <f>($C$39/$C$38-1)*100</f>
        <v>1.0960334029227692</v>
      </c>
      <c r="E39" s="569">
        <f>+(($C$39/$C$29)-1)*100</f>
        <v>60.215053763440849</v>
      </c>
      <c r="F39" s="570">
        <f>+(($C$39/$C$26)-1)*100</f>
        <v>63.322091062394612</v>
      </c>
      <c r="G39" s="571">
        <f t="shared" si="1"/>
        <v>2.9644811564274653</v>
      </c>
    </row>
    <row r="40" spans="1:7" ht="16.5" hidden="1" customHeight="1">
      <c r="A40" s="535">
        <v>1999</v>
      </c>
      <c r="B40" s="567" t="s">
        <v>65</v>
      </c>
      <c r="C40" s="568">
        <v>1.9490000000000001</v>
      </c>
      <c r="D40" s="569">
        <f>($C$40/$C$39-1)*100</f>
        <v>0.61951471347445608</v>
      </c>
      <c r="E40" s="569">
        <f>+(($C$40/$C$29)-1)*100</f>
        <v>61.207609594706369</v>
      </c>
      <c r="F40" s="570">
        <f>+(($C$40/$C$27)-1)*100</f>
        <v>63.369656328583403</v>
      </c>
      <c r="G40" s="571">
        <f t="shared" si="1"/>
        <v>2.946228835300154</v>
      </c>
    </row>
    <row r="41" spans="1:7" ht="16.5" hidden="1" customHeight="1">
      <c r="A41" s="535">
        <v>1999</v>
      </c>
      <c r="B41" s="567" t="s">
        <v>66</v>
      </c>
      <c r="C41" s="568">
        <v>1.9339999999999999</v>
      </c>
      <c r="D41" s="569">
        <f>($C$41/$C$40-1)*100</f>
        <v>-0.76962544894818574</v>
      </c>
      <c r="E41" s="569">
        <f>+(($C$41/$C$29)-1)*100</f>
        <v>59.966914805624462</v>
      </c>
      <c r="F41" s="570">
        <f>+(($C$41/$C$28)-1)*100</f>
        <v>61.0324729392173</v>
      </c>
      <c r="G41" s="571">
        <f t="shared" si="1"/>
        <v>2.9690796277145814</v>
      </c>
    </row>
    <row r="42" spans="1:7" ht="16.5" hidden="1" customHeight="1">
      <c r="A42" s="535">
        <v>1999</v>
      </c>
      <c r="B42" s="567" t="s">
        <v>55</v>
      </c>
      <c r="C42" s="568">
        <v>1.7889999999999999</v>
      </c>
      <c r="D42" s="569">
        <f>($C$42/$C$41-1)*100</f>
        <v>-7.4974146845915186</v>
      </c>
      <c r="E42" s="569">
        <f>+(($C$42/$C$29)-1)*100</f>
        <v>47.973531844499576</v>
      </c>
      <c r="F42" s="570">
        <f>+(($C$42/$C$29)-1)*100</f>
        <v>47.973531844499576</v>
      </c>
      <c r="G42" s="571">
        <f t="shared" si="1"/>
        <v>3.209726103968698</v>
      </c>
    </row>
    <row r="43" spans="1:7" ht="16.5" hidden="1" customHeight="1">
      <c r="A43" s="535"/>
      <c r="B43" s="567"/>
      <c r="C43" s="568"/>
      <c r="D43" s="569"/>
      <c r="E43" s="569"/>
      <c r="F43" s="570"/>
      <c r="G43" s="571"/>
    </row>
    <row r="44" spans="1:7" ht="16.5" hidden="1" customHeight="1">
      <c r="A44" s="535">
        <v>2000</v>
      </c>
      <c r="B44" s="538" t="s">
        <v>56</v>
      </c>
      <c r="C44" s="568">
        <v>1.784</v>
      </c>
      <c r="D44" s="569">
        <f>($C$44/$C$42-1)*100</f>
        <v>-0.27948574622693734</v>
      </c>
      <c r="E44" s="569">
        <f>+(($C$44/$C$42)-1)*100</f>
        <v>-0.27948574622693734</v>
      </c>
      <c r="F44" s="570">
        <f>+(($C$44/$C$31)-1)*100</f>
        <v>-10.320213140300606</v>
      </c>
      <c r="G44" s="571">
        <f t="shared" ref="G44:G55" si="2">+$C$350/C44</f>
        <v>3.2187219730941705</v>
      </c>
    </row>
    <row r="45" spans="1:7" ht="16.5" hidden="1" customHeight="1">
      <c r="A45" s="535">
        <v>2000</v>
      </c>
      <c r="B45" s="538" t="s">
        <v>57</v>
      </c>
      <c r="C45" s="568">
        <v>1.7689999999999999</v>
      </c>
      <c r="D45" s="569">
        <f>($C$45/$C$44-1)*100</f>
        <v>-0.84080717488790313</v>
      </c>
      <c r="E45" s="569">
        <f>+(($C$45/$C$42)-1)*100</f>
        <v>-1.1179429849077716</v>
      </c>
      <c r="F45" s="570">
        <f>+(($C$45/$C$32-1)*100)</f>
        <v>-14.334140435835351</v>
      </c>
      <c r="G45" s="571">
        <f t="shared" si="2"/>
        <v>3.2460146975692488</v>
      </c>
    </row>
    <row r="46" spans="1:7" ht="16.5" hidden="1" customHeight="1">
      <c r="A46" s="535">
        <v>2000</v>
      </c>
      <c r="B46" s="538" t="s">
        <v>58</v>
      </c>
      <c r="C46" s="568">
        <v>1.7473000000000001</v>
      </c>
      <c r="D46" s="569">
        <f>($C$46/$C$45-1)*100</f>
        <v>-1.226681741096658</v>
      </c>
      <c r="E46" s="569">
        <f>+(($C$46/$C$42)-1)*100</f>
        <v>-2.3309111235326863</v>
      </c>
      <c r="F46" s="570">
        <f>+(($C$46/$C$33-1)*100)</f>
        <v>1.469221835075496</v>
      </c>
      <c r="G46" s="571">
        <f t="shared" si="2"/>
        <v>3.2863274766783039</v>
      </c>
    </row>
    <row r="47" spans="1:7" ht="16.5" hidden="1" customHeight="1">
      <c r="A47" s="535">
        <v>2000</v>
      </c>
      <c r="B47" s="538" t="s">
        <v>59</v>
      </c>
      <c r="C47" s="568">
        <v>1.782</v>
      </c>
      <c r="D47" s="569">
        <f>($C$47/$C$46-1)*100</f>
        <v>1.9859211354661399</v>
      </c>
      <c r="E47" s="569">
        <f>+(($C$47/$C$42)-1)*100</f>
        <v>-0.39128004471771227</v>
      </c>
      <c r="F47" s="570">
        <f>+(($C$47/$C$34-1)*100)</f>
        <v>7.2847682119205226</v>
      </c>
      <c r="G47" s="571">
        <f t="shared" si="2"/>
        <v>3.2223344556677893</v>
      </c>
    </row>
    <row r="48" spans="1:7" ht="16.5" hidden="1" customHeight="1">
      <c r="A48" s="535">
        <v>2000</v>
      </c>
      <c r="B48" s="538" t="s">
        <v>60</v>
      </c>
      <c r="C48" s="568">
        <v>1.827</v>
      </c>
      <c r="D48" s="569">
        <f>($C$48/$C$47-1)*100</f>
        <v>2.5252525252525304</v>
      </c>
      <c r="E48" s="569">
        <f>+(($C$48/1.789)-1)*100</f>
        <v>2.1240916713247682</v>
      </c>
      <c r="F48" s="570">
        <f>+(($C$48/$C$35-1)*100)</f>
        <v>5.9744779582366681</v>
      </c>
      <c r="G48" s="571">
        <f t="shared" si="2"/>
        <v>3.1429666119321293</v>
      </c>
    </row>
    <row r="49" spans="1:7" ht="16.5" hidden="1" customHeight="1">
      <c r="A49" s="535">
        <v>2000</v>
      </c>
      <c r="B49" s="538" t="s">
        <v>61</v>
      </c>
      <c r="C49" s="568">
        <v>1.7991999999999999</v>
      </c>
      <c r="D49" s="569">
        <f>($C$49/$C$48-1)*100</f>
        <v>-1.5216201423097986</v>
      </c>
      <c r="E49" s="569">
        <f>+(($C$49/1.789)-1)*100</f>
        <v>0.57015092230296993</v>
      </c>
      <c r="F49" s="570">
        <f>+(($C$49/$C$36-1)*100)</f>
        <v>1.7071791972866013</v>
      </c>
      <c r="G49" s="571">
        <f t="shared" si="2"/>
        <v>3.1915295686971992</v>
      </c>
    </row>
    <row r="50" spans="1:7" ht="16.5" hidden="1" customHeight="1">
      <c r="A50" s="535">
        <v>2000</v>
      </c>
      <c r="B50" s="538" t="s">
        <v>62</v>
      </c>
      <c r="C50" s="568">
        <v>1.7849999999999999</v>
      </c>
      <c r="D50" s="569">
        <f>($C$50/$C$49-1)*100</f>
        <v>-0.78923966207202767</v>
      </c>
      <c r="E50" s="569">
        <f>+(($C$50/1.789)-1)*100</f>
        <v>-0.22358859698154987</v>
      </c>
      <c r="F50" s="570">
        <f>+(($C$50/$C$37-1)*100)</f>
        <v>-0.22358859698154987</v>
      </c>
      <c r="G50" s="571">
        <f t="shared" si="2"/>
        <v>3.216918767507003</v>
      </c>
    </row>
    <row r="51" spans="1:7" ht="16.5" hidden="1" customHeight="1">
      <c r="A51" s="535">
        <v>2000</v>
      </c>
      <c r="B51" s="538" t="s">
        <v>63</v>
      </c>
      <c r="C51" s="568">
        <v>1.8240000000000001</v>
      </c>
      <c r="D51" s="569">
        <f>($C$51/$C$50-1)*100</f>
        <v>2.1848739495798464</v>
      </c>
      <c r="E51" s="569">
        <f>+(($C$51/1.789)-1)*100</f>
        <v>1.9564002235886058</v>
      </c>
      <c r="F51" s="570">
        <f>+(($C$51/$C$38-1)*100)</f>
        <v>-4.8016701461377824</v>
      </c>
      <c r="G51" s="571">
        <f t="shared" si="2"/>
        <v>3.1481359649122806</v>
      </c>
    </row>
    <row r="52" spans="1:7" ht="16.5" hidden="1" customHeight="1">
      <c r="A52" s="535">
        <v>2000</v>
      </c>
      <c r="B52" s="538" t="s">
        <v>64</v>
      </c>
      <c r="C52" s="568">
        <v>1.845</v>
      </c>
      <c r="D52" s="569">
        <f>($C$52/$C$51-1)*100</f>
        <v>1.1513157894736725</v>
      </c>
      <c r="E52" s="569">
        <f>+(($C$52/1.789)-1)*100</f>
        <v>3.1302403577417648</v>
      </c>
      <c r="F52" s="570">
        <f>+(($C$52/$C$39-1)*100)</f>
        <v>-4.7496128033040819</v>
      </c>
      <c r="G52" s="571">
        <f t="shared" si="2"/>
        <v>3.1123035230352305</v>
      </c>
    </row>
    <row r="53" spans="1:7" ht="16.5" hidden="1" customHeight="1">
      <c r="A53" s="535">
        <v>2000</v>
      </c>
      <c r="B53" s="538" t="s">
        <v>65</v>
      </c>
      <c r="C53" s="568">
        <v>1.9</v>
      </c>
      <c r="D53" s="569">
        <f>($C$53/$C$52-1)*100</f>
        <v>2.9810298102981081</v>
      </c>
      <c r="E53" s="569">
        <f>+(($C$53/1.789)-1)*100</f>
        <v>6.2045835662381199</v>
      </c>
      <c r="F53" s="570">
        <f>+(($C$53/$C$40-1)*100)</f>
        <v>-2.5141097998973905</v>
      </c>
      <c r="G53" s="571">
        <f t="shared" si="2"/>
        <v>3.0222105263157899</v>
      </c>
    </row>
    <row r="54" spans="1:7" ht="16.5" hidden="1" customHeight="1">
      <c r="A54" s="535">
        <v>2000</v>
      </c>
      <c r="B54" s="538" t="s">
        <v>66</v>
      </c>
      <c r="C54" s="568">
        <v>1.9810000000000001</v>
      </c>
      <c r="D54" s="569">
        <f>((C54/C53)-1)*100</f>
        <v>4.2631578947368576</v>
      </c>
      <c r="E54" s="569">
        <f>+(($C$54/1.789)-1)*100</f>
        <v>10.732252655114593</v>
      </c>
      <c r="F54" s="570">
        <f>+(($C$54/$C$41-1)*100)</f>
        <v>2.4301964839710477</v>
      </c>
      <c r="G54" s="571">
        <f t="shared" si="2"/>
        <v>2.8986370519939424</v>
      </c>
    </row>
    <row r="55" spans="1:7" ht="16.5" hidden="1" customHeight="1">
      <c r="A55" s="535">
        <v>2000</v>
      </c>
      <c r="B55" s="538" t="s">
        <v>55</v>
      </c>
      <c r="C55" s="568">
        <v>1.9554</v>
      </c>
      <c r="D55" s="569">
        <f>((C55/C54)-1)*100</f>
        <v>-1.2922766279656828</v>
      </c>
      <c r="E55" s="569">
        <f>+(($C$55/1.789)-1)*100</f>
        <v>9.3012856344326433</v>
      </c>
      <c r="F55" s="570">
        <f>+(($C$55/$C$42-1)*100)</f>
        <v>9.3012856344326433</v>
      </c>
      <c r="G55" s="571">
        <f t="shared" si="2"/>
        <v>2.936585864784699</v>
      </c>
    </row>
    <row r="56" spans="1:7" ht="16.5" hidden="1" customHeight="1">
      <c r="A56" s="535"/>
      <c r="B56" s="536"/>
      <c r="C56" s="536"/>
      <c r="D56" s="569"/>
      <c r="E56" s="569"/>
      <c r="F56" s="570"/>
      <c r="G56" s="571"/>
    </row>
    <row r="57" spans="1:7" ht="16.5" hidden="1" customHeight="1">
      <c r="A57" s="535">
        <v>2001</v>
      </c>
      <c r="B57" s="538" t="s">
        <v>56</v>
      </c>
      <c r="C57" s="568">
        <v>1.97</v>
      </c>
      <c r="D57" s="569">
        <f>((C57/C55)-1)*100</f>
        <v>0.7466503017285353</v>
      </c>
      <c r="E57" s="569">
        <f>+(($C$57/1.955)-1)*100</f>
        <v>0.76726342710997653</v>
      </c>
      <c r="F57" s="570">
        <f>+((C57/$C$44
-1)*100)</f>
        <v>10.426008968609857</v>
      </c>
      <c r="G57" s="571">
        <f t="shared" ref="G57:G68" si="3">+$C$350/C57</f>
        <v>2.9148223350253808</v>
      </c>
    </row>
    <row r="58" spans="1:7" ht="16.5" hidden="1" customHeight="1">
      <c r="A58" s="535">
        <v>2001</v>
      </c>
      <c r="B58" s="538" t="s">
        <v>57</v>
      </c>
      <c r="C58" s="568">
        <v>2.0350000000000001</v>
      </c>
      <c r="D58" s="569">
        <f t="shared" ref="D58:D63" si="4">((C58/C57)-1)*100</f>
        <v>3.2994923857868175</v>
      </c>
      <c r="E58" s="569">
        <f>+(($C$58/1.955)-1)*100</f>
        <v>4.0920716112532007</v>
      </c>
      <c r="F58" s="570">
        <f>+(($C$58/$C$45-1)*100)</f>
        <v>15.036743923120422</v>
      </c>
      <c r="G58" s="571">
        <f t="shared" si="3"/>
        <v>2.8217199017199017</v>
      </c>
    </row>
    <row r="59" spans="1:7" ht="16.5" hidden="1" customHeight="1">
      <c r="A59" s="535">
        <v>2001</v>
      </c>
      <c r="B59" s="538" t="s">
        <v>58</v>
      </c>
      <c r="C59" s="568">
        <v>2.1520000000000001</v>
      </c>
      <c r="D59" s="569">
        <f t="shared" si="4"/>
        <v>5.7493857493857492</v>
      </c>
      <c r="E59" s="569">
        <f>+(($C$59/1.955)-1)*100</f>
        <v>10.076726342710995</v>
      </c>
      <c r="F59" s="570">
        <f>+((C58/$C$46-1)*100)</f>
        <v>16.465403765810116</v>
      </c>
      <c r="G59" s="571">
        <f t="shared" si="3"/>
        <v>2.6683085501858734</v>
      </c>
    </row>
    <row r="60" spans="1:7" ht="16.5" hidden="1" customHeight="1">
      <c r="A60" s="535">
        <v>2001</v>
      </c>
      <c r="B60" s="538" t="s">
        <v>59</v>
      </c>
      <c r="C60" s="568">
        <v>2.2000000000000002</v>
      </c>
      <c r="D60" s="569">
        <f t="shared" si="4"/>
        <v>2.2304832713754719</v>
      </c>
      <c r="E60" s="569">
        <f>+(($C$60/1.955)-1)*100</f>
        <v>12.531969309462919</v>
      </c>
      <c r="F60" s="570">
        <f t="shared" ref="F60:F65" si="5">+((C60/C47-1)*100)</f>
        <v>23.456790123456805</v>
      </c>
      <c r="G60" s="571">
        <f t="shared" si="3"/>
        <v>2.6100909090909092</v>
      </c>
    </row>
    <row r="61" spans="1:7" ht="16.5" hidden="1" customHeight="1">
      <c r="A61" s="535">
        <v>2001</v>
      </c>
      <c r="B61" s="538" t="s">
        <v>60</v>
      </c>
      <c r="C61" s="568">
        <v>2.371</v>
      </c>
      <c r="D61" s="569">
        <f t="shared" si="4"/>
        <v>7.7727272727272645</v>
      </c>
      <c r="E61" s="569">
        <f>+(($C$61/1.955)-1)*100</f>
        <v>21.278772378516631</v>
      </c>
      <c r="F61" s="570">
        <f t="shared" si="5"/>
        <v>29.775588396278053</v>
      </c>
      <c r="G61" s="571">
        <f t="shared" si="3"/>
        <v>2.4218473218051457</v>
      </c>
    </row>
    <row r="62" spans="1:7" ht="16.5" hidden="1" customHeight="1">
      <c r="A62" s="535">
        <v>2001</v>
      </c>
      <c r="B62" s="538" t="s">
        <v>61</v>
      </c>
      <c r="C62" s="568">
        <v>2.3130000000000002</v>
      </c>
      <c r="D62" s="569">
        <f t="shared" si="4"/>
        <v>-2.4462252214255464</v>
      </c>
      <c r="E62" s="569">
        <f>+(($C$62/1.955)-1)*100</f>
        <v>18.31202046035807</v>
      </c>
      <c r="F62" s="570">
        <f t="shared" si="5"/>
        <v>28.557136505113402</v>
      </c>
      <c r="G62" s="571">
        <f t="shared" si="3"/>
        <v>2.4825767401642889</v>
      </c>
    </row>
    <row r="63" spans="1:7" ht="16.5" hidden="1" customHeight="1">
      <c r="A63" s="535">
        <v>2001</v>
      </c>
      <c r="B63" s="538" t="s">
        <v>62</v>
      </c>
      <c r="C63" s="568">
        <v>2.4660000000000002</v>
      </c>
      <c r="D63" s="569">
        <f t="shared" si="4"/>
        <v>6.6147859922178975</v>
      </c>
      <c r="E63" s="569">
        <f>+(($C$63/1.955)-1)*100</f>
        <v>26.138107416879809</v>
      </c>
      <c r="F63" s="570">
        <f t="shared" si="5"/>
        <v>38.151260504201701</v>
      </c>
      <c r="G63" s="571">
        <f t="shared" si="3"/>
        <v>2.3285482562854827</v>
      </c>
    </row>
    <row r="64" spans="1:7" ht="16.5" hidden="1" customHeight="1">
      <c r="A64" s="535">
        <v>2001</v>
      </c>
      <c r="B64" s="538" t="s">
        <v>63</v>
      </c>
      <c r="C64" s="568">
        <v>2.5299999999999998</v>
      </c>
      <c r="D64" s="569">
        <f>((C64/C63)-1)*100</f>
        <v>2.5952960259529423</v>
      </c>
      <c r="E64" s="569">
        <f>+(($C$64/1.955)-1)*100</f>
        <v>29.411764705882337</v>
      </c>
      <c r="F64" s="570">
        <f t="shared" si="5"/>
        <v>38.706140350877185</v>
      </c>
      <c r="G64" s="571">
        <f t="shared" si="3"/>
        <v>2.2696442687747038</v>
      </c>
    </row>
    <row r="65" spans="1:7" ht="16.5" hidden="1" customHeight="1">
      <c r="A65" s="535">
        <v>2001</v>
      </c>
      <c r="B65" s="538" t="s">
        <v>64</v>
      </c>
      <c r="C65" s="568">
        <v>2.665</v>
      </c>
      <c r="D65" s="569">
        <f>((C65/C64)-1)*100</f>
        <v>5.3359683794466539</v>
      </c>
      <c r="E65" s="569">
        <f>+(($C$65/1.955)-1)*100</f>
        <v>36.317135549872127</v>
      </c>
      <c r="F65" s="570">
        <f t="shared" si="5"/>
        <v>44.444444444444443</v>
      </c>
      <c r="G65" s="571">
        <f t="shared" si="3"/>
        <v>2.154671669793621</v>
      </c>
    </row>
    <row r="66" spans="1:7" ht="16.5" hidden="1" customHeight="1">
      <c r="A66" s="535">
        <v>2001</v>
      </c>
      <c r="B66" s="538" t="s">
        <v>65</v>
      </c>
      <c r="C66" s="568">
        <v>2.6960000000000002</v>
      </c>
      <c r="D66" s="569">
        <f>((C66/C65)-1)*100</f>
        <v>1.1632270168855596</v>
      </c>
      <c r="E66" s="569">
        <f>+(($C$66/1.955)-1)*100</f>
        <v>37.902813299232754</v>
      </c>
      <c r="F66" s="570">
        <f>+((C66/C53-1)*100)</f>
        <v>41.894736842105274</v>
      </c>
      <c r="G66" s="571">
        <f t="shared" si="3"/>
        <v>2.1298961424332346</v>
      </c>
    </row>
    <row r="67" spans="1:7" ht="16.5" hidden="1" customHeight="1">
      <c r="A67" s="535">
        <v>2001</v>
      </c>
      <c r="B67" s="538" t="s">
        <v>66</v>
      </c>
      <c r="C67" s="573">
        <v>2.5</v>
      </c>
      <c r="D67" s="569">
        <f>((C67/C66)-1)*100</f>
        <v>-7.2700296735905052</v>
      </c>
      <c r="E67" s="569">
        <f>+(($C$67/1.955)-1)*100</f>
        <v>27.877237851662407</v>
      </c>
      <c r="F67" s="570">
        <f>+((C67/C54-1)*100)</f>
        <v>26.198889449772842</v>
      </c>
      <c r="G67" s="571">
        <f t="shared" si="3"/>
        <v>2.2968800000000003</v>
      </c>
    </row>
    <row r="68" spans="1:7" ht="16.5" hidden="1" customHeight="1">
      <c r="A68" s="535">
        <v>2001</v>
      </c>
      <c r="B68" s="538" t="s">
        <v>55</v>
      </c>
      <c r="C68" s="573">
        <v>2.3140000000000001</v>
      </c>
      <c r="D68" s="569">
        <f>((C68/C67)-1)*100</f>
        <v>-7.4400000000000022</v>
      </c>
      <c r="E68" s="569">
        <f>+(($C$68/1.955)-1)*100</f>
        <v>18.363171355498721</v>
      </c>
      <c r="F68" s="570">
        <f>+((C68/C55-1)*100)</f>
        <v>18.33895878081211</v>
      </c>
      <c r="G68" s="571">
        <f t="shared" si="3"/>
        <v>2.481503889369058</v>
      </c>
    </row>
    <row r="69" spans="1:7" ht="16.5" hidden="1" customHeight="1">
      <c r="A69" s="535"/>
      <c r="B69" s="538"/>
      <c r="C69" s="573"/>
      <c r="D69" s="569"/>
      <c r="E69" s="569"/>
      <c r="F69" s="570"/>
      <c r="G69" s="571"/>
    </row>
    <row r="70" spans="1:7" ht="16.5" hidden="1" customHeight="1">
      <c r="A70" s="535">
        <v>2002</v>
      </c>
      <c r="B70" s="538" t="s">
        <v>56</v>
      </c>
      <c r="C70" s="573">
        <v>2.4182999999999999</v>
      </c>
      <c r="D70" s="569">
        <f>((C70/C68)-1)*100</f>
        <v>4.5073465859982731</v>
      </c>
      <c r="E70" s="569">
        <f>+(($C$70/$C$68)-1)*100</f>
        <v>4.5073465859982731</v>
      </c>
      <c r="F70" s="570">
        <f t="shared" ref="F70:F78" si="6">+((C70/C57-1)*100)</f>
        <v>22.756345177664961</v>
      </c>
      <c r="G70" s="571">
        <f t="shared" ref="G70:G81" si="7">+$C$350/C70</f>
        <v>2.3744779390480919</v>
      </c>
    </row>
    <row r="71" spans="1:7" ht="16.5" hidden="1" customHeight="1">
      <c r="A71" s="535">
        <v>2002</v>
      </c>
      <c r="B71" s="538" t="s">
        <v>57</v>
      </c>
      <c r="C71" s="573">
        <v>2.3481999999999998</v>
      </c>
      <c r="D71" s="569">
        <f t="shared" ref="D71:D77" si="8">((C71/C70)-1)*100</f>
        <v>-2.8987305131704111</v>
      </c>
      <c r="E71" s="569">
        <f>+(($C$71/$C$68)-1)*100</f>
        <v>1.4779602420051718</v>
      </c>
      <c r="F71" s="570">
        <f t="shared" si="6"/>
        <v>15.390663390663374</v>
      </c>
      <c r="G71" s="571">
        <f t="shared" si="7"/>
        <v>2.4453624052465721</v>
      </c>
    </row>
    <row r="72" spans="1:7" ht="16.5" hidden="1" customHeight="1">
      <c r="A72" s="535">
        <v>2002</v>
      </c>
      <c r="B72" s="538" t="s">
        <v>58</v>
      </c>
      <c r="C72" s="573">
        <v>2.3235999999999999</v>
      </c>
      <c r="D72" s="569">
        <f t="shared" si="8"/>
        <v>-1.0476109360361141</v>
      </c>
      <c r="E72" s="569">
        <f>+((C72/$C$68)-1)*100</f>
        <v>0.41486603284355272</v>
      </c>
      <c r="F72" s="570">
        <f t="shared" si="6"/>
        <v>7.9739776951672781</v>
      </c>
      <c r="G72" s="571">
        <f t="shared" si="7"/>
        <v>2.4712515062833535</v>
      </c>
    </row>
    <row r="73" spans="1:7" ht="16.5" hidden="1" customHeight="1">
      <c r="A73" s="535">
        <v>2002</v>
      </c>
      <c r="B73" s="538" t="s">
        <v>59</v>
      </c>
      <c r="C73" s="573">
        <v>2.3624999999999998</v>
      </c>
      <c r="D73" s="569">
        <f t="shared" si="8"/>
        <v>1.6741263556550257</v>
      </c>
      <c r="E73" s="569">
        <f t="shared" ref="E73:E78" si="9">+((C73/C$68)-1)*100</f>
        <v>2.0959377700950688</v>
      </c>
      <c r="F73" s="570">
        <f t="shared" si="6"/>
        <v>7.3863636363636243</v>
      </c>
      <c r="G73" s="571">
        <f t="shared" si="7"/>
        <v>2.430560846560847</v>
      </c>
    </row>
    <row r="74" spans="1:7" ht="16.5" hidden="1" customHeight="1">
      <c r="A74" s="535">
        <v>2002</v>
      </c>
      <c r="B74" s="538" t="s">
        <v>60</v>
      </c>
      <c r="C74" s="573">
        <v>2.5219999999999998</v>
      </c>
      <c r="D74" s="569">
        <f t="shared" si="8"/>
        <v>6.7513227513227525</v>
      </c>
      <c r="E74" s="569">
        <f t="shared" si="9"/>
        <v>8.9887640449437978</v>
      </c>
      <c r="F74" s="570">
        <f t="shared" si="6"/>
        <v>6.3686208350906659</v>
      </c>
      <c r="G74" s="571">
        <f t="shared" si="7"/>
        <v>2.2768437747819195</v>
      </c>
    </row>
    <row r="75" spans="1:7" ht="16.5" hidden="1" customHeight="1">
      <c r="A75" s="535">
        <v>2002</v>
      </c>
      <c r="B75" s="538" t="s">
        <v>61</v>
      </c>
      <c r="C75" s="573">
        <v>2.8443999999999998</v>
      </c>
      <c r="D75" s="569">
        <f t="shared" si="8"/>
        <v>12.783505154639174</v>
      </c>
      <c r="E75" s="569">
        <f t="shared" si="9"/>
        <v>22.921348314606725</v>
      </c>
      <c r="F75" s="570">
        <f t="shared" si="6"/>
        <v>22.974492001729342</v>
      </c>
      <c r="G75" s="571">
        <f t="shared" si="7"/>
        <v>2.0187737308395448</v>
      </c>
    </row>
    <row r="76" spans="1:7" ht="16.5" hidden="1" customHeight="1">
      <c r="A76" s="535">
        <v>2002</v>
      </c>
      <c r="B76" s="538" t="s">
        <v>62</v>
      </c>
      <c r="C76" s="573">
        <v>3.4277000000000002</v>
      </c>
      <c r="D76" s="569">
        <f t="shared" si="8"/>
        <v>20.506961046266369</v>
      </c>
      <c r="E76" s="569">
        <f t="shared" si="9"/>
        <v>48.128781331028534</v>
      </c>
      <c r="F76" s="570">
        <f t="shared" si="6"/>
        <v>38.998377939983776</v>
      </c>
      <c r="G76" s="571">
        <f t="shared" si="7"/>
        <v>1.6752341220060099</v>
      </c>
    </row>
    <row r="77" spans="1:7" ht="16.5" hidden="1" customHeight="1">
      <c r="A77" s="535">
        <v>2002</v>
      </c>
      <c r="B77" s="538" t="s">
        <v>63</v>
      </c>
      <c r="C77" s="573">
        <v>3.01</v>
      </c>
      <c r="D77" s="569">
        <f t="shared" si="8"/>
        <v>-12.186013945211084</v>
      </c>
      <c r="E77" s="569">
        <f t="shared" si="9"/>
        <v>30.07778738115816</v>
      </c>
      <c r="F77" s="570">
        <f t="shared" si="6"/>
        <v>18.972332015810277</v>
      </c>
      <c r="G77" s="571">
        <f t="shared" si="7"/>
        <v>1.9077076411960137</v>
      </c>
    </row>
    <row r="78" spans="1:7" ht="16.5" hidden="1" customHeight="1">
      <c r="A78" s="535">
        <v>2002</v>
      </c>
      <c r="B78" s="538" t="s">
        <v>64</v>
      </c>
      <c r="C78" s="573">
        <v>3.8948999999999998</v>
      </c>
      <c r="D78" s="569">
        <f>((C78/C77)-1)*100</f>
        <v>29.39867109634551</v>
      </c>
      <c r="E78" s="569">
        <f t="shared" si="9"/>
        <v>68.318928262748486</v>
      </c>
      <c r="F78" s="570">
        <f t="shared" si="6"/>
        <v>46.150093808630373</v>
      </c>
      <c r="G78" s="571">
        <f t="shared" si="7"/>
        <v>1.4742868879817199</v>
      </c>
    </row>
    <row r="79" spans="1:7" ht="16.5" hidden="1" customHeight="1">
      <c r="A79" s="535">
        <v>2002</v>
      </c>
      <c r="B79" s="538" t="s">
        <v>65</v>
      </c>
      <c r="C79" s="573">
        <v>3.645</v>
      </c>
      <c r="D79" s="569">
        <f>((C79/C78)-1)*100</f>
        <v>-6.4160825695139696</v>
      </c>
      <c r="E79" s="569">
        <f>+((C79/C$68)-1)*100</f>
        <v>57.519446845289536</v>
      </c>
      <c r="F79" s="570">
        <f>+((C79/C66-1)*100)</f>
        <v>35.200296735905034</v>
      </c>
      <c r="G79" s="571">
        <f t="shared" si="7"/>
        <v>1.5753635116598081</v>
      </c>
    </row>
    <row r="80" spans="1:7" ht="16.5" hidden="1" customHeight="1">
      <c r="A80" s="535">
        <v>2002</v>
      </c>
      <c r="B80" s="538" t="s">
        <v>66</v>
      </c>
      <c r="C80" s="573">
        <v>3.6364999999999998</v>
      </c>
      <c r="D80" s="569">
        <f>((C80/C79)-1)*100</f>
        <v>-0.23319615912208436</v>
      </c>
      <c r="E80" s="569">
        <f>+((C80/C$68)-1)*100</f>
        <v>57.152117545375972</v>
      </c>
      <c r="F80" s="570">
        <f>+((C80/C67-1)*100)</f>
        <v>45.459999999999987</v>
      </c>
      <c r="G80" s="571">
        <f t="shared" si="7"/>
        <v>1.5790457857830333</v>
      </c>
    </row>
    <row r="81" spans="1:7" ht="16.5" hidden="1" customHeight="1">
      <c r="A81" s="535">
        <v>2002</v>
      </c>
      <c r="B81" s="538" t="s">
        <v>55</v>
      </c>
      <c r="C81" s="573">
        <v>3.5329999999999999</v>
      </c>
      <c r="D81" s="569">
        <f>((C81/C80)-1)*100</f>
        <v>-2.8461432696273881</v>
      </c>
      <c r="E81" s="569">
        <f>+((C81/C$68)-1)*100</f>
        <v>52.679343128781333</v>
      </c>
      <c r="F81" s="570">
        <f>+((C81/C68-1)*100)</f>
        <v>52.679343128781333</v>
      </c>
      <c r="G81" s="571">
        <f t="shared" si="7"/>
        <v>1.6253042739881123</v>
      </c>
    </row>
    <row r="82" spans="1:7" ht="16.5" hidden="1" customHeight="1">
      <c r="A82" s="535"/>
      <c r="B82" s="538"/>
      <c r="C82" s="573"/>
      <c r="D82" s="569"/>
      <c r="E82" s="569"/>
      <c r="F82" s="570"/>
      <c r="G82" s="571"/>
    </row>
    <row r="83" spans="1:7" ht="16.5" hidden="1" customHeight="1">
      <c r="A83" s="535">
        <v>2003</v>
      </c>
      <c r="B83" s="538" t="s">
        <v>56</v>
      </c>
      <c r="C83" s="573">
        <v>3.5249999999999999</v>
      </c>
      <c r="D83" s="569">
        <f>((C83/C81)-1)*100</f>
        <v>-0.22643645626946318</v>
      </c>
      <c r="E83" s="569">
        <f t="shared" ref="E83:E94" si="10">+((C83/C$81)-1)*100</f>
        <v>-0.22643645626946318</v>
      </c>
      <c r="F83" s="570">
        <f t="shared" ref="F83:F94" si="11">+((C83/C70-1)*100)</f>
        <v>45.763552909068352</v>
      </c>
      <c r="G83" s="571">
        <f t="shared" ref="G83:G94" si="12">+$C$350/C83</f>
        <v>1.6289929078014187</v>
      </c>
    </row>
    <row r="84" spans="1:7" ht="16.5" hidden="1" customHeight="1">
      <c r="A84" s="535">
        <v>2003</v>
      </c>
      <c r="B84" s="538" t="s">
        <v>57</v>
      </c>
      <c r="C84" s="573">
        <v>3.5750000000000002</v>
      </c>
      <c r="D84" s="569">
        <f t="shared" ref="D84:D89" si="13">((C84/C83)-1)*100</f>
        <v>1.4184397163120588</v>
      </c>
      <c r="E84" s="569">
        <f t="shared" si="10"/>
        <v>1.1887913954146789</v>
      </c>
      <c r="F84" s="570">
        <f t="shared" si="11"/>
        <v>52.244272208500142</v>
      </c>
      <c r="G84" s="571">
        <f t="shared" si="12"/>
        <v>1.6062097902097903</v>
      </c>
    </row>
    <row r="85" spans="1:7" ht="16.5" hidden="1" customHeight="1">
      <c r="A85" s="535">
        <v>2003</v>
      </c>
      <c r="B85" s="538" t="s">
        <v>72</v>
      </c>
      <c r="C85" s="573">
        <v>3.3530000000000002</v>
      </c>
      <c r="D85" s="569">
        <f t="shared" si="13"/>
        <v>-6.2097902097902118</v>
      </c>
      <c r="E85" s="569">
        <f t="shared" si="10"/>
        <v>-5.0948202660628272</v>
      </c>
      <c r="F85" s="570">
        <f t="shared" si="11"/>
        <v>44.301945257359286</v>
      </c>
      <c r="G85" s="571">
        <f t="shared" si="12"/>
        <v>1.7125559200715776</v>
      </c>
    </row>
    <row r="86" spans="1:7" ht="16.5" hidden="1" customHeight="1">
      <c r="A86" s="535">
        <v>2003</v>
      </c>
      <c r="B86" s="538" t="s">
        <v>73</v>
      </c>
      <c r="C86" s="573">
        <v>2.8898000000000001</v>
      </c>
      <c r="D86" s="569">
        <f t="shared" si="13"/>
        <v>-13.814494482552941</v>
      </c>
      <c r="E86" s="569">
        <f t="shared" si="10"/>
        <v>-18.20549108406453</v>
      </c>
      <c r="F86" s="570">
        <f t="shared" si="11"/>
        <v>22.319576719576737</v>
      </c>
      <c r="G86" s="571">
        <f t="shared" si="12"/>
        <v>1.9870579278842826</v>
      </c>
    </row>
    <row r="87" spans="1:7" ht="16.5" hidden="1" customHeight="1">
      <c r="A87" s="535">
        <v>2003</v>
      </c>
      <c r="B87" s="538" t="s">
        <v>74</v>
      </c>
      <c r="C87" s="573">
        <v>2.9655999999999998</v>
      </c>
      <c r="D87" s="569">
        <f t="shared" si="13"/>
        <v>2.623018894041107</v>
      </c>
      <c r="E87" s="569">
        <f t="shared" si="10"/>
        <v>-16.060005660911415</v>
      </c>
      <c r="F87" s="570">
        <f t="shared" si="11"/>
        <v>17.589214908802543</v>
      </c>
      <c r="G87" s="571">
        <f t="shared" si="12"/>
        <v>1.9362692203938499</v>
      </c>
    </row>
    <row r="88" spans="1:7" ht="16.5" hidden="1" customHeight="1">
      <c r="A88" s="535">
        <v>2003</v>
      </c>
      <c r="B88" s="538" t="s">
        <v>75</v>
      </c>
      <c r="C88" s="573">
        <v>2.8719999999999999</v>
      </c>
      <c r="D88" s="569">
        <f t="shared" si="13"/>
        <v>-3.1561909900188811</v>
      </c>
      <c r="E88" s="569">
        <f t="shared" si="10"/>
        <v>-18.709312199264083</v>
      </c>
      <c r="F88" s="570">
        <f t="shared" si="11"/>
        <v>0.97032766136970761</v>
      </c>
      <c r="G88" s="571">
        <f t="shared" si="12"/>
        <v>1.999373259052925</v>
      </c>
    </row>
    <row r="89" spans="1:7" ht="16.5" hidden="1" customHeight="1">
      <c r="A89" s="535">
        <v>2003</v>
      </c>
      <c r="B89" s="538" t="s">
        <v>76</v>
      </c>
      <c r="C89" s="573">
        <v>2.9655</v>
      </c>
      <c r="D89" s="569">
        <f t="shared" si="13"/>
        <v>3.2555710306406693</v>
      </c>
      <c r="E89" s="569">
        <f t="shared" si="10"/>
        <v>-16.062836116614776</v>
      </c>
      <c r="F89" s="570">
        <f t="shared" si="11"/>
        <v>-13.484260582898155</v>
      </c>
      <c r="G89" s="571">
        <f t="shared" si="12"/>
        <v>1.9363345135727534</v>
      </c>
    </row>
    <row r="90" spans="1:7" ht="16.5" hidden="1" customHeight="1">
      <c r="A90" s="535">
        <v>2003</v>
      </c>
      <c r="B90" s="538" t="s">
        <v>77</v>
      </c>
      <c r="C90" s="573">
        <v>2.9664999999999999</v>
      </c>
      <c r="D90" s="569">
        <f>((C90/C89)-1)*100</f>
        <v>3.3721126285612968E-2</v>
      </c>
      <c r="E90" s="569">
        <f t="shared" si="10"/>
        <v>-16.03453155958109</v>
      </c>
      <c r="F90" s="570">
        <f t="shared" si="11"/>
        <v>-1.4451827242524917</v>
      </c>
      <c r="G90" s="571">
        <f t="shared" si="12"/>
        <v>1.9356817798752741</v>
      </c>
    </row>
    <row r="91" spans="1:7" ht="16.5" hidden="1" customHeight="1">
      <c r="A91" s="535">
        <v>2003</v>
      </c>
      <c r="B91" s="538" t="s">
        <v>79</v>
      </c>
      <c r="C91" s="573">
        <v>2.9234</v>
      </c>
      <c r="D91" s="569">
        <f>((C91/C90)-1)*100</f>
        <v>-1.452890611832125</v>
      </c>
      <c r="E91" s="569">
        <f t="shared" si="10"/>
        <v>-17.254457967732804</v>
      </c>
      <c r="F91" s="570">
        <f t="shared" si="11"/>
        <v>-24.942874014737214</v>
      </c>
      <c r="G91" s="571">
        <f t="shared" si="12"/>
        <v>1.9642197441335434</v>
      </c>
    </row>
    <row r="92" spans="1:7" ht="16.5" hidden="1" customHeight="1">
      <c r="A92" s="535">
        <v>2003</v>
      </c>
      <c r="B92" s="538" t="s">
        <v>78</v>
      </c>
      <c r="C92" s="573">
        <v>2.8561999999999999</v>
      </c>
      <c r="D92" s="569">
        <f>((C92/C91)-1)*100</f>
        <v>-2.2986933023192213</v>
      </c>
      <c r="E92" s="569">
        <f t="shared" si="10"/>
        <v>-19.156524200396262</v>
      </c>
      <c r="F92" s="570">
        <f t="shared" si="11"/>
        <v>-21.640603566529492</v>
      </c>
      <c r="G92" s="571">
        <f t="shared" si="12"/>
        <v>2.0104334430362023</v>
      </c>
    </row>
    <row r="93" spans="1:7" ht="16.5" hidden="1" customHeight="1">
      <c r="A93" s="535">
        <v>2003</v>
      </c>
      <c r="B93" s="538" t="s">
        <v>68</v>
      </c>
      <c r="C93" s="573">
        <v>2.9489999999999998</v>
      </c>
      <c r="D93" s="569">
        <f>((C93/C92)-1)*100</f>
        <v>3.2490721938239542</v>
      </c>
      <c r="E93" s="569">
        <f t="shared" si="10"/>
        <v>-16.529861307670537</v>
      </c>
      <c r="F93" s="570">
        <f t="shared" si="11"/>
        <v>-18.905541042210917</v>
      </c>
      <c r="G93" s="571">
        <f t="shared" si="12"/>
        <v>1.9471685317056633</v>
      </c>
    </row>
    <row r="94" spans="1:7" ht="16.5" hidden="1" customHeight="1">
      <c r="A94" s="535">
        <v>2003</v>
      </c>
      <c r="B94" s="538" t="s">
        <v>69</v>
      </c>
      <c r="C94" s="573">
        <v>2.8892000000000002</v>
      </c>
      <c r="D94" s="569">
        <f>((C94/C93)-1)*100</f>
        <v>-2.0278060359443795</v>
      </c>
      <c r="E94" s="569">
        <f t="shared" si="10"/>
        <v>-18.222473818284733</v>
      </c>
      <c r="F94" s="570">
        <f t="shared" si="11"/>
        <v>-18.222473818284733</v>
      </c>
      <c r="G94" s="571">
        <f t="shared" si="12"/>
        <v>1.9874705800913748</v>
      </c>
    </row>
    <row r="95" spans="1:7" ht="16.5" hidden="1" customHeight="1">
      <c r="A95" s="535"/>
      <c r="B95" s="538"/>
      <c r="C95" s="573"/>
      <c r="D95" s="569"/>
      <c r="E95" s="569"/>
      <c r="F95" s="570"/>
      <c r="G95" s="571"/>
    </row>
    <row r="96" spans="1:7" ht="16.5" hidden="1" customHeight="1">
      <c r="A96" s="535">
        <v>2004</v>
      </c>
      <c r="B96" s="538" t="s">
        <v>70</v>
      </c>
      <c r="C96" s="573">
        <v>2.9409000000000001</v>
      </c>
      <c r="D96" s="569">
        <f>((C96/C94)-1)*100</f>
        <v>1.7894226775577948</v>
      </c>
      <c r="E96" s="569">
        <f t="shared" ref="E96:E107" si="14">+((C96/C$94)-1)*100</f>
        <v>1.7894226775577948</v>
      </c>
      <c r="F96" s="570">
        <f t="shared" ref="F96:F107" si="15">+((C96/C83-1)*100)</f>
        <v>-16.570212765957436</v>
      </c>
      <c r="G96" s="571">
        <f t="shared" ref="G96:G127" si="16">+$C$350/C96</f>
        <v>1.9525315379645687</v>
      </c>
    </row>
    <row r="97" spans="1:7" ht="16.5" hidden="1" customHeight="1">
      <c r="A97" s="535">
        <v>2004</v>
      </c>
      <c r="B97" s="538" t="s">
        <v>71</v>
      </c>
      <c r="C97" s="573">
        <v>2.9138000000000002</v>
      </c>
      <c r="D97" s="569">
        <f t="shared" ref="D97:D160" si="17">((C97/C96)-1)*100</f>
        <v>-0.9214866197422511</v>
      </c>
      <c r="E97" s="569">
        <f t="shared" si="14"/>
        <v>0.85144676727122448</v>
      </c>
      <c r="F97" s="570">
        <f t="shared" si="15"/>
        <v>-18.495104895104898</v>
      </c>
      <c r="G97" s="571">
        <f t="shared" si="16"/>
        <v>1.9706911936303109</v>
      </c>
    </row>
    <row r="98" spans="1:7" ht="16.5" hidden="1" customHeight="1">
      <c r="A98" s="535">
        <v>2004</v>
      </c>
      <c r="B98" s="538" t="s">
        <v>72</v>
      </c>
      <c r="C98" s="573">
        <v>2.9085999999999999</v>
      </c>
      <c r="D98" s="569">
        <f t="shared" si="17"/>
        <v>-0.17846111606837356</v>
      </c>
      <c r="E98" s="569">
        <f t="shared" si="14"/>
        <v>0.67146614979924912</v>
      </c>
      <c r="F98" s="570">
        <f t="shared" si="15"/>
        <v>-13.253802564867289</v>
      </c>
      <c r="G98" s="571">
        <f t="shared" si="16"/>
        <v>1.9742143986797775</v>
      </c>
    </row>
    <row r="99" spans="1:7" ht="16.5" hidden="1" customHeight="1">
      <c r="A99" s="535">
        <v>2004</v>
      </c>
      <c r="B99" s="538" t="s">
        <v>73</v>
      </c>
      <c r="C99" s="573">
        <v>2.9447000000000001</v>
      </c>
      <c r="D99" s="569">
        <f t="shared" si="17"/>
        <v>1.2411469435467337</v>
      </c>
      <c r="E99" s="569">
        <f t="shared" si="14"/>
        <v>1.9209469749411623</v>
      </c>
      <c r="F99" s="570">
        <f t="shared" si="15"/>
        <v>1.8997854522804225</v>
      </c>
      <c r="G99" s="571">
        <f t="shared" si="16"/>
        <v>1.9500118857608586</v>
      </c>
    </row>
    <row r="100" spans="1:7" ht="16.5" hidden="1" customHeight="1">
      <c r="A100" s="535">
        <v>2004</v>
      </c>
      <c r="B100" s="538" t="s">
        <v>74</v>
      </c>
      <c r="C100" s="573">
        <v>3.1291000000000002</v>
      </c>
      <c r="D100" s="569">
        <f t="shared" si="17"/>
        <v>6.2620980065881016</v>
      </c>
      <c r="E100" s="569">
        <f t="shared" si="14"/>
        <v>8.3033365637546819</v>
      </c>
      <c r="F100" s="570">
        <f t="shared" si="15"/>
        <v>5.5132182357701787</v>
      </c>
      <c r="G100" s="571">
        <f t="shared" si="16"/>
        <v>1.8350963535840976</v>
      </c>
    </row>
    <row r="101" spans="1:7" ht="16.5" hidden="1" customHeight="1">
      <c r="A101" s="535">
        <v>2004</v>
      </c>
      <c r="B101" s="538" t="s">
        <v>75</v>
      </c>
      <c r="C101" s="573">
        <v>3.1074999999999999</v>
      </c>
      <c r="D101" s="569">
        <f t="shared" si="17"/>
        <v>-0.69029433383401839</v>
      </c>
      <c r="E101" s="569">
        <f t="shared" si="14"/>
        <v>7.5557247681018902</v>
      </c>
      <c r="F101" s="570">
        <f t="shared" si="15"/>
        <v>8.1998607242339752</v>
      </c>
      <c r="G101" s="571">
        <f t="shared" si="16"/>
        <v>1.8478519710378118</v>
      </c>
    </row>
    <row r="102" spans="1:7" ht="16.5" hidden="1" customHeight="1">
      <c r="A102" s="535">
        <v>2004</v>
      </c>
      <c r="B102" s="538" t="s">
        <v>76</v>
      </c>
      <c r="C102" s="573">
        <v>3.0268000000000002</v>
      </c>
      <c r="D102" s="569">
        <f t="shared" si="17"/>
        <v>-2.5969428801287164</v>
      </c>
      <c r="E102" s="569">
        <f t="shared" si="14"/>
        <v>4.7625640315658302</v>
      </c>
      <c r="F102" s="570">
        <f t="shared" si="15"/>
        <v>2.0671050413083814</v>
      </c>
      <c r="G102" s="571">
        <f t="shared" si="16"/>
        <v>1.897119069644509</v>
      </c>
    </row>
    <row r="103" spans="1:7" ht="16.5" hidden="1" customHeight="1">
      <c r="A103" s="535">
        <v>2004</v>
      </c>
      <c r="B103" s="538" t="s">
        <v>77</v>
      </c>
      <c r="C103" s="573">
        <v>2.9338000000000002</v>
      </c>
      <c r="D103" s="569">
        <f t="shared" si="17"/>
        <v>-3.0725518699616705</v>
      </c>
      <c r="E103" s="569">
        <f t="shared" si="14"/>
        <v>1.5436799113941468</v>
      </c>
      <c r="F103" s="570">
        <f t="shared" si="15"/>
        <v>-1.1023091184897971</v>
      </c>
      <c r="G103" s="571">
        <f t="shared" si="16"/>
        <v>1.9572568000545367</v>
      </c>
    </row>
    <row r="104" spans="1:7" ht="16.5" hidden="1" customHeight="1">
      <c r="A104" s="535">
        <v>2004</v>
      </c>
      <c r="B104" s="538" t="s">
        <v>79</v>
      </c>
      <c r="C104" s="573">
        <v>2.8586</v>
      </c>
      <c r="D104" s="569">
        <f t="shared" si="17"/>
        <v>-2.5632285772718033</v>
      </c>
      <c r="E104" s="569">
        <f t="shared" si="14"/>
        <v>-1.0591167105081012</v>
      </c>
      <c r="F104" s="570">
        <f t="shared" si="15"/>
        <v>-2.216597112950669</v>
      </c>
      <c r="G104" s="571">
        <f t="shared" si="16"/>
        <v>2.0087455397747149</v>
      </c>
    </row>
    <row r="105" spans="1:7" ht="16.5" hidden="1" customHeight="1">
      <c r="A105" s="535">
        <v>2004</v>
      </c>
      <c r="B105" s="538" t="s">
        <v>78</v>
      </c>
      <c r="C105" s="573">
        <v>2.8565</v>
      </c>
      <c r="D105" s="569">
        <f t="shared" si="17"/>
        <v>-7.3462534107604505E-2</v>
      </c>
      <c r="E105" s="569">
        <f t="shared" si="14"/>
        <v>-1.131801190641013</v>
      </c>
      <c r="F105" s="570">
        <f t="shared" si="15"/>
        <v>1.0503466143840789E-2</v>
      </c>
      <c r="G105" s="571">
        <f t="shared" si="16"/>
        <v>2.0102223000175039</v>
      </c>
    </row>
    <row r="106" spans="1:7" ht="16.5" hidden="1" customHeight="1">
      <c r="A106" s="535">
        <v>2004</v>
      </c>
      <c r="B106" s="538" t="s">
        <v>68</v>
      </c>
      <c r="C106" s="573">
        <v>2.7303000000000002</v>
      </c>
      <c r="D106" s="569">
        <f t="shared" si="17"/>
        <v>-4.4179940486609448</v>
      </c>
      <c r="E106" s="569">
        <f t="shared" si="14"/>
        <v>-5.4997923300567635</v>
      </c>
      <c r="F106" s="570">
        <f t="shared" si="15"/>
        <v>-7.4160732451678424</v>
      </c>
      <c r="G106" s="571">
        <f t="shared" si="16"/>
        <v>2.1031388492107093</v>
      </c>
    </row>
    <row r="107" spans="1:7" ht="16.5" hidden="1" customHeight="1">
      <c r="A107" s="535">
        <v>2004</v>
      </c>
      <c r="B107" s="538" t="s">
        <v>69</v>
      </c>
      <c r="C107" s="573">
        <v>2.6543999999999999</v>
      </c>
      <c r="D107" s="569">
        <f t="shared" si="17"/>
        <v>-2.7799142951324129</v>
      </c>
      <c r="E107" s="569">
        <f t="shared" si="14"/>
        <v>-8.1268171120033372</v>
      </c>
      <c r="F107" s="570">
        <f t="shared" si="15"/>
        <v>-8.1268171120033372</v>
      </c>
      <c r="G107" s="571">
        <f t="shared" si="16"/>
        <v>2.1632760699216398</v>
      </c>
    </row>
    <row r="108" spans="1:7" ht="16.5" hidden="1" customHeight="1">
      <c r="A108" s="535">
        <v>2005</v>
      </c>
      <c r="B108" s="538" t="s">
        <v>70</v>
      </c>
      <c r="C108" s="573">
        <v>2.6248</v>
      </c>
      <c r="D108" s="569">
        <f t="shared" si="17"/>
        <v>-1.1151295961422503</v>
      </c>
      <c r="E108" s="569">
        <f t="shared" ref="E108:E119" si="18">+((C108/C$107)-1)*100</f>
        <v>-1.1151295961422503</v>
      </c>
      <c r="F108" s="570">
        <f t="shared" ref="F108:F171" si="19">+((C108/C96-1)*100)</f>
        <v>-10.748410350572957</v>
      </c>
      <c r="G108" s="571">
        <f t="shared" si="16"/>
        <v>2.1876714416336482</v>
      </c>
    </row>
    <row r="109" spans="1:7" ht="16.5" hidden="1" customHeight="1">
      <c r="A109" s="535">
        <v>2005</v>
      </c>
      <c r="B109" s="538" t="s">
        <v>71</v>
      </c>
      <c r="C109" s="573">
        <v>2.5950000000000002</v>
      </c>
      <c r="D109" s="569">
        <f t="shared" si="17"/>
        <v>-1.1353245961597036</v>
      </c>
      <c r="E109" s="569">
        <f t="shared" si="18"/>
        <v>-2.2377938517178952</v>
      </c>
      <c r="F109" s="570">
        <f t="shared" si="19"/>
        <v>-10.941039192806645</v>
      </c>
      <c r="G109" s="571">
        <f t="shared" si="16"/>
        <v>2.2127938342967246</v>
      </c>
    </row>
    <row r="110" spans="1:7" ht="16.5" hidden="1" customHeight="1">
      <c r="A110" s="535">
        <v>2005</v>
      </c>
      <c r="B110" s="538" t="s">
        <v>72</v>
      </c>
      <c r="C110" s="573">
        <v>2.6661999999999999</v>
      </c>
      <c r="D110" s="569">
        <f t="shared" si="17"/>
        <v>2.7437379576107812</v>
      </c>
      <c r="E110" s="569">
        <f t="shared" si="18"/>
        <v>0.44454490657022117</v>
      </c>
      <c r="F110" s="570">
        <f t="shared" si="19"/>
        <v>-8.3339063466960077</v>
      </c>
      <c r="G110" s="571">
        <f t="shared" si="16"/>
        <v>2.153701897832121</v>
      </c>
    </row>
    <row r="111" spans="1:7" ht="16.5" hidden="1" customHeight="1">
      <c r="A111" s="535">
        <v>2005</v>
      </c>
      <c r="B111" s="538" t="s">
        <v>73</v>
      </c>
      <c r="C111" s="573">
        <v>2.5312999999999999</v>
      </c>
      <c r="D111" s="569">
        <f t="shared" si="17"/>
        <v>-5.0596354362013374</v>
      </c>
      <c r="E111" s="569">
        <f t="shared" si="18"/>
        <v>-4.6375828812537652</v>
      </c>
      <c r="F111" s="570">
        <f t="shared" si="19"/>
        <v>-14.038781539715428</v>
      </c>
      <c r="G111" s="571">
        <f t="shared" si="16"/>
        <v>2.2684786473353618</v>
      </c>
    </row>
    <row r="112" spans="1:7" ht="16.5" hidden="1" customHeight="1">
      <c r="A112" s="535">
        <v>2005</v>
      </c>
      <c r="B112" s="538" t="s">
        <v>74</v>
      </c>
      <c r="C112" s="573">
        <v>2.4089999999999998</v>
      </c>
      <c r="D112" s="569">
        <f t="shared" si="17"/>
        <v>-4.8315095010468934</v>
      </c>
      <c r="E112" s="569">
        <f t="shared" si="18"/>
        <v>-9.2450271247739639</v>
      </c>
      <c r="F112" s="570">
        <f t="shared" si="19"/>
        <v>-23.013006934901426</v>
      </c>
      <c r="G112" s="571">
        <f t="shared" si="16"/>
        <v>2.3836446658364472</v>
      </c>
    </row>
    <row r="113" spans="1:7" ht="16.5" hidden="1" customHeight="1">
      <c r="A113" s="535">
        <v>2005</v>
      </c>
      <c r="B113" s="538" t="s">
        <v>75</v>
      </c>
      <c r="C113" s="573">
        <v>2.3504</v>
      </c>
      <c r="D113" s="569">
        <f t="shared" si="17"/>
        <v>-2.4325446243254389</v>
      </c>
      <c r="E113" s="569">
        <f t="shared" si="18"/>
        <v>-11.452682338758279</v>
      </c>
      <c r="F113" s="570">
        <f t="shared" si="19"/>
        <v>-24.363636363636367</v>
      </c>
      <c r="G113" s="571">
        <f t="shared" si="16"/>
        <v>2.443073519400953</v>
      </c>
    </row>
    <row r="114" spans="1:7" ht="16.5" hidden="1" customHeight="1">
      <c r="A114" s="535">
        <v>2005</v>
      </c>
      <c r="B114" s="538" t="s">
        <v>62</v>
      </c>
      <c r="C114" s="573">
        <v>2.3904999999999998</v>
      </c>
      <c r="D114" s="569">
        <f t="shared" si="17"/>
        <v>1.7060925799863735</v>
      </c>
      <c r="E114" s="569">
        <f t="shared" si="18"/>
        <v>-9.9419831223628741</v>
      </c>
      <c r="F114" s="570">
        <f t="shared" si="19"/>
        <v>-21.022201665124896</v>
      </c>
      <c r="G114" s="571">
        <f t="shared" si="16"/>
        <v>2.4020916126333405</v>
      </c>
    </row>
    <row r="115" spans="1:7" ht="16.5" hidden="1" customHeight="1">
      <c r="A115" s="535">
        <v>2005</v>
      </c>
      <c r="B115" s="538" t="s">
        <v>63</v>
      </c>
      <c r="C115" s="573">
        <v>2.3637000000000001</v>
      </c>
      <c r="D115" s="569">
        <f t="shared" si="17"/>
        <v>-1.1211043714703939</v>
      </c>
      <c r="E115" s="569">
        <f t="shared" si="18"/>
        <v>-10.951627486437598</v>
      </c>
      <c r="F115" s="570">
        <f t="shared" si="19"/>
        <v>-19.432135796577821</v>
      </c>
      <c r="G115" s="571">
        <f t="shared" si="16"/>
        <v>2.429326902737234</v>
      </c>
    </row>
    <row r="116" spans="1:7" ht="16.5" hidden="1" customHeight="1">
      <c r="A116" s="535">
        <v>2005</v>
      </c>
      <c r="B116" s="538" t="s">
        <v>64</v>
      </c>
      <c r="C116" s="573">
        <v>2.2222</v>
      </c>
      <c r="D116" s="569">
        <f t="shared" si="17"/>
        <v>-5.9863772898422045</v>
      </c>
      <c r="E116" s="569">
        <f t="shared" si="18"/>
        <v>-16.282399035563589</v>
      </c>
      <c r="F116" s="570">
        <f t="shared" si="19"/>
        <v>-22.262646050514245</v>
      </c>
      <c r="G116" s="571">
        <f t="shared" si="16"/>
        <v>2.5840158401584019</v>
      </c>
    </row>
    <row r="117" spans="1:7" ht="16.5" hidden="1" customHeight="1">
      <c r="A117" s="535">
        <v>2005</v>
      </c>
      <c r="B117" s="538" t="s">
        <v>65</v>
      </c>
      <c r="C117" s="573">
        <v>2.2543000000000002</v>
      </c>
      <c r="D117" s="569">
        <f t="shared" si="17"/>
        <v>1.4445144451444625</v>
      </c>
      <c r="E117" s="569">
        <f t="shared" si="18"/>
        <v>-15.073086196503905</v>
      </c>
      <c r="F117" s="570">
        <f t="shared" si="19"/>
        <v>-21.081743392263252</v>
      </c>
      <c r="G117" s="571">
        <f t="shared" si="16"/>
        <v>2.5472208667879164</v>
      </c>
    </row>
    <row r="118" spans="1:7" ht="16.5" hidden="1" customHeight="1">
      <c r="A118" s="535">
        <v>2005</v>
      </c>
      <c r="B118" s="538" t="s">
        <v>66</v>
      </c>
      <c r="C118" s="573">
        <v>2.2069999999999999</v>
      </c>
      <c r="D118" s="569">
        <f t="shared" si="17"/>
        <v>-2.0982123053719715</v>
      </c>
      <c r="E118" s="569">
        <f t="shared" si="18"/>
        <v>-16.855033152501509</v>
      </c>
      <c r="F118" s="570">
        <f t="shared" si="19"/>
        <v>-19.166391971578221</v>
      </c>
      <c r="G118" s="571">
        <f t="shared" si="16"/>
        <v>2.6018124150430451</v>
      </c>
    </row>
    <row r="119" spans="1:7" ht="16.5" hidden="1" customHeight="1">
      <c r="A119" s="535">
        <v>2005</v>
      </c>
      <c r="B119" s="538" t="s">
        <v>55</v>
      </c>
      <c r="C119" s="573">
        <v>2.3407</v>
      </c>
      <c r="D119" s="569">
        <f t="shared" si="17"/>
        <v>6.0579972813774363</v>
      </c>
      <c r="E119" s="569">
        <f t="shared" si="18"/>
        <v>-11.818113321277879</v>
      </c>
      <c r="F119" s="570">
        <f t="shared" si="19"/>
        <v>-11.818113321277879</v>
      </c>
      <c r="G119" s="571">
        <f t="shared" si="16"/>
        <v>2.4531977613534415</v>
      </c>
    </row>
    <row r="120" spans="1:7" ht="16.5" hidden="1" customHeight="1">
      <c r="A120" s="535">
        <v>2006</v>
      </c>
      <c r="B120" s="538" t="s">
        <v>56</v>
      </c>
      <c r="C120" s="573">
        <v>2.2160000000000002</v>
      </c>
      <c r="D120" s="569">
        <f t="shared" si="17"/>
        <v>-5.327466142606907</v>
      </c>
      <c r="E120" s="569">
        <f t="shared" ref="E120:E131" si="20">+((C120/C$119)-1)*100</f>
        <v>-5.327466142606907</v>
      </c>
      <c r="F120" s="570">
        <f t="shared" si="19"/>
        <v>-15.574519963425782</v>
      </c>
      <c r="G120" s="571">
        <f t="shared" si="16"/>
        <v>2.5912454873646209</v>
      </c>
    </row>
    <row r="121" spans="1:7" ht="16.5" hidden="1" customHeight="1">
      <c r="A121" s="535">
        <v>2006</v>
      </c>
      <c r="B121" s="538" t="s">
        <v>57</v>
      </c>
      <c r="C121" s="573">
        <v>2.1355</v>
      </c>
      <c r="D121" s="569">
        <f t="shared" si="17"/>
        <v>-3.6326714801444115</v>
      </c>
      <c r="E121" s="569">
        <f t="shared" si="20"/>
        <v>-8.7666082795744842</v>
      </c>
      <c r="F121" s="570">
        <f t="shared" si="19"/>
        <v>-17.707129094412345</v>
      </c>
      <c r="G121" s="571">
        <f t="shared" si="16"/>
        <v>2.688925310231796</v>
      </c>
    </row>
    <row r="122" spans="1:7" ht="16.5" hidden="1" customHeight="1">
      <c r="A122" s="535">
        <v>2006</v>
      </c>
      <c r="B122" s="538" t="s">
        <v>72</v>
      </c>
      <c r="C122" s="573">
        <v>2.1724000000000001</v>
      </c>
      <c r="D122" s="569">
        <f t="shared" si="17"/>
        <v>1.7279325684851354</v>
      </c>
      <c r="E122" s="569">
        <f t="shared" si="20"/>
        <v>-7.1901567907036279</v>
      </c>
      <c r="F122" s="570">
        <f t="shared" si="19"/>
        <v>-18.520741129697694</v>
      </c>
      <c r="G122" s="571">
        <f t="shared" si="16"/>
        <v>2.6432517031854172</v>
      </c>
    </row>
    <row r="123" spans="1:7" ht="16.5" hidden="1" customHeight="1">
      <c r="A123" s="535">
        <v>2006</v>
      </c>
      <c r="B123" s="538" t="s">
        <v>73</v>
      </c>
      <c r="C123" s="573">
        <v>2.0891999999999999</v>
      </c>
      <c r="D123" s="569">
        <f t="shared" si="17"/>
        <v>-3.8298655864481779</v>
      </c>
      <c r="E123" s="569">
        <f t="shared" si="20"/>
        <v>-10.744649036612985</v>
      </c>
      <c r="F123" s="570">
        <f t="shared" si="19"/>
        <v>-17.465334018093472</v>
      </c>
      <c r="G123" s="571">
        <f t="shared" si="16"/>
        <v>2.7485161784415091</v>
      </c>
    </row>
    <row r="124" spans="1:7" ht="16.5" hidden="1" customHeight="1">
      <c r="A124" s="535">
        <v>2006</v>
      </c>
      <c r="B124" s="538" t="s">
        <v>74</v>
      </c>
      <c r="C124" s="573">
        <v>2.3005</v>
      </c>
      <c r="D124" s="569">
        <f t="shared" si="17"/>
        <v>10.113919203522892</v>
      </c>
      <c r="E124" s="569">
        <f t="shared" si="20"/>
        <v>-1.7174349553552348</v>
      </c>
      <c r="F124" s="570">
        <f t="shared" si="19"/>
        <v>-4.5039435450394238</v>
      </c>
      <c r="G124" s="571">
        <f t="shared" si="16"/>
        <v>2.4960660725929147</v>
      </c>
    </row>
    <row r="125" spans="1:7" ht="16.5" hidden="1" customHeight="1">
      <c r="A125" s="535">
        <v>2006</v>
      </c>
      <c r="B125" s="538" t="s">
        <v>75</v>
      </c>
      <c r="C125" s="573">
        <v>2.1642999999999999</v>
      </c>
      <c r="D125" s="569">
        <f t="shared" si="17"/>
        <v>-5.9204520756357404</v>
      </c>
      <c r="E125" s="569">
        <f t="shared" si="20"/>
        <v>-7.5362071175289476</v>
      </c>
      <c r="F125" s="570">
        <f t="shared" si="19"/>
        <v>-7.917801225323351</v>
      </c>
      <c r="G125" s="571">
        <f t="shared" si="16"/>
        <v>2.653144203668623</v>
      </c>
    </row>
    <row r="126" spans="1:7" ht="16.5" hidden="1" customHeight="1">
      <c r="A126" s="535">
        <v>2006</v>
      </c>
      <c r="B126" s="538" t="s">
        <v>76</v>
      </c>
      <c r="C126" s="573">
        <v>2.1762000000000001</v>
      </c>
      <c r="D126" s="569">
        <f t="shared" si="17"/>
        <v>0.54983135424850893</v>
      </c>
      <c r="E126" s="569">
        <f t="shared" si="20"/>
        <v>-7.0278121929337356</v>
      </c>
      <c r="F126" s="570">
        <f t="shared" si="19"/>
        <v>-8.9646517464965321</v>
      </c>
      <c r="G126" s="571">
        <f t="shared" si="16"/>
        <v>2.6386361547651869</v>
      </c>
    </row>
    <row r="127" spans="1:7" ht="16.5" hidden="1" customHeight="1">
      <c r="A127" s="535">
        <v>2006</v>
      </c>
      <c r="B127" s="538" t="s">
        <v>77</v>
      </c>
      <c r="C127" s="573">
        <v>2.1387999999999998</v>
      </c>
      <c r="D127" s="569">
        <f t="shared" si="17"/>
        <v>-1.7185920411727063</v>
      </c>
      <c r="E127" s="569">
        <f t="shared" si="20"/>
        <v>-8.6256248130901056</v>
      </c>
      <c r="F127" s="570">
        <f t="shared" si="19"/>
        <v>-9.5147438338198711</v>
      </c>
      <c r="G127" s="571">
        <f t="shared" si="16"/>
        <v>2.684776510192632</v>
      </c>
    </row>
    <row r="128" spans="1:7" ht="16.5" hidden="1" customHeight="1">
      <c r="A128" s="535">
        <v>2006</v>
      </c>
      <c r="B128" s="538" t="s">
        <v>79</v>
      </c>
      <c r="C128" s="573">
        <v>2.1741999999999999</v>
      </c>
      <c r="D128" s="569">
        <f t="shared" si="17"/>
        <v>1.6551337198429161</v>
      </c>
      <c r="E128" s="569">
        <f t="shared" si="20"/>
        <v>-7.1132567180757889</v>
      </c>
      <c r="F128" s="570">
        <f t="shared" si="19"/>
        <v>-2.160021600216</v>
      </c>
      <c r="G128" s="571">
        <f t="shared" ref="G128:G159" si="21">+$C$350/C128</f>
        <v>2.6410633796338887</v>
      </c>
    </row>
    <row r="129" spans="1:7" ht="16.5" hidden="1" customHeight="1">
      <c r="A129" s="535">
        <v>2006</v>
      </c>
      <c r="B129" s="538" t="s">
        <v>78</v>
      </c>
      <c r="C129" s="573">
        <v>2.1429999999999998</v>
      </c>
      <c r="D129" s="569">
        <f t="shared" si="17"/>
        <v>-1.4350105786036349</v>
      </c>
      <c r="E129" s="569">
        <f t="shared" si="20"/>
        <v>-8.4461913102918054</v>
      </c>
      <c r="F129" s="570">
        <f t="shared" si="19"/>
        <v>-4.9372310695116166</v>
      </c>
      <c r="G129" s="571">
        <f t="shared" si="21"/>
        <v>2.6795146990200656</v>
      </c>
    </row>
    <row r="130" spans="1:7" ht="16.5" hidden="1" customHeight="1">
      <c r="A130" s="535">
        <v>2006</v>
      </c>
      <c r="B130" s="538" t="s">
        <v>68</v>
      </c>
      <c r="C130" s="573">
        <v>2.1667999999999998</v>
      </c>
      <c r="D130" s="569">
        <f t="shared" si="17"/>
        <v>1.1105926271582023</v>
      </c>
      <c r="E130" s="569">
        <f t="shared" si="20"/>
        <v>-7.4294014611013814</v>
      </c>
      <c r="F130" s="570">
        <f t="shared" si="19"/>
        <v>-1.8214771182600842</v>
      </c>
      <c r="G130" s="571">
        <f t="shared" si="21"/>
        <v>2.650083071810966</v>
      </c>
    </row>
    <row r="131" spans="1:7" ht="16.5" hidden="1" customHeight="1">
      <c r="A131" s="535">
        <v>2006</v>
      </c>
      <c r="B131" s="538" t="s">
        <v>69</v>
      </c>
      <c r="C131" s="573">
        <v>2.137</v>
      </c>
      <c r="D131" s="569">
        <f t="shared" si="17"/>
        <v>-1.3752999815395905</v>
      </c>
      <c r="E131" s="569">
        <f t="shared" si="20"/>
        <v>-8.7025248857179438</v>
      </c>
      <c r="F131" s="570">
        <f t="shared" si="19"/>
        <v>-8.7025248857179438</v>
      </c>
      <c r="G131" s="571">
        <f t="shared" si="21"/>
        <v>2.6870379036031822</v>
      </c>
    </row>
    <row r="132" spans="1:7" ht="16.5" hidden="1" customHeight="1">
      <c r="A132" s="535">
        <v>2007</v>
      </c>
      <c r="B132" s="538" t="s">
        <v>70</v>
      </c>
      <c r="C132" s="573">
        <v>2.1246999999999998</v>
      </c>
      <c r="D132" s="569">
        <f t="shared" si="17"/>
        <v>-0.5755732335049224</v>
      </c>
      <c r="E132" s="569">
        <f t="shared" ref="E132:E140" si="22">+((C132/C$131)-1)*100</f>
        <v>-0.5755732335049224</v>
      </c>
      <c r="F132" s="570">
        <f t="shared" si="19"/>
        <v>-4.1200361010830466</v>
      </c>
      <c r="G132" s="571">
        <f t="shared" si="21"/>
        <v>2.7025933072904413</v>
      </c>
    </row>
    <row r="133" spans="1:7" ht="16.5" hidden="1" customHeight="1">
      <c r="A133" s="535">
        <v>2007</v>
      </c>
      <c r="B133" s="538" t="s">
        <v>71</v>
      </c>
      <c r="C133" s="573">
        <v>2.1181999999999999</v>
      </c>
      <c r="D133" s="569">
        <f t="shared" si="17"/>
        <v>-0.3059255424295193</v>
      </c>
      <c r="E133" s="569">
        <f t="shared" si="22"/>
        <v>-0.87973795039776315</v>
      </c>
      <c r="F133" s="570">
        <f t="shared" si="19"/>
        <v>-0.81011472723016009</v>
      </c>
      <c r="G133" s="571">
        <f t="shared" si="21"/>
        <v>2.7108866018317443</v>
      </c>
    </row>
    <row r="134" spans="1:7" ht="16.5" hidden="1" customHeight="1">
      <c r="A134" s="535">
        <v>2007</v>
      </c>
      <c r="B134" s="538" t="s">
        <v>72</v>
      </c>
      <c r="C134" s="573">
        <v>2.0503999999999998</v>
      </c>
      <c r="D134" s="569">
        <f t="shared" si="17"/>
        <v>-3.2008308941554153</v>
      </c>
      <c r="E134" s="569">
        <f t="shared" si="22"/>
        <v>-4.0524099204492403</v>
      </c>
      <c r="F134" s="570">
        <f t="shared" si="19"/>
        <v>-5.6159086724360314</v>
      </c>
      <c r="G134" s="571">
        <f t="shared" si="21"/>
        <v>2.8005267264923921</v>
      </c>
    </row>
    <row r="135" spans="1:7" ht="16.5" hidden="1" customHeight="1">
      <c r="A135" s="535">
        <v>2007</v>
      </c>
      <c r="B135" s="538" t="s">
        <v>73</v>
      </c>
      <c r="C135" s="573">
        <v>2.0339</v>
      </c>
      <c r="D135" s="569">
        <f t="shared" si="17"/>
        <v>-0.80472103004290974</v>
      </c>
      <c r="E135" s="569">
        <f t="shared" si="22"/>
        <v>-4.8245203556387395</v>
      </c>
      <c r="F135" s="570">
        <f t="shared" si="19"/>
        <v>-2.6469461995021981</v>
      </c>
      <c r="G135" s="571">
        <f t="shared" si="21"/>
        <v>2.8232459806283496</v>
      </c>
    </row>
    <row r="136" spans="1:7" ht="16.5" hidden="1" customHeight="1">
      <c r="A136" s="535">
        <v>2007</v>
      </c>
      <c r="B136" s="538" t="s">
        <v>74</v>
      </c>
      <c r="C136" s="573">
        <v>1.9298</v>
      </c>
      <c r="D136" s="569">
        <f t="shared" si="17"/>
        <v>-5.1182457347952237</v>
      </c>
      <c r="E136" s="569">
        <f t="shared" si="22"/>
        <v>-9.6958352831071579</v>
      </c>
      <c r="F136" s="570">
        <f t="shared" si="19"/>
        <v>-16.113888285155397</v>
      </c>
      <c r="G136" s="571">
        <f t="shared" si="21"/>
        <v>2.975541506891906</v>
      </c>
    </row>
    <row r="137" spans="1:7" ht="16.5" hidden="1" customHeight="1">
      <c r="A137" s="535">
        <v>2007</v>
      </c>
      <c r="B137" s="538" t="s">
        <v>75</v>
      </c>
      <c r="C137" s="573">
        <v>1.9259999999999999</v>
      </c>
      <c r="D137" s="569">
        <f t="shared" si="17"/>
        <v>-0.19691159705669259</v>
      </c>
      <c r="E137" s="569">
        <f t="shared" si="22"/>
        <v>-9.8736546560599052</v>
      </c>
      <c r="F137" s="570">
        <f t="shared" si="19"/>
        <v>-11.010488379614658</v>
      </c>
      <c r="G137" s="571">
        <f t="shared" si="21"/>
        <v>2.9814122533748706</v>
      </c>
    </row>
    <row r="138" spans="1:7" ht="16.5" hidden="1" customHeight="1">
      <c r="A138" s="535">
        <v>2007</v>
      </c>
      <c r="B138" s="538" t="s">
        <v>76</v>
      </c>
      <c r="C138" s="573">
        <v>1.883</v>
      </c>
      <c r="D138" s="569">
        <f t="shared" si="17"/>
        <v>-2.2326064382139132</v>
      </c>
      <c r="E138" s="569">
        <f t="shared" si="22"/>
        <v>-11.885821244735606</v>
      </c>
      <c r="F138" s="570">
        <f t="shared" si="19"/>
        <v>-13.473026376252184</v>
      </c>
      <c r="G138" s="571">
        <f t="shared" si="21"/>
        <v>3.0494954859267129</v>
      </c>
    </row>
    <row r="139" spans="1:7" ht="16.5" hidden="1" customHeight="1">
      <c r="A139" s="535">
        <v>2007</v>
      </c>
      <c r="B139" s="538" t="s">
        <v>77</v>
      </c>
      <c r="C139" s="573">
        <v>1.964</v>
      </c>
      <c r="D139" s="569">
        <f t="shared" si="17"/>
        <v>4.3016463090812529</v>
      </c>
      <c r="E139" s="569">
        <f t="shared" si="22"/>
        <v>-8.0954609265325281</v>
      </c>
      <c r="F139" s="570">
        <f t="shared" si="19"/>
        <v>-8.1728071815971521</v>
      </c>
      <c r="G139" s="571">
        <f t="shared" si="21"/>
        <v>2.923727087576375</v>
      </c>
    </row>
    <row r="140" spans="1:7" ht="16.5" hidden="1" customHeight="1">
      <c r="A140" s="535">
        <v>2007</v>
      </c>
      <c r="B140" s="538" t="s">
        <v>79</v>
      </c>
      <c r="C140" s="573">
        <v>1.8340000000000001</v>
      </c>
      <c r="D140" s="569">
        <f t="shared" si="17"/>
        <v>-6.619144602851323</v>
      </c>
      <c r="E140" s="569">
        <f t="shared" si="22"/>
        <v>-14.178755264389331</v>
      </c>
      <c r="F140" s="570">
        <f t="shared" si="19"/>
        <v>-15.647134578235667</v>
      </c>
      <c r="G140" s="571">
        <f t="shared" si="21"/>
        <v>3.1309705561613961</v>
      </c>
    </row>
    <row r="141" spans="1:7" ht="16.5" hidden="1" customHeight="1">
      <c r="A141" s="535">
        <v>2007</v>
      </c>
      <c r="B141" s="538" t="s">
        <v>78</v>
      </c>
      <c r="C141" s="573">
        <v>1.7370000000000001</v>
      </c>
      <c r="D141" s="569">
        <f t="shared" si="17"/>
        <v>-5.2889858233369669</v>
      </c>
      <c r="E141" s="569">
        <f>+((C141/C$131)-1)*100</f>
        <v>-18.717828731867105</v>
      </c>
      <c r="F141" s="570">
        <f t="shared" si="19"/>
        <v>-18.945403639757341</v>
      </c>
      <c r="G141" s="571">
        <f t="shared" si="21"/>
        <v>3.3058146229130685</v>
      </c>
    </row>
    <row r="142" spans="1:7" ht="16.5" hidden="1" customHeight="1">
      <c r="A142" s="535">
        <v>2007</v>
      </c>
      <c r="B142" s="538" t="s">
        <v>68</v>
      </c>
      <c r="C142" s="573">
        <v>1.7929999999999999</v>
      </c>
      <c r="D142" s="569">
        <f t="shared" si="17"/>
        <v>3.2239493379389694</v>
      </c>
      <c r="E142" s="569">
        <f>+((C142/C$131)-1)*100</f>
        <v>-16.097332709405709</v>
      </c>
      <c r="F142" s="570">
        <f t="shared" si="19"/>
        <v>-17.251246077164485</v>
      </c>
      <c r="G142" s="571">
        <f t="shared" si="21"/>
        <v>3.2025655326268825</v>
      </c>
    </row>
    <row r="143" spans="1:7" ht="16.5" hidden="1" customHeight="1">
      <c r="A143" s="535">
        <v>2007</v>
      </c>
      <c r="B143" s="538" t="s">
        <v>69</v>
      </c>
      <c r="C143" s="573">
        <v>1.7713000000000001</v>
      </c>
      <c r="D143" s="569">
        <f t="shared" si="17"/>
        <v>-1.2102621305075223</v>
      </c>
      <c r="E143" s="569">
        <f>+((C143/C$131)-1)*100</f>
        <v>-17.112774918109498</v>
      </c>
      <c r="F143" s="570">
        <f t="shared" si="19"/>
        <v>-17.112774918109498</v>
      </c>
      <c r="G143" s="571">
        <f t="shared" si="21"/>
        <v>3.2417998080505845</v>
      </c>
    </row>
    <row r="144" spans="1:7" ht="16.5" hidden="1" customHeight="1">
      <c r="A144" s="535">
        <v>2008</v>
      </c>
      <c r="B144" s="538" t="s">
        <v>70</v>
      </c>
      <c r="C144" s="573">
        <v>1.7609999999999999</v>
      </c>
      <c r="D144" s="569">
        <f t="shared" si="17"/>
        <v>-0.58149381809970979</v>
      </c>
      <c r="E144" s="569">
        <f t="shared" ref="E144:E155" si="23">+((C144/C$143)-1)*100</f>
        <v>-0.58149381809970979</v>
      </c>
      <c r="F144" s="570">
        <f t="shared" si="19"/>
        <v>-17.117710735633263</v>
      </c>
      <c r="G144" s="571">
        <f t="shared" si="21"/>
        <v>3.2607609312890409</v>
      </c>
    </row>
    <row r="145" spans="1:7" ht="16.5" hidden="1" customHeight="1">
      <c r="A145" s="535">
        <v>2008</v>
      </c>
      <c r="B145" s="538" t="s">
        <v>71</v>
      </c>
      <c r="C145" s="573">
        <v>1.6919999999999999</v>
      </c>
      <c r="D145" s="569">
        <f t="shared" si="17"/>
        <v>-3.918228279386704</v>
      </c>
      <c r="E145" s="569">
        <f t="shared" si="23"/>
        <v>-4.4769378422627515</v>
      </c>
      <c r="F145" s="570">
        <f t="shared" si="19"/>
        <v>-20.120857331696719</v>
      </c>
      <c r="G145" s="571">
        <f t="shared" si="21"/>
        <v>3.3937352245862886</v>
      </c>
    </row>
    <row r="146" spans="1:7" ht="16.5" hidden="1" customHeight="1">
      <c r="A146" s="535">
        <v>2008</v>
      </c>
      <c r="B146" s="538" t="s">
        <v>72</v>
      </c>
      <c r="C146" s="573">
        <v>1.7529999999999999</v>
      </c>
      <c r="D146" s="569">
        <f t="shared" si="17"/>
        <v>3.6052009456264633</v>
      </c>
      <c r="E146" s="569">
        <f t="shared" si="23"/>
        <v>-1.0331395020606426</v>
      </c>
      <c r="F146" s="570">
        <f t="shared" si="19"/>
        <v>-14.504486929379635</v>
      </c>
      <c r="G146" s="571">
        <f t="shared" si="21"/>
        <v>3.275641756988021</v>
      </c>
    </row>
    <row r="147" spans="1:7" ht="16.5" hidden="1" customHeight="1">
      <c r="A147" s="535">
        <v>2008</v>
      </c>
      <c r="B147" s="538" t="s">
        <v>73</v>
      </c>
      <c r="C147" s="573">
        <v>1.663</v>
      </c>
      <c r="D147" s="569">
        <f t="shared" si="17"/>
        <v>-5.1340559041642813</v>
      </c>
      <c r="E147" s="569">
        <f t="shared" si="23"/>
        <v>-6.1141534466211294</v>
      </c>
      <c r="F147" s="570">
        <f t="shared" si="19"/>
        <v>-18.235901470082105</v>
      </c>
      <c r="G147" s="571">
        <f t="shared" si="21"/>
        <v>3.4529164161154542</v>
      </c>
    </row>
    <row r="148" spans="1:7" ht="16.5" hidden="1" customHeight="1">
      <c r="A148" s="535">
        <v>2008</v>
      </c>
      <c r="B148" s="538" t="s">
        <v>74</v>
      </c>
      <c r="C148" s="573">
        <v>1.6279999999999999</v>
      </c>
      <c r="D148" s="569">
        <f t="shared" si="17"/>
        <v>-2.1046301864101058</v>
      </c>
      <c r="E148" s="569">
        <f t="shared" si="23"/>
        <v>-8.0901033139502143</v>
      </c>
      <c r="F148" s="570">
        <f t="shared" si="19"/>
        <v>-15.638926313607627</v>
      </c>
      <c r="G148" s="571">
        <f t="shared" si="21"/>
        <v>3.5271498771498777</v>
      </c>
    </row>
    <row r="149" spans="1:7" ht="16.5" hidden="1" customHeight="1">
      <c r="A149" s="535">
        <v>2008</v>
      </c>
      <c r="B149" s="538" t="s">
        <v>75</v>
      </c>
      <c r="C149" s="573">
        <v>1.597</v>
      </c>
      <c r="D149" s="569">
        <f t="shared" si="17"/>
        <v>-1.9041769041769019</v>
      </c>
      <c r="E149" s="569">
        <f t="shared" si="23"/>
        <v>-9.8402303392988273</v>
      </c>
      <c r="F149" s="570">
        <f t="shared" si="19"/>
        <v>-17.082035306334376</v>
      </c>
      <c r="G149" s="571">
        <f t="shared" si="21"/>
        <v>3.5956167814652478</v>
      </c>
    </row>
    <row r="150" spans="1:7" ht="16.5" hidden="1" customHeight="1">
      <c r="A150" s="535">
        <v>2008</v>
      </c>
      <c r="B150" s="538" t="s">
        <v>76</v>
      </c>
      <c r="C150" s="573">
        <v>1.5629999999999999</v>
      </c>
      <c r="D150" s="569">
        <f t="shared" si="17"/>
        <v>-2.1289918597370061</v>
      </c>
      <c r="E150" s="569">
        <f t="shared" si="23"/>
        <v>-11.759724496132796</v>
      </c>
      <c r="F150" s="570">
        <f t="shared" si="19"/>
        <v>-16.994158258098778</v>
      </c>
      <c r="G150" s="571">
        <f t="shared" si="21"/>
        <v>3.6738323736404355</v>
      </c>
    </row>
    <row r="151" spans="1:7" ht="16.5" hidden="1" customHeight="1">
      <c r="A151" s="535">
        <v>2008</v>
      </c>
      <c r="B151" s="538" t="s">
        <v>77</v>
      </c>
      <c r="C151" s="573">
        <v>1.633</v>
      </c>
      <c r="D151" s="569">
        <f t="shared" si="17"/>
        <v>4.4785668586052596</v>
      </c>
      <c r="E151" s="569">
        <f t="shared" si="23"/>
        <v>-7.8078247614746239</v>
      </c>
      <c r="F151" s="570">
        <f t="shared" si="19"/>
        <v>-16.853360488798362</v>
      </c>
      <c r="G151" s="571">
        <f t="shared" si="21"/>
        <v>3.5163502755664422</v>
      </c>
    </row>
    <row r="152" spans="1:7" ht="16.5" hidden="1" customHeight="1">
      <c r="A152" s="535">
        <v>2008</v>
      </c>
      <c r="B152" s="538" t="s">
        <v>79</v>
      </c>
      <c r="C152" s="573">
        <v>1.9059999999999999</v>
      </c>
      <c r="D152" s="569">
        <f>((C152/C151)-1)*100</f>
        <v>16.717697489283513</v>
      </c>
      <c r="E152" s="569">
        <f t="shared" si="23"/>
        <v>7.6045842036921885</v>
      </c>
      <c r="F152" s="570">
        <f t="shared" si="19"/>
        <v>3.9258451472191869</v>
      </c>
      <c r="G152" s="571">
        <f t="shared" si="21"/>
        <v>3.0126967471143762</v>
      </c>
    </row>
    <row r="153" spans="1:7" ht="16.5" hidden="1" customHeight="1">
      <c r="A153" s="535">
        <v>2008</v>
      </c>
      <c r="B153" s="538" t="s">
        <v>78</v>
      </c>
      <c r="C153" s="573">
        <v>2.1560000000000001</v>
      </c>
      <c r="D153" s="569">
        <f t="shared" si="17"/>
        <v>13.116474291710389</v>
      </c>
      <c r="E153" s="569">
        <f t="shared" si="23"/>
        <v>21.718511827471353</v>
      </c>
      <c r="F153" s="570">
        <f t="shared" si="19"/>
        <v>24.122049510650555</v>
      </c>
      <c r="G153" s="571">
        <f t="shared" si="21"/>
        <v>2.6633580705009279</v>
      </c>
    </row>
    <row r="154" spans="1:7" ht="16.5" hidden="1" customHeight="1">
      <c r="A154" s="535">
        <v>2008</v>
      </c>
      <c r="B154" s="538" t="s">
        <v>68</v>
      </c>
      <c r="C154" s="573">
        <v>2.3149999999999999</v>
      </c>
      <c r="D154" s="569">
        <f t="shared" si="17"/>
        <v>7.3747680890537959</v>
      </c>
      <c r="E154" s="569">
        <f t="shared" si="23"/>
        <v>30.694969796194883</v>
      </c>
      <c r="F154" s="570">
        <f t="shared" si="19"/>
        <v>29.113218070273295</v>
      </c>
      <c r="G154" s="571">
        <f t="shared" si="21"/>
        <v>2.4804319654427647</v>
      </c>
    </row>
    <row r="155" spans="1:7" ht="16.5" hidden="1" customHeight="1">
      <c r="A155" s="535">
        <v>2008</v>
      </c>
      <c r="B155" s="538" t="s">
        <v>69</v>
      </c>
      <c r="C155" s="573">
        <v>2.3330000000000002</v>
      </c>
      <c r="D155" s="569">
        <f t="shared" si="17"/>
        <v>0.77753779697624648</v>
      </c>
      <c r="E155" s="569">
        <f t="shared" si="23"/>
        <v>31.711172585106983</v>
      </c>
      <c r="F155" s="570">
        <f t="shared" si="19"/>
        <v>31.711172585106983</v>
      </c>
      <c r="G155" s="571">
        <f t="shared" si="21"/>
        <v>2.4612944706386628</v>
      </c>
    </row>
    <row r="156" spans="1:7" ht="16.5" hidden="1" customHeight="1">
      <c r="A156" s="535">
        <v>2009</v>
      </c>
      <c r="B156" s="538" t="s">
        <v>70</v>
      </c>
      <c r="C156" s="573">
        <v>2.3140000000000001</v>
      </c>
      <c r="D156" s="569">
        <f t="shared" si="17"/>
        <v>-0.81440205743678051</v>
      </c>
      <c r="E156" s="569">
        <f t="shared" ref="E156:E167" si="24">+((C156/C$155-1)*100)</f>
        <v>-0.81440205743678051</v>
      </c>
      <c r="F156" s="570">
        <f t="shared" si="19"/>
        <v>31.402612152186272</v>
      </c>
      <c r="G156" s="571">
        <f t="shared" si="21"/>
        <v>2.481503889369058</v>
      </c>
    </row>
    <row r="157" spans="1:7" ht="16.5" hidden="1" customHeight="1">
      <c r="A157" s="535">
        <v>2009</v>
      </c>
      <c r="B157" s="538" t="s">
        <v>71</v>
      </c>
      <c r="C157" s="573">
        <v>2.371</v>
      </c>
      <c r="D157" s="569">
        <f t="shared" si="17"/>
        <v>2.4632670700086345</v>
      </c>
      <c r="E157" s="569">
        <f t="shared" si="24"/>
        <v>1.6288041148735388</v>
      </c>
      <c r="F157" s="570">
        <f t="shared" si="19"/>
        <v>40.130023640661939</v>
      </c>
      <c r="G157" s="571">
        <f t="shared" si="21"/>
        <v>2.4218473218051457</v>
      </c>
    </row>
    <row r="158" spans="1:7" ht="16.5" hidden="1" customHeight="1">
      <c r="A158" s="535">
        <v>2009</v>
      </c>
      <c r="B158" s="538" t="s">
        <v>72</v>
      </c>
      <c r="C158" s="573">
        <v>2.3180000000000001</v>
      </c>
      <c r="D158" s="569">
        <f t="shared" si="17"/>
        <v>-2.2353437368199058</v>
      </c>
      <c r="E158" s="569">
        <f t="shared" si="24"/>
        <v>-0.64294899271325479</v>
      </c>
      <c r="F158" s="570">
        <f t="shared" si="19"/>
        <v>32.230462065031396</v>
      </c>
      <c r="G158" s="571">
        <f t="shared" si="21"/>
        <v>2.4772217428817949</v>
      </c>
    </row>
    <row r="159" spans="1:7" ht="16.5" hidden="1" customHeight="1">
      <c r="A159" s="535">
        <v>2009</v>
      </c>
      <c r="B159" s="538" t="s">
        <v>73</v>
      </c>
      <c r="C159" s="573">
        <v>2.1783000000000001</v>
      </c>
      <c r="D159" s="569">
        <f t="shared" si="17"/>
        <v>-6.0267471958584951</v>
      </c>
      <c r="E159" s="569">
        <f t="shared" si="24"/>
        <v>-6.6309472781825978</v>
      </c>
      <c r="F159" s="570">
        <f t="shared" si="19"/>
        <v>30.986169573060728</v>
      </c>
      <c r="G159" s="571">
        <f t="shared" si="21"/>
        <v>2.6360923656062067</v>
      </c>
    </row>
    <row r="160" spans="1:7" ht="16.5" hidden="1" customHeight="1">
      <c r="A160" s="535">
        <v>2009</v>
      </c>
      <c r="B160" s="538" t="s">
        <v>74</v>
      </c>
      <c r="C160" s="573">
        <v>1.9750000000000001</v>
      </c>
      <c r="D160" s="569">
        <f t="shared" si="17"/>
        <v>-9.3329660744617353</v>
      </c>
      <c r="E160" s="569">
        <f t="shared" si="24"/>
        <v>-15.345049292756109</v>
      </c>
      <c r="F160" s="570">
        <f t="shared" si="19"/>
        <v>21.314496314496335</v>
      </c>
      <c r="G160" s="571">
        <f t="shared" ref="G160:G179" si="25">+$C$350/C160</f>
        <v>2.9074430379746836</v>
      </c>
    </row>
    <row r="161" spans="1:7" ht="16.5" hidden="1" customHeight="1">
      <c r="A161" s="535">
        <v>2009</v>
      </c>
      <c r="B161" s="538" t="s">
        <v>75</v>
      </c>
      <c r="C161" s="573">
        <v>1.92</v>
      </c>
      <c r="D161" s="569">
        <f t="shared" ref="D161:D224" si="26">((C161/C160)-1)*100</f>
        <v>-2.7848101265822822</v>
      </c>
      <c r="E161" s="569">
        <f t="shared" si="24"/>
        <v>-17.702528932704688</v>
      </c>
      <c r="F161" s="570">
        <f t="shared" si="19"/>
        <v>20.225422667501558</v>
      </c>
      <c r="G161" s="571">
        <f t="shared" si="25"/>
        <v>2.9907291666666671</v>
      </c>
    </row>
    <row r="162" spans="1:7" ht="16.5" hidden="1" customHeight="1">
      <c r="A162" s="535">
        <v>2009</v>
      </c>
      <c r="B162" s="538" t="s">
        <v>76</v>
      </c>
      <c r="C162" s="573">
        <v>1.8717999999999999</v>
      </c>
      <c r="D162" s="569">
        <f t="shared" si="26"/>
        <v>-2.5104166666666705</v>
      </c>
      <c r="E162" s="569">
        <f t="shared" si="24"/>
        <v>-19.768538362623246</v>
      </c>
      <c r="F162" s="570">
        <f t="shared" si="19"/>
        <v>19.756877799104288</v>
      </c>
      <c r="G162" s="571">
        <f t="shared" si="25"/>
        <v>3.0677422801581371</v>
      </c>
    </row>
    <row r="163" spans="1:7" ht="16.5" hidden="1" customHeight="1">
      <c r="A163" s="535">
        <v>2009</v>
      </c>
      <c r="B163" s="538" t="s">
        <v>77</v>
      </c>
      <c r="C163" s="573">
        <v>1.8864000000000001</v>
      </c>
      <c r="D163" s="569">
        <f t="shared" si="26"/>
        <v>0.77999786301956586</v>
      </c>
      <c r="E163" s="569">
        <f t="shared" si="24"/>
        <v>-19.142734676382346</v>
      </c>
      <c r="F163" s="570">
        <f t="shared" si="19"/>
        <v>15.517452541334965</v>
      </c>
      <c r="G163" s="571">
        <f t="shared" si="25"/>
        <v>3.0439991518235794</v>
      </c>
    </row>
    <row r="164" spans="1:7" ht="16.5" hidden="1" customHeight="1">
      <c r="A164" s="535">
        <v>2009</v>
      </c>
      <c r="B164" s="538" t="s">
        <v>79</v>
      </c>
      <c r="C164" s="573">
        <v>1.7781</v>
      </c>
      <c r="D164" s="569">
        <f t="shared" si="26"/>
        <v>-5.7410941475827038</v>
      </c>
      <c r="E164" s="569">
        <f t="shared" si="24"/>
        <v>-23.784826403771973</v>
      </c>
      <c r="F164" s="570">
        <f t="shared" si="19"/>
        <v>-6.710388247639032</v>
      </c>
      <c r="G164" s="571">
        <f t="shared" si="25"/>
        <v>3.2294021708565324</v>
      </c>
    </row>
    <row r="165" spans="1:7" ht="16.5" hidden="1" customHeight="1">
      <c r="A165" s="535">
        <v>2009</v>
      </c>
      <c r="B165" s="538" t="s">
        <v>78</v>
      </c>
      <c r="C165" s="573">
        <v>1.754</v>
      </c>
      <c r="D165" s="569">
        <f t="shared" si="26"/>
        <v>-1.3553793374950773</v>
      </c>
      <c r="E165" s="569">
        <f t="shared" si="24"/>
        <v>-24.817831118731249</v>
      </c>
      <c r="F165" s="570">
        <f t="shared" si="19"/>
        <v>-18.64564007421151</v>
      </c>
      <c r="G165" s="571">
        <f t="shared" si="25"/>
        <v>3.2737742303306732</v>
      </c>
    </row>
    <row r="166" spans="1:7" ht="16.5" hidden="1" customHeight="1">
      <c r="A166" s="535">
        <v>2009</v>
      </c>
      <c r="B166" s="538" t="s">
        <v>68</v>
      </c>
      <c r="C166" s="573">
        <v>1.7509999999999999</v>
      </c>
      <c r="D166" s="569">
        <f t="shared" si="26"/>
        <v>-0.17103762827822555</v>
      </c>
      <c r="E166" s="569">
        <f t="shared" si="24"/>
        <v>-24.946420917273905</v>
      </c>
      <c r="F166" s="570">
        <f t="shared" si="19"/>
        <v>-24.362850971922246</v>
      </c>
      <c r="G166" s="571">
        <f t="shared" si="25"/>
        <v>3.2793832095945179</v>
      </c>
    </row>
    <row r="167" spans="1:7" ht="16.5" hidden="1" customHeight="1">
      <c r="A167" s="535">
        <v>2009</v>
      </c>
      <c r="B167" s="538" t="s">
        <v>69</v>
      </c>
      <c r="C167" s="573">
        <v>1.7430000000000001</v>
      </c>
      <c r="D167" s="569">
        <f t="shared" si="26"/>
        <v>-0.45688178183893591</v>
      </c>
      <c r="E167" s="569">
        <f t="shared" si="24"/>
        <v>-25.289327046720967</v>
      </c>
      <c r="F167" s="570">
        <f t="shared" si="19"/>
        <v>-25.289327046720967</v>
      </c>
      <c r="G167" s="571">
        <f t="shared" si="25"/>
        <v>3.2944348823866898</v>
      </c>
    </row>
    <row r="168" spans="1:7" ht="16.5" hidden="1" customHeight="1">
      <c r="A168" s="535">
        <v>2010</v>
      </c>
      <c r="B168" s="538" t="s">
        <v>70</v>
      </c>
      <c r="C168" s="573">
        <v>1.8102</v>
      </c>
      <c r="D168" s="569">
        <f t="shared" si="26"/>
        <v>3.8554216867469737</v>
      </c>
      <c r="E168" s="569">
        <f t="shared" ref="E168:E179" si="27">+((C168/C$167-1)*100)</f>
        <v>3.8554216867469737</v>
      </c>
      <c r="F168" s="570">
        <f t="shared" si="19"/>
        <v>-21.771823681936041</v>
      </c>
      <c r="G168" s="571">
        <f t="shared" si="25"/>
        <v>3.1721356756159542</v>
      </c>
    </row>
    <row r="169" spans="1:7" ht="16.5" hidden="1" customHeight="1">
      <c r="A169" s="535">
        <v>2010</v>
      </c>
      <c r="B169" s="538" t="s">
        <v>71</v>
      </c>
      <c r="C169" s="573">
        <v>1.8089999999999999</v>
      </c>
      <c r="D169" s="569">
        <f t="shared" si="26"/>
        <v>-6.6291017567121635E-2</v>
      </c>
      <c r="E169" s="569">
        <f t="shared" si="27"/>
        <v>3.7865748709122071</v>
      </c>
      <c r="F169" s="570">
        <f t="shared" si="19"/>
        <v>-23.703078869675242</v>
      </c>
      <c r="G169" s="571">
        <f t="shared" si="25"/>
        <v>3.1742399115533448</v>
      </c>
    </row>
    <row r="170" spans="1:7" ht="16.5" hidden="1" customHeight="1">
      <c r="A170" s="535">
        <v>2010</v>
      </c>
      <c r="B170" s="538" t="s">
        <v>72</v>
      </c>
      <c r="C170" s="573">
        <v>1.7809999999999999</v>
      </c>
      <c r="D170" s="569">
        <f t="shared" si="26"/>
        <v>-1.5478164731896116</v>
      </c>
      <c r="E170" s="569">
        <f t="shared" si="27"/>
        <v>2.1801491681009644</v>
      </c>
      <c r="F170" s="570">
        <f t="shared" si="19"/>
        <v>-23.166522864538397</v>
      </c>
      <c r="G170" s="571">
        <f t="shared" si="25"/>
        <v>3.2241437394722072</v>
      </c>
    </row>
    <row r="171" spans="1:7" ht="16.5" hidden="1" customHeight="1">
      <c r="A171" s="535">
        <v>2010</v>
      </c>
      <c r="B171" s="538" t="s">
        <v>73</v>
      </c>
      <c r="C171" s="573">
        <v>1.738</v>
      </c>
      <c r="D171" s="569">
        <f t="shared" si="26"/>
        <v>-2.4143739472206605</v>
      </c>
      <c r="E171" s="569">
        <f t="shared" si="27"/>
        <v>-0.28686173264487191</v>
      </c>
      <c r="F171" s="570">
        <f t="shared" si="19"/>
        <v>-20.213010145526333</v>
      </c>
      <c r="G171" s="571">
        <f t="shared" si="25"/>
        <v>3.3039125431530496</v>
      </c>
    </row>
    <row r="172" spans="1:7" ht="16.5" hidden="1" customHeight="1">
      <c r="A172" s="535">
        <v>2010</v>
      </c>
      <c r="B172" s="538" t="s">
        <v>74</v>
      </c>
      <c r="C172" s="573">
        <v>1.8167</v>
      </c>
      <c r="D172" s="569">
        <f t="shared" si="26"/>
        <v>4.528193325661678</v>
      </c>
      <c r="E172" s="569">
        <f t="shared" si="27"/>
        <v>4.2283419391853094</v>
      </c>
      <c r="F172" s="570">
        <f t="shared" ref="F172:F235" si="28">+((C172/C160-1)*100)</f>
        <v>-8.0151898734177269</v>
      </c>
      <c r="G172" s="571">
        <f t="shared" si="25"/>
        <v>3.1607860406231083</v>
      </c>
    </row>
    <row r="173" spans="1:7" ht="16.5" hidden="1" customHeight="1">
      <c r="A173" s="535">
        <v>2010</v>
      </c>
      <c r="B173" s="538" t="s">
        <v>75</v>
      </c>
      <c r="C173" s="573">
        <v>1.804</v>
      </c>
      <c r="D173" s="569">
        <f t="shared" si="26"/>
        <v>-0.69906974183959747</v>
      </c>
      <c r="E173" s="569">
        <f t="shared" si="27"/>
        <v>3.4997131382673574</v>
      </c>
      <c r="F173" s="570">
        <f t="shared" si="28"/>
        <v>-6.0416666666666563</v>
      </c>
      <c r="G173" s="571">
        <f t="shared" si="25"/>
        <v>3.1830376940133038</v>
      </c>
    </row>
    <row r="174" spans="1:7" ht="16.5" hidden="1" customHeight="1">
      <c r="A174" s="535">
        <v>2010</v>
      </c>
      <c r="B174" s="538" t="s">
        <v>76</v>
      </c>
      <c r="C174" s="573">
        <v>1.7572000000000001</v>
      </c>
      <c r="D174" s="569">
        <f t="shared" si="26"/>
        <v>-2.5942350332594177</v>
      </c>
      <c r="E174" s="569">
        <f t="shared" si="27"/>
        <v>0.81468732071141581</v>
      </c>
      <c r="F174" s="570">
        <f t="shared" si="28"/>
        <v>-6.122448979591832</v>
      </c>
      <c r="G174" s="571">
        <f t="shared" si="25"/>
        <v>3.2678124288641022</v>
      </c>
    </row>
    <row r="175" spans="1:7" ht="16.5" hidden="1" customHeight="1">
      <c r="A175" s="535">
        <v>2010</v>
      </c>
      <c r="B175" s="538" t="s">
        <v>77</v>
      </c>
      <c r="C175" s="573">
        <v>1.756</v>
      </c>
      <c r="D175" s="569">
        <f t="shared" si="26"/>
        <v>-6.8290462098796745E-2</v>
      </c>
      <c r="E175" s="569">
        <f t="shared" si="27"/>
        <v>0.74584050487664921</v>
      </c>
      <c r="F175" s="570">
        <f t="shared" si="28"/>
        <v>-6.9126378286683661</v>
      </c>
      <c r="G175" s="571">
        <f t="shared" si="25"/>
        <v>3.2700455580865606</v>
      </c>
    </row>
    <row r="176" spans="1:7" ht="16.5" hidden="1" customHeight="1">
      <c r="A176" s="535">
        <v>2010</v>
      </c>
      <c r="B176" s="538" t="s">
        <v>79</v>
      </c>
      <c r="C176" s="573">
        <v>1.6941999999999999</v>
      </c>
      <c r="D176" s="569">
        <f t="shared" si="26"/>
        <v>-3.5193621867881553</v>
      </c>
      <c r="E176" s="569">
        <f t="shared" si="27"/>
        <v>-2.799770510613897</v>
      </c>
      <c r="F176" s="570">
        <f t="shared" si="28"/>
        <v>-4.7185197682920066</v>
      </c>
      <c r="G176" s="571">
        <f t="shared" si="25"/>
        <v>3.3893282965411409</v>
      </c>
    </row>
    <row r="177" spans="1:7" ht="16.5" hidden="1" customHeight="1">
      <c r="A177" s="535">
        <v>2010</v>
      </c>
      <c r="B177" s="538" t="s">
        <v>78</v>
      </c>
      <c r="C177" s="573">
        <v>1.7030000000000001</v>
      </c>
      <c r="D177" s="569">
        <f t="shared" si="26"/>
        <v>0.51941919490026134</v>
      </c>
      <c r="E177" s="569">
        <f t="shared" si="27"/>
        <v>-2.2948938611589198</v>
      </c>
      <c r="F177" s="570">
        <f t="shared" si="28"/>
        <v>-2.9076396807297566</v>
      </c>
      <c r="G177" s="571">
        <f t="shared" si="25"/>
        <v>3.3718144450968879</v>
      </c>
    </row>
    <row r="178" spans="1:7" ht="16.5" hidden="1" customHeight="1">
      <c r="A178" s="535">
        <v>2010</v>
      </c>
      <c r="B178" s="538" t="s">
        <v>66</v>
      </c>
      <c r="C178" s="573">
        <v>1.7161</v>
      </c>
      <c r="D178" s="569">
        <f t="shared" si="26"/>
        <v>0.7692307692307665</v>
      </c>
      <c r="E178" s="569">
        <f t="shared" si="27"/>
        <v>-1.5433161216293789</v>
      </c>
      <c r="F178" s="570">
        <f t="shared" si="28"/>
        <v>-1.993146773272414</v>
      </c>
      <c r="G178" s="571">
        <f t="shared" si="25"/>
        <v>3.346075403531263</v>
      </c>
    </row>
    <row r="179" spans="1:7" ht="16.5" hidden="1" customHeight="1">
      <c r="A179" s="535">
        <v>2010</v>
      </c>
      <c r="B179" s="538" t="s">
        <v>55</v>
      </c>
      <c r="C179" s="573">
        <v>1.649</v>
      </c>
      <c r="D179" s="569">
        <f t="shared" si="26"/>
        <v>-3.9100285531146195</v>
      </c>
      <c r="E179" s="569">
        <f t="shared" si="27"/>
        <v>-5.3930005737234721</v>
      </c>
      <c r="F179" s="570">
        <f t="shared" si="28"/>
        <v>-5.3930005737234721</v>
      </c>
      <c r="G179" s="571">
        <f t="shared" si="25"/>
        <v>3.4822316555488175</v>
      </c>
    </row>
    <row r="180" spans="1:7" ht="16.5" customHeight="1">
      <c r="A180" s="541">
        <v>2011</v>
      </c>
      <c r="B180" s="542" t="s">
        <v>56</v>
      </c>
      <c r="C180" s="574">
        <v>1.6719999999999999</v>
      </c>
      <c r="D180" s="575">
        <f t="shared" si="26"/>
        <v>1.3947847180109108</v>
      </c>
      <c r="E180" s="575">
        <f>+((C180/C$179-1)*100)</f>
        <v>1.3947847180109108</v>
      </c>
      <c r="F180" s="576">
        <f t="shared" si="28"/>
        <v>-7.6345155231466233</v>
      </c>
      <c r="G180" s="577">
        <f t="shared" ref="G180:G211" si="29">+$C$364/C180</f>
        <v>3.0244617224880384</v>
      </c>
    </row>
    <row r="181" spans="1:7" ht="16.5" customHeight="1">
      <c r="A181" s="545">
        <v>2011</v>
      </c>
      <c r="B181" s="546" t="s">
        <v>57</v>
      </c>
      <c r="C181" s="578">
        <v>1.663</v>
      </c>
      <c r="D181" s="579">
        <f t="shared" si="26"/>
        <v>-0.53827751196171558</v>
      </c>
      <c r="E181" s="579">
        <f t="shared" ref="E181:E191" si="30">+((C181/C$179-1)*100)</f>
        <v>0.84899939357185872</v>
      </c>
      <c r="F181" s="580">
        <f t="shared" si="28"/>
        <v>-8.0707573244886639</v>
      </c>
      <c r="G181" s="581">
        <f t="shared" si="29"/>
        <v>3.0408298256163557</v>
      </c>
    </row>
    <row r="182" spans="1:7" ht="16.5" customHeight="1">
      <c r="A182" s="545">
        <v>2011</v>
      </c>
      <c r="B182" s="546" t="s">
        <v>58</v>
      </c>
      <c r="C182" s="578">
        <v>1.629</v>
      </c>
      <c r="D182" s="579">
        <f t="shared" si="26"/>
        <v>-2.0444978953698123</v>
      </c>
      <c r="E182" s="579">
        <f t="shared" si="30"/>
        <v>-1.2128562765312267</v>
      </c>
      <c r="F182" s="580">
        <f t="shared" si="28"/>
        <v>-8.5345311622683884</v>
      </c>
      <c r="G182" s="581">
        <f t="shared" si="29"/>
        <v>3.1042971147943521</v>
      </c>
    </row>
    <row r="183" spans="1:7" ht="16.5" customHeight="1">
      <c r="A183" s="545">
        <v>2011</v>
      </c>
      <c r="B183" s="546" t="s">
        <v>59</v>
      </c>
      <c r="C183" s="578">
        <v>1.571</v>
      </c>
      <c r="D183" s="579">
        <f t="shared" si="26"/>
        <v>-3.5604665438919603</v>
      </c>
      <c r="E183" s="579">
        <f t="shared" si="30"/>
        <v>-4.7301394784718065</v>
      </c>
      <c r="F183" s="580">
        <f t="shared" si="28"/>
        <v>-9.6087456846950516</v>
      </c>
      <c r="G183" s="581">
        <f t="shared" si="29"/>
        <v>3.2189051559516231</v>
      </c>
    </row>
    <row r="184" spans="1:7" ht="16.5" customHeight="1">
      <c r="A184" s="545">
        <v>2011</v>
      </c>
      <c r="B184" s="546" t="s">
        <v>60</v>
      </c>
      <c r="C184" s="578">
        <v>1.58</v>
      </c>
      <c r="D184" s="579">
        <f t="shared" si="26"/>
        <v>0.57288351368556256</v>
      </c>
      <c r="E184" s="579">
        <f t="shared" si="30"/>
        <v>-4.1843541540327429</v>
      </c>
      <c r="F184" s="580">
        <f t="shared" si="28"/>
        <v>-13.029118731766387</v>
      </c>
      <c r="G184" s="581">
        <f t="shared" si="29"/>
        <v>3.2005696202531642</v>
      </c>
    </row>
    <row r="185" spans="1:7" ht="16.5" customHeight="1">
      <c r="A185" s="545">
        <v>2011</v>
      </c>
      <c r="B185" s="546" t="s">
        <v>61</v>
      </c>
      <c r="C185" s="578">
        <v>1.5590999999999999</v>
      </c>
      <c r="D185" s="579">
        <f t="shared" si="26"/>
        <v>-1.3227848101265871</v>
      </c>
      <c r="E185" s="579">
        <f t="shared" si="30"/>
        <v>-5.4517889630078864</v>
      </c>
      <c r="F185" s="580">
        <f t="shared" si="28"/>
        <v>-13.575388026607548</v>
      </c>
      <c r="G185" s="581">
        <f t="shared" si="29"/>
        <v>3.2434737989865949</v>
      </c>
    </row>
    <row r="186" spans="1:7" ht="16.5" customHeight="1">
      <c r="A186" s="545">
        <v>2011</v>
      </c>
      <c r="B186" s="546" t="s">
        <v>62</v>
      </c>
      <c r="C186" s="578">
        <v>1.554</v>
      </c>
      <c r="D186" s="579">
        <f t="shared" si="26"/>
        <v>-0.32711179526648815</v>
      </c>
      <c r="E186" s="579">
        <f t="shared" si="30"/>
        <v>-5.7610673135233492</v>
      </c>
      <c r="F186" s="580">
        <f t="shared" si="28"/>
        <v>-11.563851582062378</v>
      </c>
      <c r="G186" s="581">
        <f t="shared" si="29"/>
        <v>3.2541184041184037</v>
      </c>
    </row>
    <row r="187" spans="1:7" ht="16.5" customHeight="1">
      <c r="A187" s="545">
        <v>2011</v>
      </c>
      <c r="B187" s="546" t="s">
        <v>77</v>
      </c>
      <c r="C187" s="578">
        <v>1.5871999999999999</v>
      </c>
      <c r="D187" s="579">
        <f t="shared" si="26"/>
        <v>2.1364221364221336</v>
      </c>
      <c r="E187" s="579">
        <f t="shared" si="30"/>
        <v>-3.7477258944815128</v>
      </c>
      <c r="F187" s="580">
        <f t="shared" si="28"/>
        <v>-9.6127562642369107</v>
      </c>
      <c r="G187" s="581">
        <f t="shared" si="29"/>
        <v>3.1860509072580645</v>
      </c>
    </row>
    <row r="188" spans="1:7" ht="16.5" customHeight="1">
      <c r="A188" s="545">
        <v>2011</v>
      </c>
      <c r="B188" s="546" t="s">
        <v>79</v>
      </c>
      <c r="C188" s="578">
        <v>1.8544</v>
      </c>
      <c r="D188" s="579">
        <f t="shared" si="26"/>
        <v>16.834677419354847</v>
      </c>
      <c r="E188" s="579">
        <f t="shared" si="30"/>
        <v>12.456033959975743</v>
      </c>
      <c r="F188" s="580">
        <f t="shared" si="28"/>
        <v>9.4557903435249724</v>
      </c>
      <c r="G188" s="581">
        <f t="shared" si="29"/>
        <v>2.7269736842105261</v>
      </c>
    </row>
    <row r="189" spans="1:7" ht="16.5" customHeight="1">
      <c r="A189" s="545">
        <v>2011</v>
      </c>
      <c r="B189" s="546" t="s">
        <v>78</v>
      </c>
      <c r="C189" s="578">
        <v>1.6884999999999999</v>
      </c>
      <c r="D189" s="579">
        <f t="shared" si="26"/>
        <v>-8.9462899050905982</v>
      </c>
      <c r="E189" s="579">
        <f t="shared" si="30"/>
        <v>2.3953911461491728</v>
      </c>
      <c r="F189" s="580">
        <f t="shared" si="28"/>
        <v>-0.85143863769818751</v>
      </c>
      <c r="G189" s="581">
        <f t="shared" si="29"/>
        <v>2.9949067219425527</v>
      </c>
    </row>
    <row r="190" spans="1:7" ht="16.5" customHeight="1">
      <c r="A190" s="545">
        <v>2011</v>
      </c>
      <c r="B190" s="546" t="s">
        <v>68</v>
      </c>
      <c r="C190" s="578">
        <v>1.8109</v>
      </c>
      <c r="D190" s="579">
        <f t="shared" si="26"/>
        <v>7.2490376073438112</v>
      </c>
      <c r="E190" s="579">
        <f t="shared" si="30"/>
        <v>9.8180715585203018</v>
      </c>
      <c r="F190" s="580">
        <f t="shared" si="28"/>
        <v>5.524153604102322</v>
      </c>
      <c r="G190" s="581">
        <f t="shared" si="29"/>
        <v>2.7924788779060137</v>
      </c>
    </row>
    <row r="191" spans="1:7" ht="16.5" customHeight="1">
      <c r="A191" s="545">
        <v>2011</v>
      </c>
      <c r="B191" s="546" t="s">
        <v>69</v>
      </c>
      <c r="C191" s="578">
        <v>1.8757999999999999</v>
      </c>
      <c r="D191" s="579">
        <f t="shared" si="26"/>
        <v>3.5838533325970534</v>
      </c>
      <c r="E191" s="579">
        <f t="shared" si="30"/>
        <v>13.753790175864156</v>
      </c>
      <c r="F191" s="580">
        <f t="shared" si="28"/>
        <v>13.753790175864156</v>
      </c>
      <c r="G191" s="581">
        <f t="shared" si="29"/>
        <v>2.6958630984113445</v>
      </c>
    </row>
    <row r="192" spans="1:7" ht="16.5" customHeight="1">
      <c r="A192" s="545">
        <f>2012</f>
        <v>2012</v>
      </c>
      <c r="B192" s="546" t="s">
        <v>70</v>
      </c>
      <c r="C192" s="578">
        <v>1.7391000000000001</v>
      </c>
      <c r="D192" s="579">
        <f t="shared" si="26"/>
        <v>-7.2875573088815315</v>
      </c>
      <c r="E192" s="579">
        <f t="shared" ref="E192:E203" si="31">+((C192/C$191-1)*100)</f>
        <v>-7.2875573088815315</v>
      </c>
      <c r="F192" s="580">
        <f t="shared" si="28"/>
        <v>4.0131578947368629</v>
      </c>
      <c r="G192" s="581">
        <f t="shared" si="29"/>
        <v>2.9077683859467536</v>
      </c>
    </row>
    <row r="193" spans="1:7" ht="16.5" customHeight="1">
      <c r="A193" s="545">
        <f>2012</f>
        <v>2012</v>
      </c>
      <c r="B193" s="546" t="s">
        <v>71</v>
      </c>
      <c r="C193" s="578">
        <v>1.7092000000000001</v>
      </c>
      <c r="D193" s="579">
        <f t="shared" si="26"/>
        <v>-1.7192800874015313</v>
      </c>
      <c r="E193" s="579">
        <f t="shared" si="31"/>
        <v>-8.8815438746134951</v>
      </c>
      <c r="F193" s="580">
        <f t="shared" si="28"/>
        <v>2.7781118460613374</v>
      </c>
      <c r="G193" s="581">
        <f t="shared" si="29"/>
        <v>2.9586356190030423</v>
      </c>
    </row>
    <row r="194" spans="1:7" ht="16.5" customHeight="1">
      <c r="A194" s="545">
        <f>2012</f>
        <v>2012</v>
      </c>
      <c r="B194" s="546" t="s">
        <v>72</v>
      </c>
      <c r="C194" s="578">
        <v>1.8221000000000001</v>
      </c>
      <c r="D194" s="579">
        <f t="shared" si="26"/>
        <v>6.6054294406739933</v>
      </c>
      <c r="E194" s="579">
        <f t="shared" si="31"/>
        <v>-2.8627785478195888</v>
      </c>
      <c r="F194" s="580">
        <f t="shared" si="28"/>
        <v>11.853898096992022</v>
      </c>
      <c r="G194" s="581">
        <f t="shared" si="29"/>
        <v>2.7753141979035179</v>
      </c>
    </row>
    <row r="195" spans="1:7" ht="16.5" customHeight="1">
      <c r="A195" s="545">
        <f>2012</f>
        <v>2012</v>
      </c>
      <c r="B195" s="546" t="s">
        <v>73</v>
      </c>
      <c r="C195" s="578">
        <v>1.8917999999999999</v>
      </c>
      <c r="D195" s="579">
        <f t="shared" si="26"/>
        <v>3.8252565720871434</v>
      </c>
      <c r="E195" s="579">
        <f t="shared" si="31"/>
        <v>0.85296939972279162</v>
      </c>
      <c r="F195" s="580">
        <f t="shared" si="28"/>
        <v>20.420114576702741</v>
      </c>
      <c r="G195" s="581">
        <f t="shared" si="29"/>
        <v>2.6730626916164497</v>
      </c>
    </row>
    <row r="196" spans="1:7" ht="16.5" customHeight="1">
      <c r="A196" s="545">
        <f>2012</f>
        <v>2012</v>
      </c>
      <c r="B196" s="546" t="s">
        <v>74</v>
      </c>
      <c r="C196" s="578">
        <v>2.0223</v>
      </c>
      <c r="D196" s="579">
        <f t="shared" si="26"/>
        <v>6.8981921979067495</v>
      </c>
      <c r="E196" s="579">
        <f t="shared" si="31"/>
        <v>7.8100010662117469</v>
      </c>
      <c r="F196" s="580">
        <f t="shared" si="28"/>
        <v>27.99367088607594</v>
      </c>
      <c r="G196" s="581">
        <f t="shared" si="29"/>
        <v>2.5005686594471639</v>
      </c>
    </row>
    <row r="197" spans="1:7" ht="16.5" customHeight="1">
      <c r="A197" s="545">
        <f>2012</f>
        <v>2012</v>
      </c>
      <c r="B197" s="546" t="s">
        <v>75</v>
      </c>
      <c r="C197" s="578">
        <v>2.0213000000000001</v>
      </c>
      <c r="D197" s="579">
        <f t="shared" si="26"/>
        <v>-4.9448647579486416E-2</v>
      </c>
      <c r="E197" s="579">
        <f t="shared" si="31"/>
        <v>7.7566904787290891</v>
      </c>
      <c r="F197" s="580">
        <f t="shared" si="28"/>
        <v>29.64530819062281</v>
      </c>
      <c r="G197" s="581">
        <f t="shared" si="29"/>
        <v>2.5018057685647848</v>
      </c>
    </row>
    <row r="198" spans="1:7" ht="16.5" customHeight="1">
      <c r="A198" s="545">
        <f>2012</f>
        <v>2012</v>
      </c>
      <c r="B198" s="546" t="s">
        <v>76</v>
      </c>
      <c r="C198" s="578">
        <v>2.0499000000000001</v>
      </c>
      <c r="D198" s="579">
        <f t="shared" si="26"/>
        <v>1.4149309850096436</v>
      </c>
      <c r="E198" s="579">
        <f t="shared" si="31"/>
        <v>9.2813732807335505</v>
      </c>
      <c r="F198" s="580">
        <f t="shared" si="28"/>
        <v>31.911196911196903</v>
      </c>
      <c r="G198" s="581">
        <f t="shared" si="29"/>
        <v>2.4669008244304598</v>
      </c>
    </row>
    <row r="199" spans="1:7" ht="16.5" customHeight="1">
      <c r="A199" s="545">
        <f>2012</f>
        <v>2012</v>
      </c>
      <c r="B199" s="546" t="s">
        <v>77</v>
      </c>
      <c r="C199" s="578">
        <v>2.0371999999999999</v>
      </c>
      <c r="D199" s="579">
        <f t="shared" si="26"/>
        <v>-0.61954241670325594</v>
      </c>
      <c r="E199" s="579">
        <f t="shared" si="31"/>
        <v>8.6043288197035892</v>
      </c>
      <c r="F199" s="580">
        <f t="shared" si="28"/>
        <v>28.351814516129025</v>
      </c>
      <c r="G199" s="581">
        <f t="shared" si="29"/>
        <v>2.4822795994502256</v>
      </c>
    </row>
    <row r="200" spans="1:7" ht="16.5" customHeight="1">
      <c r="A200" s="545">
        <f>2012</f>
        <v>2012</v>
      </c>
      <c r="B200" s="546" t="s">
        <v>79</v>
      </c>
      <c r="C200" s="578">
        <v>2.0280789473684213</v>
      </c>
      <c r="D200" s="579">
        <f t="shared" si="26"/>
        <v>-0.44772494755441761</v>
      </c>
      <c r="E200" s="579">
        <f t="shared" si="31"/>
        <v>8.1180801454537423</v>
      </c>
      <c r="F200" s="580">
        <f t="shared" si="28"/>
        <v>9.3657758503246988</v>
      </c>
      <c r="G200" s="581">
        <f t="shared" si="29"/>
        <v>2.4934433674594829</v>
      </c>
    </row>
    <row r="201" spans="1:7" ht="16.5" customHeight="1">
      <c r="A201" s="545">
        <f>2012</f>
        <v>2012</v>
      </c>
      <c r="B201" s="546" t="s">
        <v>78</v>
      </c>
      <c r="C201" s="578">
        <v>2.0298454545454545</v>
      </c>
      <c r="D201" s="579">
        <f t="shared" si="26"/>
        <v>8.7102485794510187E-2</v>
      </c>
      <c r="E201" s="579">
        <f t="shared" si="31"/>
        <v>8.2122536808537419</v>
      </c>
      <c r="F201" s="580">
        <f t="shared" si="28"/>
        <v>20.215898995881233</v>
      </c>
      <c r="G201" s="581">
        <f t="shared" si="29"/>
        <v>2.4912734063945754</v>
      </c>
    </row>
    <row r="202" spans="1:7" ht="16.5" customHeight="1">
      <c r="A202" s="545">
        <f>2012</f>
        <v>2012</v>
      </c>
      <c r="B202" s="546" t="s">
        <v>68</v>
      </c>
      <c r="C202" s="578">
        <v>2.1074000000000002</v>
      </c>
      <c r="D202" s="579">
        <f t="shared" si="26"/>
        <v>3.8207118320696232</v>
      </c>
      <c r="E202" s="579">
        <f t="shared" si="31"/>
        <v>12.346732060987332</v>
      </c>
      <c r="F202" s="580">
        <f t="shared" si="28"/>
        <v>16.373074162018895</v>
      </c>
      <c r="G202" s="581">
        <f t="shared" si="29"/>
        <v>2.3995919142070794</v>
      </c>
    </row>
    <row r="203" spans="1:7" ht="16.5" customHeight="1">
      <c r="A203" s="545">
        <f>2012</f>
        <v>2012</v>
      </c>
      <c r="B203" s="546" t="s">
        <v>69</v>
      </c>
      <c r="C203" s="578">
        <v>2.0434999999999999</v>
      </c>
      <c r="D203" s="579">
        <f t="shared" si="26"/>
        <v>-3.0321723450697724</v>
      </c>
      <c r="E203" s="579">
        <f t="shared" si="31"/>
        <v>8.9401855208444339</v>
      </c>
      <c r="F203" s="580">
        <f t="shared" si="28"/>
        <v>8.9401855208444339</v>
      </c>
      <c r="G203" s="581">
        <f t="shared" si="29"/>
        <v>2.4746268656716417</v>
      </c>
    </row>
    <row r="204" spans="1:7" ht="16.5" customHeight="1">
      <c r="A204" s="545">
        <f>2013</f>
        <v>2013</v>
      </c>
      <c r="B204" s="546" t="s">
        <v>70</v>
      </c>
      <c r="C204" s="578">
        <v>1.9883</v>
      </c>
      <c r="D204" s="579">
        <f t="shared" si="26"/>
        <v>-2.7012478590653255</v>
      </c>
      <c r="E204" s="579">
        <f t="shared" ref="E204:E215" si="32">+((C204/C$203-1)*100)</f>
        <v>-2.7012478590653255</v>
      </c>
      <c r="F204" s="580">
        <f t="shared" si="28"/>
        <v>14.329250761888336</v>
      </c>
      <c r="G204" s="581">
        <f t="shared" si="29"/>
        <v>2.5433284715586177</v>
      </c>
    </row>
    <row r="205" spans="1:7" ht="16.5" customHeight="1">
      <c r="A205" s="545">
        <f>2013</f>
        <v>2013</v>
      </c>
      <c r="B205" s="546" t="s">
        <v>71</v>
      </c>
      <c r="C205" s="578">
        <v>1.9754</v>
      </c>
      <c r="D205" s="579">
        <f t="shared" si="26"/>
        <v>-0.64879545340239542</v>
      </c>
      <c r="E205" s="579">
        <f t="shared" si="32"/>
        <v>-3.3325177391729799</v>
      </c>
      <c r="F205" s="580">
        <f t="shared" si="28"/>
        <v>15.574537795459854</v>
      </c>
      <c r="G205" s="581">
        <f t="shared" si="29"/>
        <v>2.5599372279032093</v>
      </c>
    </row>
    <row r="206" spans="1:7" ht="16.5" customHeight="1">
      <c r="A206" s="545">
        <f>2013</f>
        <v>2013</v>
      </c>
      <c r="B206" s="546" t="s">
        <v>72</v>
      </c>
      <c r="C206" s="578">
        <v>2.0137999999999998</v>
      </c>
      <c r="D206" s="579">
        <f t="shared" si="26"/>
        <v>1.94391009415813</v>
      </c>
      <c r="E206" s="579">
        <f t="shared" si="32"/>
        <v>-1.4533887937362433</v>
      </c>
      <c r="F206" s="580">
        <f t="shared" si="28"/>
        <v>10.52082761648645</v>
      </c>
      <c r="G206" s="581">
        <f t="shared" si="29"/>
        <v>2.5111232495779126</v>
      </c>
    </row>
    <row r="207" spans="1:7" ht="16.5" customHeight="1">
      <c r="A207" s="545">
        <f>2013</f>
        <v>2013</v>
      </c>
      <c r="B207" s="546" t="s">
        <v>73</v>
      </c>
      <c r="C207" s="578">
        <v>2.0017</v>
      </c>
      <c r="D207" s="579">
        <f t="shared" si="26"/>
        <v>-0.60085410666400607</v>
      </c>
      <c r="E207" s="579">
        <f t="shared" si="32"/>
        <v>-2.0455101541472898</v>
      </c>
      <c r="F207" s="580">
        <f t="shared" si="28"/>
        <v>5.8092821651337445</v>
      </c>
      <c r="G207" s="581">
        <f t="shared" si="29"/>
        <v>2.526302642753659</v>
      </c>
    </row>
    <row r="208" spans="1:7" ht="16.5" customHeight="1">
      <c r="A208" s="545">
        <f>2013</f>
        <v>2013</v>
      </c>
      <c r="B208" s="546" t="s">
        <v>74</v>
      </c>
      <c r="C208" s="578">
        <v>2.1318999999999999</v>
      </c>
      <c r="D208" s="579">
        <f t="shared" si="26"/>
        <v>6.5044711994804327</v>
      </c>
      <c r="E208" s="579">
        <f t="shared" si="32"/>
        <v>4.3259114264741827</v>
      </c>
      <c r="F208" s="580">
        <f t="shared" si="28"/>
        <v>5.419571774711951</v>
      </c>
      <c r="G208" s="581">
        <f t="shared" si="29"/>
        <v>2.3720155729630847</v>
      </c>
    </row>
    <row r="209" spans="1:7" ht="16.5" customHeight="1">
      <c r="A209" s="545">
        <f>2013</f>
        <v>2013</v>
      </c>
      <c r="B209" s="546" t="s">
        <v>75</v>
      </c>
      <c r="C209" s="578">
        <v>2.2155999999999998</v>
      </c>
      <c r="D209" s="579">
        <f t="shared" si="26"/>
        <v>3.9260753318635988</v>
      </c>
      <c r="E209" s="579">
        <f t="shared" si="32"/>
        <v>8.4218252997308554</v>
      </c>
      <c r="F209" s="580">
        <f t="shared" si="28"/>
        <v>9.6126255380200689</v>
      </c>
      <c r="G209" s="581">
        <f t="shared" si="29"/>
        <v>2.2824065715833184</v>
      </c>
    </row>
    <row r="210" spans="1:7" ht="16.5" customHeight="1">
      <c r="A210" s="545">
        <f>2013</f>
        <v>2013</v>
      </c>
      <c r="B210" s="546" t="s">
        <v>76</v>
      </c>
      <c r="C210" s="578">
        <v>2.2902999999999998</v>
      </c>
      <c r="D210" s="579">
        <f t="shared" si="26"/>
        <v>3.3715472106878419</v>
      </c>
      <c r="E210" s="579">
        <f t="shared" si="32"/>
        <v>12.077318326400777</v>
      </c>
      <c r="F210" s="580">
        <f t="shared" si="28"/>
        <v>11.727401336650555</v>
      </c>
      <c r="G210" s="581">
        <f t="shared" si="29"/>
        <v>2.2079640221805006</v>
      </c>
    </row>
    <row r="211" spans="1:7" ht="16.5" customHeight="1">
      <c r="A211" s="545">
        <f>2013</f>
        <v>2013</v>
      </c>
      <c r="B211" s="546" t="s">
        <v>77</v>
      </c>
      <c r="C211" s="578">
        <v>2.3725000000000001</v>
      </c>
      <c r="D211" s="579">
        <f t="shared" si="26"/>
        <v>3.589049469501826</v>
      </c>
      <c r="E211" s="579">
        <f t="shared" si="32"/>
        <v>16.099828725226327</v>
      </c>
      <c r="F211" s="580">
        <f t="shared" si="28"/>
        <v>16.458865108973121</v>
      </c>
      <c r="G211" s="581">
        <f t="shared" si="29"/>
        <v>2.1314646996838778</v>
      </c>
    </row>
    <row r="212" spans="1:7" ht="16.5" customHeight="1">
      <c r="A212" s="545">
        <f>2013</f>
        <v>2013</v>
      </c>
      <c r="B212" s="546" t="s">
        <v>79</v>
      </c>
      <c r="C212" s="578">
        <v>2.23</v>
      </c>
      <c r="D212" s="579">
        <f t="shared" si="26"/>
        <v>-6.006322444678613</v>
      </c>
      <c r="E212" s="579">
        <f t="shared" si="32"/>
        <v>9.1264986542696427</v>
      </c>
      <c r="F212" s="580">
        <f t="shared" si="28"/>
        <v>9.9562718154333041</v>
      </c>
      <c r="G212" s="581">
        <f t="shared" ref="G212:G243" si="33">+$C$364/C212</f>
        <v>2.2676681614349774</v>
      </c>
    </row>
    <row r="213" spans="1:7" ht="16.5" customHeight="1">
      <c r="A213" s="545">
        <f>2013</f>
        <v>2013</v>
      </c>
      <c r="B213" s="546" t="s">
        <v>78</v>
      </c>
      <c r="C213" s="578">
        <v>2.2025999999999999</v>
      </c>
      <c r="D213" s="579">
        <f t="shared" si="26"/>
        <v>-1.228699551569512</v>
      </c>
      <c r="E213" s="579">
        <f t="shared" si="32"/>
        <v>7.7856618546611189</v>
      </c>
      <c r="F213" s="580">
        <f t="shared" si="28"/>
        <v>8.5107240587057653</v>
      </c>
      <c r="G213" s="581">
        <f t="shared" si="33"/>
        <v>2.2958775992009444</v>
      </c>
    </row>
    <row r="214" spans="1:7" ht="16.5" customHeight="1">
      <c r="A214" s="545">
        <f>2013</f>
        <v>2013</v>
      </c>
      <c r="B214" s="546" t="s">
        <v>68</v>
      </c>
      <c r="C214" s="578">
        <v>2.3249</v>
      </c>
      <c r="D214" s="579">
        <f t="shared" si="26"/>
        <v>5.5525288295650732</v>
      </c>
      <c r="E214" s="579">
        <f t="shared" si="32"/>
        <v>13.770491803278695</v>
      </c>
      <c r="F214" s="580">
        <f t="shared" si="28"/>
        <v>10.320774413969813</v>
      </c>
      <c r="G214" s="581">
        <f t="shared" si="33"/>
        <v>2.1751043055615296</v>
      </c>
    </row>
    <row r="215" spans="1:7" ht="16.5" customHeight="1">
      <c r="A215" s="545">
        <f>2013</f>
        <v>2013</v>
      </c>
      <c r="B215" s="546" t="s">
        <v>55</v>
      </c>
      <c r="C215" s="578">
        <v>2.3426</v>
      </c>
      <c r="D215" s="579">
        <f t="shared" si="26"/>
        <v>0.76132306765883673</v>
      </c>
      <c r="E215" s="579">
        <f t="shared" si="32"/>
        <v>14.636652801565941</v>
      </c>
      <c r="F215" s="580">
        <f t="shared" si="28"/>
        <v>14.636652801565941</v>
      </c>
      <c r="G215" s="581">
        <f t="shared" si="33"/>
        <v>2.1586698540083669</v>
      </c>
    </row>
    <row r="216" spans="1:7" ht="16.5" customHeight="1">
      <c r="A216" s="545">
        <f>2014</f>
        <v>2014</v>
      </c>
      <c r="B216" s="546" t="s">
        <v>56</v>
      </c>
      <c r="C216" s="578">
        <v>2.4262999999999999</v>
      </c>
      <c r="D216" s="579">
        <f t="shared" si="26"/>
        <v>3.5729531290019656</v>
      </c>
      <c r="E216" s="579">
        <f t="shared" ref="E216:E227" si="34">+((C216/C$215-1)*100)</f>
        <v>3.5729531290019656</v>
      </c>
      <c r="F216" s="580">
        <f t="shared" si="28"/>
        <v>22.028868882965334</v>
      </c>
      <c r="G216" s="581">
        <f t="shared" si="33"/>
        <v>2.0842022833120391</v>
      </c>
    </row>
    <row r="217" spans="1:7" ht="16.5" customHeight="1">
      <c r="A217" s="545">
        <f>2014</f>
        <v>2014</v>
      </c>
      <c r="B217" s="546" t="s">
        <v>57</v>
      </c>
      <c r="C217" s="578">
        <v>2.3334000000000001</v>
      </c>
      <c r="D217" s="579">
        <f t="shared" si="26"/>
        <v>-3.8288752421382299</v>
      </c>
      <c r="E217" s="579">
        <f t="shared" si="34"/>
        <v>-0.39272603090582114</v>
      </c>
      <c r="F217" s="580">
        <f t="shared" si="28"/>
        <v>18.122911815328546</v>
      </c>
      <c r="G217" s="581">
        <f t="shared" si="33"/>
        <v>2.1671809376874944</v>
      </c>
    </row>
    <row r="218" spans="1:7" ht="16.5" customHeight="1">
      <c r="A218" s="545">
        <f>2014</f>
        <v>2014</v>
      </c>
      <c r="B218" s="546" t="s">
        <v>58</v>
      </c>
      <c r="C218" s="578">
        <v>2.2629999999999999</v>
      </c>
      <c r="D218" s="579">
        <f t="shared" si="26"/>
        <v>-3.0170566555241418</v>
      </c>
      <c r="E218" s="579">
        <f t="shared" si="34"/>
        <v>-3.3979339195765457</v>
      </c>
      <c r="F218" s="580">
        <f t="shared" si="28"/>
        <v>12.374615155427549</v>
      </c>
      <c r="G218" s="581">
        <f t="shared" si="33"/>
        <v>2.2346000883782589</v>
      </c>
    </row>
    <row r="219" spans="1:7" ht="16.5" customHeight="1">
      <c r="A219" s="545">
        <f>2014</f>
        <v>2014</v>
      </c>
      <c r="B219" s="546" t="s">
        <v>59</v>
      </c>
      <c r="C219" s="578">
        <v>2.2360000000000002</v>
      </c>
      <c r="D219" s="579">
        <f t="shared" si="26"/>
        <v>-1.193106495802021</v>
      </c>
      <c r="E219" s="579">
        <f t="shared" si="34"/>
        <v>-4.5504994450610408</v>
      </c>
      <c r="F219" s="580">
        <f t="shared" si="28"/>
        <v>11.705050706899133</v>
      </c>
      <c r="G219" s="581">
        <f t="shared" si="33"/>
        <v>2.2615831842576024</v>
      </c>
    </row>
    <row r="220" spans="1:7" ht="16.5" customHeight="1">
      <c r="A220" s="545">
        <f>2014</f>
        <v>2014</v>
      </c>
      <c r="B220" s="546" t="s">
        <v>60</v>
      </c>
      <c r="C220" s="578">
        <v>2.2389999999999999</v>
      </c>
      <c r="D220" s="579">
        <f t="shared" si="26"/>
        <v>0.13416815742395283</v>
      </c>
      <c r="E220" s="579">
        <f t="shared" si="34"/>
        <v>-4.422436608896108</v>
      </c>
      <c r="F220" s="580">
        <f t="shared" si="28"/>
        <v>5.0236877902340549</v>
      </c>
      <c r="G220" s="581">
        <f t="shared" si="33"/>
        <v>2.2585529254131309</v>
      </c>
    </row>
    <row r="221" spans="1:7" ht="16.5" customHeight="1">
      <c r="A221" s="545">
        <f>2014</f>
        <v>2014</v>
      </c>
      <c r="B221" s="546" t="s">
        <v>61</v>
      </c>
      <c r="C221" s="578">
        <v>2.2025000000000001</v>
      </c>
      <c r="D221" s="579">
        <f t="shared" si="26"/>
        <v>-1.6301920500223166</v>
      </c>
      <c r="E221" s="579">
        <f t="shared" si="34"/>
        <v>-5.9805344489029189</v>
      </c>
      <c r="F221" s="580">
        <f t="shared" si="28"/>
        <v>-0.5912619606426972</v>
      </c>
      <c r="G221" s="581">
        <f t="shared" si="33"/>
        <v>2.295981838819523</v>
      </c>
    </row>
    <row r="222" spans="1:7" ht="16.5" customHeight="1">
      <c r="A222" s="545">
        <f>2014</f>
        <v>2014</v>
      </c>
      <c r="B222" s="546" t="s">
        <v>62</v>
      </c>
      <c r="C222" s="578">
        <f>[9]Julho!$C$32</f>
        <v>2.2673999999999999</v>
      </c>
      <c r="D222" s="579">
        <f t="shared" si="26"/>
        <v>2.9466515323495868</v>
      </c>
      <c r="E222" s="579">
        <f t="shared" si="34"/>
        <v>-3.2101084265346302</v>
      </c>
      <c r="F222" s="580">
        <f t="shared" si="28"/>
        <v>-0.99986901279307538</v>
      </c>
      <c r="G222" s="581">
        <f t="shared" si="33"/>
        <v>2.2302637382023462</v>
      </c>
    </row>
    <row r="223" spans="1:7" ht="16.5" customHeight="1">
      <c r="A223" s="545">
        <f>2014</f>
        <v>2014</v>
      </c>
      <c r="B223" s="546" t="s">
        <v>63</v>
      </c>
      <c r="C223" s="578">
        <f>[9]Agosto!$C$30</f>
        <v>2.2395999999999998</v>
      </c>
      <c r="D223" s="579">
        <f t="shared" si="26"/>
        <v>-1.2260739172620605</v>
      </c>
      <c r="E223" s="579">
        <f t="shared" si="34"/>
        <v>-4.3968240416631161</v>
      </c>
      <c r="F223" s="580">
        <f t="shared" si="28"/>
        <v>-5.6016859852476397</v>
      </c>
      <c r="G223" s="581">
        <f t="shared" si="33"/>
        <v>2.2579478478299695</v>
      </c>
    </row>
    <row r="224" spans="1:7" ht="16.5" customHeight="1">
      <c r="A224" s="545">
        <f>2014</f>
        <v>2014</v>
      </c>
      <c r="B224" s="546" t="s">
        <v>64</v>
      </c>
      <c r="C224" s="578">
        <f>[9]Setembro!$C$31</f>
        <v>2.4510000000000001</v>
      </c>
      <c r="D224" s="579">
        <f t="shared" si="26"/>
        <v>9.4391855688515935</v>
      </c>
      <c r="E224" s="579">
        <f t="shared" si="34"/>
        <v>4.6273371467600022</v>
      </c>
      <c r="F224" s="580">
        <f t="shared" si="28"/>
        <v>9.9103139013452903</v>
      </c>
      <c r="G224" s="581">
        <f t="shared" si="33"/>
        <v>2.0631986944104446</v>
      </c>
    </row>
    <row r="225" spans="1:10" ht="16.5" customHeight="1">
      <c r="A225" s="545">
        <f>2014</f>
        <v>2014</v>
      </c>
      <c r="B225" s="546" t="s">
        <v>65</v>
      </c>
      <c r="C225" s="578">
        <f>[9]Outubro!$C$32</f>
        <v>2.4441999999999999</v>
      </c>
      <c r="D225" s="579">
        <f t="shared" ref="D225:D288" si="35">((C225/C224)-1)*100</f>
        <v>-0.27743778049775791</v>
      </c>
      <c r="E225" s="579">
        <f t="shared" si="34"/>
        <v>4.3370613847861339</v>
      </c>
      <c r="F225" s="580">
        <f t="shared" si="28"/>
        <v>10.968854989557798</v>
      </c>
      <c r="G225" s="581">
        <f t="shared" si="33"/>
        <v>2.0689387120530234</v>
      </c>
    </row>
    <row r="226" spans="1:10" ht="16.5" customHeight="1">
      <c r="A226" s="545">
        <f>2014</f>
        <v>2014</v>
      </c>
      <c r="B226" s="546" t="s">
        <v>66</v>
      </c>
      <c r="C226" s="578">
        <f>[9]Novembro!$C$29</f>
        <v>2.5600999999999998</v>
      </c>
      <c r="D226" s="579">
        <f t="shared" si="35"/>
        <v>4.7418378201456557</v>
      </c>
      <c r="E226" s="579">
        <f t="shared" si="34"/>
        <v>9.2845556219584893</v>
      </c>
      <c r="F226" s="580">
        <f t="shared" si="28"/>
        <v>10.116564153296913</v>
      </c>
      <c r="G226" s="581">
        <f t="shared" si="33"/>
        <v>1.9752744033436194</v>
      </c>
      <c r="H226" s="582">
        <f t="shared" ref="H226:H289" si="36">100*(C226/$C$9-1)</f>
        <v>172.35106382978725</v>
      </c>
      <c r="I226" s="582">
        <f t="shared" ref="I226:I289" si="37">100*(C226/C202-1)</f>
        <v>21.481446331973018</v>
      </c>
      <c r="J226" s="185"/>
    </row>
    <row r="227" spans="1:10" ht="16.5" customHeight="1">
      <c r="A227" s="545">
        <f>2014</f>
        <v>2014</v>
      </c>
      <c r="B227" s="546" t="s">
        <v>55</v>
      </c>
      <c r="C227" s="578">
        <f>[9]Dezembro!$C$25</f>
        <v>2.6562000000000001</v>
      </c>
      <c r="D227" s="579">
        <f t="shared" si="35"/>
        <v>3.7537596187648958</v>
      </c>
      <c r="E227" s="579">
        <f t="shared" si="34"/>
        <v>13.386835140442255</v>
      </c>
      <c r="F227" s="580">
        <f t="shared" si="28"/>
        <v>13.386835140442255</v>
      </c>
      <c r="G227" s="581">
        <f t="shared" si="33"/>
        <v>1.9038099540697235</v>
      </c>
      <c r="H227" s="582">
        <f t="shared" si="36"/>
        <v>182.57446808510642</v>
      </c>
      <c r="I227" s="582">
        <f t="shared" si="37"/>
        <v>29.982872522632743</v>
      </c>
      <c r="J227" s="185"/>
    </row>
    <row r="228" spans="1:10" ht="16.5" customHeight="1">
      <c r="A228" s="545">
        <f>2015</f>
        <v>2015</v>
      </c>
      <c r="B228" s="546" t="s">
        <v>56</v>
      </c>
      <c r="C228" s="578">
        <f>[10]Janeiro!$C$24</f>
        <v>2.6623000000000001</v>
      </c>
      <c r="D228" s="579">
        <f t="shared" si="35"/>
        <v>0.22965138167305721</v>
      </c>
      <c r="E228" s="579">
        <f t="shared" ref="E228:E239" si="38">+((C228/C$227-1)*100)</f>
        <v>0.22965138167305721</v>
      </c>
      <c r="F228" s="580">
        <f t="shared" si="28"/>
        <v>9.7267444256687199</v>
      </c>
      <c r="G228" s="581">
        <f t="shared" si="33"/>
        <v>1.8994478458475752</v>
      </c>
      <c r="H228" s="582">
        <f t="shared" si="36"/>
        <v>183.22340425531917</v>
      </c>
      <c r="I228" s="582">
        <f t="shared" si="37"/>
        <v>33.898305084745758</v>
      </c>
      <c r="J228" s="185"/>
    </row>
    <row r="229" spans="1:10" ht="16.5" customHeight="1">
      <c r="A229" s="545">
        <f>2015</f>
        <v>2015</v>
      </c>
      <c r="B229" s="546" t="s">
        <v>57</v>
      </c>
      <c r="C229" s="578">
        <f>[10]Fevereiro!$C$18</f>
        <v>2.8782000000000001</v>
      </c>
      <c r="D229" s="579">
        <f t="shared" si="35"/>
        <v>8.1095293543177007</v>
      </c>
      <c r="E229" s="579">
        <f t="shared" si="38"/>
        <v>8.3578043822001291</v>
      </c>
      <c r="F229" s="580">
        <f t="shared" si="28"/>
        <v>23.347904345590131</v>
      </c>
      <c r="G229" s="581">
        <f t="shared" si="33"/>
        <v>1.7569661594051837</v>
      </c>
      <c r="H229" s="582">
        <f t="shared" si="36"/>
        <v>206.19148936170214</v>
      </c>
      <c r="I229" s="582">
        <f t="shared" si="37"/>
        <v>45.702136276197237</v>
      </c>
      <c r="J229" s="185"/>
    </row>
    <row r="230" spans="1:10" ht="16.5" customHeight="1">
      <c r="A230" s="545">
        <f>2015</f>
        <v>2015</v>
      </c>
      <c r="B230" s="546" t="s">
        <v>58</v>
      </c>
      <c r="C230" s="578">
        <f>[10]Março!$C$25</f>
        <v>3.2080000000000002</v>
      </c>
      <c r="D230" s="579">
        <f t="shared" si="35"/>
        <v>11.458550482940733</v>
      </c>
      <c r="E230" s="579">
        <f t="shared" si="38"/>
        <v>20.774038099540704</v>
      </c>
      <c r="F230" s="580">
        <f t="shared" si="28"/>
        <v>41.758727353071158</v>
      </c>
      <c r="G230" s="581">
        <f t="shared" si="33"/>
        <v>1.5763403990024936</v>
      </c>
      <c r="H230" s="582">
        <f t="shared" si="36"/>
        <v>241.27659574468089</v>
      </c>
      <c r="I230" s="582">
        <f t="shared" si="37"/>
        <v>59.300824312245524</v>
      </c>
      <c r="J230" s="185"/>
    </row>
    <row r="231" spans="1:10" ht="16.5" customHeight="1">
      <c r="A231" s="545">
        <f>2015</f>
        <v>2015</v>
      </c>
      <c r="B231" s="546" t="s">
        <v>59</v>
      </c>
      <c r="C231" s="578">
        <f>[10]Abril!$C$23</f>
        <v>2.9935999999999998</v>
      </c>
      <c r="D231" s="579">
        <f t="shared" si="35"/>
        <v>-6.6832917705735735</v>
      </c>
      <c r="E231" s="579">
        <f t="shared" si="38"/>
        <v>12.702356750244693</v>
      </c>
      <c r="F231" s="580">
        <f t="shared" si="28"/>
        <v>33.881932021466874</v>
      </c>
      <c r="G231" s="581">
        <f t="shared" si="33"/>
        <v>1.6892370390165687</v>
      </c>
      <c r="H231" s="582">
        <f t="shared" si="36"/>
        <v>218.46808510638297</v>
      </c>
      <c r="I231" s="582">
        <f t="shared" si="37"/>
        <v>49.552880051955817</v>
      </c>
      <c r="J231" s="185"/>
    </row>
    <row r="232" spans="1:10" ht="16.5" customHeight="1">
      <c r="A232" s="545">
        <f>2015</f>
        <v>2015</v>
      </c>
      <c r="B232" s="546" t="s">
        <v>60</v>
      </c>
      <c r="C232" s="578">
        <f>[10]Maio!$C$23</f>
        <v>3.1787999999999998</v>
      </c>
      <c r="D232" s="579">
        <f t="shared" si="35"/>
        <v>6.1865312667022998</v>
      </c>
      <c r="E232" s="579">
        <f t="shared" si="38"/>
        <v>19.674723288908957</v>
      </c>
      <c r="F232" s="580">
        <f t="shared" si="28"/>
        <v>41.974095578383206</v>
      </c>
      <c r="G232" s="581">
        <f t="shared" si="33"/>
        <v>1.5908204353844217</v>
      </c>
      <c r="H232" s="582">
        <f t="shared" si="36"/>
        <v>238.17021276595747</v>
      </c>
      <c r="I232" s="582">
        <f t="shared" si="37"/>
        <v>49.106430883249686</v>
      </c>
      <c r="J232" s="185"/>
    </row>
    <row r="233" spans="1:10" ht="16.5" customHeight="1">
      <c r="A233" s="545">
        <f>2015</f>
        <v>2015</v>
      </c>
      <c r="B233" s="546" t="s">
        <v>61</v>
      </c>
      <c r="C233" s="578">
        <f>[10]Junho!$C$24</f>
        <v>3.1025999999999998</v>
      </c>
      <c r="D233" s="579">
        <f t="shared" si="35"/>
        <v>-2.3971309928274787</v>
      </c>
      <c r="E233" s="579">
        <f t="shared" si="38"/>
        <v>16.805963406369994</v>
      </c>
      <c r="F233" s="580">
        <f t="shared" si="28"/>
        <v>40.867196367763881</v>
      </c>
      <c r="G233" s="581">
        <f t="shared" si="33"/>
        <v>1.6298910591117128</v>
      </c>
      <c r="H233" s="582">
        <f t="shared" si="36"/>
        <v>230.06382978723403</v>
      </c>
      <c r="I233" s="582">
        <f t="shared" si="37"/>
        <v>40.034302220617434</v>
      </c>
      <c r="J233" s="185"/>
    </row>
    <row r="234" spans="1:10" ht="16.5" customHeight="1">
      <c r="A234" s="545">
        <f>2015</f>
        <v>2015</v>
      </c>
      <c r="B234" s="546" t="s">
        <v>62</v>
      </c>
      <c r="C234" s="578">
        <f>[10]Julho!$C$26</f>
        <v>3.3940000000000001</v>
      </c>
      <c r="D234" s="579">
        <f t="shared" si="35"/>
        <v>9.3921227357700143</v>
      </c>
      <c r="E234" s="579">
        <f t="shared" si="38"/>
        <v>27.776522852194873</v>
      </c>
      <c r="F234" s="580">
        <f t="shared" si="28"/>
        <v>49.68686601393668</v>
      </c>
      <c r="G234" s="581">
        <f t="shared" si="33"/>
        <v>1.4899528579846788</v>
      </c>
      <c r="H234" s="582">
        <f t="shared" si="36"/>
        <v>261.06382978723406</v>
      </c>
      <c r="I234" s="582">
        <f t="shared" si="37"/>
        <v>48.190193424442242</v>
      </c>
      <c r="J234" s="185"/>
    </row>
    <row r="235" spans="1:10" ht="16.5" customHeight="1">
      <c r="A235" s="545">
        <f>2015</f>
        <v>2015</v>
      </c>
      <c r="B235" s="546" t="s">
        <v>63</v>
      </c>
      <c r="C235" s="578">
        <f>[10]Agosto!$C$24</f>
        <v>3.6467000000000001</v>
      </c>
      <c r="D235" s="579">
        <f t="shared" si="35"/>
        <v>7.4454920447849071</v>
      </c>
      <c r="E235" s="579">
        <f t="shared" si="38"/>
        <v>37.290113696257812</v>
      </c>
      <c r="F235" s="580">
        <f t="shared" si="28"/>
        <v>62.828183604215049</v>
      </c>
      <c r="G235" s="581">
        <f t="shared" si="33"/>
        <v>1.3867057887953491</v>
      </c>
      <c r="H235" s="582">
        <f t="shared" si="36"/>
        <v>287.94680851063833</v>
      </c>
      <c r="I235" s="582">
        <f t="shared" si="37"/>
        <v>53.707060063224453</v>
      </c>
      <c r="J235" s="185"/>
    </row>
    <row r="236" spans="1:10" ht="16.5" customHeight="1">
      <c r="A236" s="545">
        <f>2015</f>
        <v>2015</v>
      </c>
      <c r="B236" s="546" t="s">
        <v>64</v>
      </c>
      <c r="C236" s="578">
        <f>[10]Setembro!$C$24</f>
        <v>3.9729000000000001</v>
      </c>
      <c r="D236" s="579">
        <f t="shared" si="35"/>
        <v>8.9450736282118193</v>
      </c>
      <c r="E236" s="579">
        <f t="shared" si="38"/>
        <v>49.570815450643771</v>
      </c>
      <c r="F236" s="580">
        <f t="shared" ref="F236:F299" si="39">+((C236/C224-1)*100)</f>
        <v>62.093023255813961</v>
      </c>
      <c r="G236" s="581">
        <f t="shared" si="33"/>
        <v>1.2728485489189256</v>
      </c>
      <c r="H236" s="582">
        <f t="shared" si="36"/>
        <v>322.64893617021278</v>
      </c>
      <c r="I236" s="582">
        <f t="shared" si="37"/>
        <v>78.156950672645735</v>
      </c>
      <c r="J236" s="185"/>
    </row>
    <row r="237" spans="1:10" ht="16.5" customHeight="1">
      <c r="A237" s="545">
        <f>2015</f>
        <v>2015</v>
      </c>
      <c r="B237" s="546" t="s">
        <v>65</v>
      </c>
      <c r="C237" s="578">
        <f>[10]Outubro!$C$24</f>
        <v>3.8589000000000002</v>
      </c>
      <c r="D237" s="579">
        <f t="shared" si="35"/>
        <v>-2.8694404591104727</v>
      </c>
      <c r="E237" s="579">
        <f t="shared" si="38"/>
        <v>45.278969957081536</v>
      </c>
      <c r="F237" s="580">
        <f t="shared" si="39"/>
        <v>57.879878896980628</v>
      </c>
      <c r="G237" s="581">
        <f t="shared" si="33"/>
        <v>1.310451164839721</v>
      </c>
      <c r="H237" s="582">
        <f t="shared" si="36"/>
        <v>310.52127659574478</v>
      </c>
      <c r="I237" s="582">
        <f t="shared" si="37"/>
        <v>75.197493870879882</v>
      </c>
      <c r="J237" s="185"/>
    </row>
    <row r="238" spans="1:10" ht="16.5" customHeight="1">
      <c r="A238" s="545">
        <f>2015</f>
        <v>2015</v>
      </c>
      <c r="B238" s="546" t="s">
        <v>66</v>
      </c>
      <c r="C238" s="578">
        <f>[10]Novembro!$C$23</f>
        <v>3.8506</v>
      </c>
      <c r="D238" s="579">
        <f t="shared" si="35"/>
        <v>-0.21508720101584</v>
      </c>
      <c r="E238" s="579">
        <f t="shared" si="38"/>
        <v>44.966493486936223</v>
      </c>
      <c r="F238" s="580">
        <f t="shared" si="39"/>
        <v>50.408187180188293</v>
      </c>
      <c r="G238" s="581">
        <f t="shared" si="33"/>
        <v>1.3132758531138005</v>
      </c>
      <c r="H238" s="582">
        <f t="shared" si="36"/>
        <v>309.63829787234044</v>
      </c>
      <c r="I238" s="582">
        <f t="shared" si="37"/>
        <v>65.62432792808292</v>
      </c>
      <c r="J238" s="185"/>
    </row>
    <row r="239" spans="1:10" ht="16.5" customHeight="1">
      <c r="A239" s="545">
        <f>2015</f>
        <v>2015</v>
      </c>
      <c r="B239" s="546" t="s">
        <v>55</v>
      </c>
      <c r="C239" s="578">
        <f>[10]Dezembro!$C$25</f>
        <v>3.9047999999999998</v>
      </c>
      <c r="D239" s="579">
        <f t="shared" si="35"/>
        <v>1.4075728457902503</v>
      </c>
      <c r="E239" s="579">
        <f t="shared" si="38"/>
        <v>47.007002484752647</v>
      </c>
      <c r="F239" s="580">
        <f t="shared" si="39"/>
        <v>47.007002484752647</v>
      </c>
      <c r="G239" s="581">
        <f t="shared" si="33"/>
        <v>1.2950471214914976</v>
      </c>
      <c r="H239" s="582">
        <f t="shared" si="36"/>
        <v>315.40425531914894</v>
      </c>
      <c r="I239" s="582">
        <f t="shared" si="37"/>
        <v>66.686587552292309</v>
      </c>
      <c r="J239" s="185"/>
    </row>
    <row r="240" spans="1:10">
      <c r="A240" s="545">
        <f>2016</f>
        <v>2016</v>
      </c>
      <c r="B240" s="546" t="s">
        <v>56</v>
      </c>
      <c r="C240" s="578">
        <f>[11]Janeiro!$C$23</f>
        <v>4.0427999999999997</v>
      </c>
      <c r="D240" s="579">
        <f t="shared" si="35"/>
        <v>3.5341118623232859</v>
      </c>
      <c r="E240" s="579">
        <f t="shared" ref="E240:E246" si="40">+((C240/C$239-1)*100)</f>
        <v>3.5341118623232859</v>
      </c>
      <c r="F240" s="580">
        <f t="shared" si="39"/>
        <v>51.853660368853973</v>
      </c>
      <c r="G240" s="581">
        <f t="shared" si="33"/>
        <v>1.2508410012862372</v>
      </c>
      <c r="H240" s="582">
        <f t="shared" si="36"/>
        <v>330.08510638297872</v>
      </c>
      <c r="I240" s="582">
        <f t="shared" si="37"/>
        <v>66.62407781395541</v>
      </c>
      <c r="J240" s="185"/>
    </row>
    <row r="241" spans="1:10" ht="16.5" customHeight="1">
      <c r="A241" s="545">
        <f>2016</f>
        <v>2016</v>
      </c>
      <c r="B241" s="546" t="s">
        <v>57</v>
      </c>
      <c r="C241" s="578">
        <f>[11]Fevereiro!$C$22</f>
        <v>3.9796</v>
      </c>
      <c r="D241" s="579">
        <f t="shared" si="35"/>
        <v>-1.5632729791233757</v>
      </c>
      <c r="E241" s="579">
        <f t="shared" si="40"/>
        <v>1.9155910674042209</v>
      </c>
      <c r="F241" s="580">
        <f t="shared" si="39"/>
        <v>38.266972413313873</v>
      </c>
      <c r="G241" s="581">
        <f t="shared" si="33"/>
        <v>1.2707055985526183</v>
      </c>
      <c r="H241" s="582">
        <f t="shared" si="36"/>
        <v>323.36170212765961</v>
      </c>
      <c r="I241" s="582">
        <f t="shared" si="37"/>
        <v>70.549412873917873</v>
      </c>
      <c r="J241" s="185"/>
    </row>
    <row r="242" spans="1:10" ht="16.5" customHeight="1">
      <c r="A242" s="545">
        <f>2016</f>
        <v>2016</v>
      </c>
      <c r="B242" s="546" t="s">
        <v>58</v>
      </c>
      <c r="C242" s="578">
        <f>[11]Março!$C$25</f>
        <v>3.5589</v>
      </c>
      <c r="D242" s="579">
        <f t="shared" si="35"/>
        <v>-10.571414212483665</v>
      </c>
      <c r="E242" s="579">
        <f t="shared" si="40"/>
        <v>-8.8583282114320756</v>
      </c>
      <c r="F242" s="580">
        <f t="shared" si="39"/>
        <v>10.938279301745624</v>
      </c>
      <c r="G242" s="581">
        <f t="shared" si="33"/>
        <v>1.4209165753463149</v>
      </c>
      <c r="H242" s="582">
        <f t="shared" si="36"/>
        <v>278.60638297872339</v>
      </c>
      <c r="I242" s="582">
        <f t="shared" si="37"/>
        <v>57.264692885550161</v>
      </c>
      <c r="J242" s="185"/>
    </row>
    <row r="243" spans="1:10" ht="16.5" customHeight="1">
      <c r="A243" s="545">
        <f>2016</f>
        <v>2016</v>
      </c>
      <c r="B243" s="546" t="s">
        <v>59</v>
      </c>
      <c r="C243" s="578">
        <f>[11]Abril!$C$23</f>
        <v>3.4508000000000001</v>
      </c>
      <c r="D243" s="579">
        <f t="shared" si="35"/>
        <v>-3.0374553935204607</v>
      </c>
      <c r="E243" s="579">
        <f t="shared" si="40"/>
        <v>-11.626715836918656</v>
      </c>
      <c r="F243" s="580">
        <f t="shared" si="39"/>
        <v>15.272581507215399</v>
      </c>
      <c r="G243" s="581">
        <f t="shared" si="33"/>
        <v>1.4654283064796567</v>
      </c>
      <c r="H243" s="582">
        <f t="shared" si="36"/>
        <v>267.10638297872345</v>
      </c>
      <c r="I243" s="582">
        <f t="shared" si="37"/>
        <v>54.329159212880128</v>
      </c>
      <c r="J243" s="185"/>
    </row>
    <row r="244" spans="1:10" ht="16.5" customHeight="1">
      <c r="A244" s="545">
        <f>2016</f>
        <v>2016</v>
      </c>
      <c r="B244" s="546" t="s">
        <v>60</v>
      </c>
      <c r="C244" s="578">
        <f>[11]Maio!$C$24</f>
        <v>3.5951</v>
      </c>
      <c r="D244" s="579">
        <f t="shared" si="35"/>
        <v>4.1816390402225512</v>
      </c>
      <c r="E244" s="579">
        <f t="shared" si="40"/>
        <v>-7.9312640852284293</v>
      </c>
      <c r="F244" s="580">
        <f t="shared" si="39"/>
        <v>13.096136907008948</v>
      </c>
      <c r="G244" s="581">
        <f t="shared" ref="G244:G275" si="41">+$C$364/C244</f>
        <v>1.4066089955773136</v>
      </c>
      <c r="H244" s="582">
        <f t="shared" si="36"/>
        <v>282.45744680851061</v>
      </c>
      <c r="I244" s="582">
        <f t="shared" si="37"/>
        <v>60.567217507815997</v>
      </c>
      <c r="J244" s="185"/>
    </row>
    <row r="245" spans="1:10" ht="16.5" customHeight="1">
      <c r="A245" s="545">
        <f>2016</f>
        <v>2016</v>
      </c>
      <c r="B245" s="546" t="s">
        <v>61</v>
      </c>
      <c r="C245" s="578">
        <f>[11]Junho!$C$25</f>
        <v>3.2098</v>
      </c>
      <c r="D245" s="579">
        <f t="shared" si="35"/>
        <v>-10.717365302773219</v>
      </c>
      <c r="E245" s="579">
        <f t="shared" si="40"/>
        <v>-17.798606842860064</v>
      </c>
      <c r="F245" s="580">
        <f t="shared" si="39"/>
        <v>3.4551666344356358</v>
      </c>
      <c r="G245" s="581">
        <f t="shared" si="41"/>
        <v>1.5754564147298897</v>
      </c>
      <c r="H245" s="582">
        <f t="shared" si="36"/>
        <v>241.46808510638297</v>
      </c>
      <c r="I245" s="582">
        <f t="shared" si="37"/>
        <v>45.734392735527798</v>
      </c>
      <c r="J245" s="185"/>
    </row>
    <row r="246" spans="1:10" ht="16.5" customHeight="1">
      <c r="A246" s="545">
        <f>2016</f>
        <v>2016</v>
      </c>
      <c r="B246" s="546" t="s">
        <v>62</v>
      </c>
      <c r="C246" s="578">
        <f>[11]Julho!$C$24</f>
        <v>3.2389999999999999</v>
      </c>
      <c r="D246" s="579">
        <f t="shared" si="35"/>
        <v>0.90971400087231924</v>
      </c>
      <c r="E246" s="579">
        <f t="shared" si="40"/>
        <v>-17.050809260397457</v>
      </c>
      <c r="F246" s="580">
        <f t="shared" si="39"/>
        <v>-4.5668827342368985</v>
      </c>
      <c r="G246" s="581">
        <f t="shared" si="41"/>
        <v>1.5612534732942265</v>
      </c>
      <c r="H246" s="582">
        <f t="shared" si="36"/>
        <v>244.57446808510639</v>
      </c>
      <c r="I246" s="582">
        <f t="shared" si="37"/>
        <v>42.850842374525897</v>
      </c>
      <c r="J246" s="185"/>
    </row>
    <row r="247" spans="1:10" ht="16.5" customHeight="1">
      <c r="A247" s="545">
        <f>2016</f>
        <v>2016</v>
      </c>
      <c r="B247" s="546" t="s">
        <v>63</v>
      </c>
      <c r="C247" s="578">
        <f>[11]Agosto!$C$26</f>
        <v>3.2403</v>
      </c>
      <c r="D247" s="579">
        <f t="shared" si="35"/>
        <v>4.0135844396416154E-2</v>
      </c>
      <c r="E247" s="579">
        <f>+((C247/C$239-1)*100)</f>
        <v>-17.017516902274121</v>
      </c>
      <c r="F247" s="580">
        <f t="shared" si="39"/>
        <v>-11.144322263964678</v>
      </c>
      <c r="G247" s="581">
        <f t="shared" si="41"/>
        <v>1.5606271024287874</v>
      </c>
      <c r="H247" s="582">
        <f t="shared" si="36"/>
        <v>244.71276595744683</v>
      </c>
      <c r="I247" s="582">
        <f t="shared" si="37"/>
        <v>44.68208608680122</v>
      </c>
      <c r="J247" s="185"/>
    </row>
    <row r="248" spans="1:10" ht="16.5" customHeight="1">
      <c r="A248" s="545">
        <f>2016</f>
        <v>2016</v>
      </c>
      <c r="B248" s="546" t="s">
        <v>64</v>
      </c>
      <c r="C248" s="578">
        <f>[11]Setembro!$C$25</f>
        <v>3.2563714285714291</v>
      </c>
      <c r="D248" s="579">
        <f t="shared" si="35"/>
        <v>0.49598582141867631</v>
      </c>
      <c r="E248" s="579">
        <f>+((C248/C$239-1)*100)</f>
        <v>-16.605935551848262</v>
      </c>
      <c r="F248" s="580">
        <f t="shared" si="39"/>
        <v>-18.035404148822543</v>
      </c>
      <c r="G248" s="581">
        <f t="shared" si="41"/>
        <v>1.5529248155264841</v>
      </c>
      <c r="H248" s="582">
        <f t="shared" si="36"/>
        <v>246.42249240121589</v>
      </c>
      <c r="I248" s="582">
        <f t="shared" si="37"/>
        <v>32.858891414582978</v>
      </c>
      <c r="J248" s="185"/>
    </row>
    <row r="249" spans="1:10" ht="16.5" customHeight="1">
      <c r="A249" s="545">
        <f>2016</f>
        <v>2016</v>
      </c>
      <c r="B249" s="546" t="s">
        <v>65</v>
      </c>
      <c r="C249" s="578">
        <f>[11]Outubro!$C$23</f>
        <v>3.1810999999999998</v>
      </c>
      <c r="D249" s="579">
        <f t="shared" si="35"/>
        <v>-2.311512375738134</v>
      </c>
      <c r="E249" s="579">
        <f>+((C249/C$239-1)*100)</f>
        <v>-18.533599672198321</v>
      </c>
      <c r="F249" s="580">
        <f t="shared" si="39"/>
        <v>-17.564590945606273</v>
      </c>
      <c r="G249" s="581">
        <f t="shared" si="41"/>
        <v>1.5896702398541385</v>
      </c>
      <c r="H249" s="582">
        <f t="shared" si="36"/>
        <v>238.41489361702125</v>
      </c>
      <c r="I249" s="582">
        <f t="shared" si="37"/>
        <v>30.148923983307419</v>
      </c>
      <c r="J249" s="185"/>
    </row>
    <row r="250" spans="1:10" ht="16.5" customHeight="1">
      <c r="A250" s="545">
        <f>2016</f>
        <v>2016</v>
      </c>
      <c r="B250" s="546" t="s">
        <v>66</v>
      </c>
      <c r="C250" s="578">
        <f>[11]Novembro!$C$23</f>
        <v>3.3967000000000001</v>
      </c>
      <c r="D250" s="579">
        <f t="shared" si="35"/>
        <v>6.7775297852944005</v>
      </c>
      <c r="E250" s="579">
        <f>+((C250/C$239-1)*100)</f>
        <v>-13.012190124974389</v>
      </c>
      <c r="F250" s="580">
        <f t="shared" si="39"/>
        <v>-11.787773334025864</v>
      </c>
      <c r="G250" s="581">
        <f t="shared" si="41"/>
        <v>1.4887685106132422</v>
      </c>
      <c r="H250" s="582">
        <f t="shared" si="36"/>
        <v>261.35106382978728</v>
      </c>
      <c r="I250" s="582">
        <f t="shared" si="37"/>
        <v>32.678410999570339</v>
      </c>
      <c r="J250" s="185"/>
    </row>
    <row r="251" spans="1:10" ht="16.5" customHeight="1">
      <c r="A251" s="545">
        <f>2016</f>
        <v>2016</v>
      </c>
      <c r="B251" s="546" t="s">
        <v>55</v>
      </c>
      <c r="C251" s="578">
        <f>[11]Dezembro!$C$25</f>
        <v>3.2591000000000001</v>
      </c>
      <c r="D251" s="579">
        <f t="shared" si="35"/>
        <v>-4.0509906674124903</v>
      </c>
      <c r="E251" s="579">
        <f>+((C251/C$239-1)*100)</f>
        <v>-16.536058184798186</v>
      </c>
      <c r="F251" s="580">
        <f t="shared" si="39"/>
        <v>-16.536058184798186</v>
      </c>
      <c r="G251" s="581">
        <f t="shared" si="41"/>
        <v>1.551624681660581</v>
      </c>
      <c r="H251" s="582">
        <f t="shared" si="36"/>
        <v>246.71276595744683</v>
      </c>
      <c r="I251" s="582">
        <f t="shared" si="37"/>
        <v>22.697839018146215</v>
      </c>
      <c r="J251" s="185"/>
    </row>
    <row r="252" spans="1:10" ht="16.5" customHeight="1">
      <c r="A252" s="545">
        <f>2017</f>
        <v>2017</v>
      </c>
      <c r="B252" s="546" t="s">
        <v>56</v>
      </c>
      <c r="C252" s="578">
        <f>[12]Janeiro!$C$25</f>
        <v>3.1269999999999998</v>
      </c>
      <c r="D252" s="579">
        <f t="shared" si="35"/>
        <v>-4.0532662391457919</v>
      </c>
      <c r="E252" s="579">
        <f t="shared" ref="E252:E263" si="42">+((C252/C$251-1)*100)</f>
        <v>-4.0532662391457919</v>
      </c>
      <c r="F252" s="580">
        <f t="shared" si="39"/>
        <v>-22.652616998120113</v>
      </c>
      <c r="G252" s="581">
        <f t="shared" si="41"/>
        <v>1.6171730092740646</v>
      </c>
      <c r="H252" s="582">
        <f t="shared" si="36"/>
        <v>232.65957446808508</v>
      </c>
      <c r="I252" s="582">
        <f t="shared" si="37"/>
        <v>17.454832287871369</v>
      </c>
      <c r="J252" s="185"/>
    </row>
    <row r="253" spans="1:10" ht="16.5" customHeight="1">
      <c r="A253" s="545">
        <f>2017</f>
        <v>2017</v>
      </c>
      <c r="B253" s="546" t="s">
        <v>57</v>
      </c>
      <c r="C253" s="578">
        <f>[12]Fevereiro!$C$21</f>
        <v>3.0992999999999999</v>
      </c>
      <c r="D253" s="579">
        <f t="shared" si="35"/>
        <v>-0.88583306683721608</v>
      </c>
      <c r="E253" s="579">
        <f t="shared" si="42"/>
        <v>-4.9031941333496976</v>
      </c>
      <c r="F253" s="580">
        <f t="shared" si="39"/>
        <v>-22.120313599356724</v>
      </c>
      <c r="G253" s="581">
        <f t="shared" si="41"/>
        <v>1.6316264963056173</v>
      </c>
      <c r="H253" s="582">
        <f t="shared" si="36"/>
        <v>229.71276595744681</v>
      </c>
      <c r="I253" s="582">
        <f t="shared" si="37"/>
        <v>7.6818845111527922</v>
      </c>
      <c r="J253" s="185"/>
    </row>
    <row r="254" spans="1:10" ht="16.5" customHeight="1">
      <c r="A254" s="545">
        <f>2017</f>
        <v>2017</v>
      </c>
      <c r="B254" s="546" t="s">
        <v>58</v>
      </c>
      <c r="C254" s="578">
        <f>[12]Março!$C$26</f>
        <v>3.1684000000000001</v>
      </c>
      <c r="D254" s="579">
        <f t="shared" si="35"/>
        <v>2.2295357016100414</v>
      </c>
      <c r="E254" s="579">
        <f t="shared" si="42"/>
        <v>-2.7829768954619416</v>
      </c>
      <c r="F254" s="580">
        <f t="shared" si="39"/>
        <v>-10.972491500182635</v>
      </c>
      <c r="G254" s="581">
        <f t="shared" si="41"/>
        <v>1.5960421663931321</v>
      </c>
      <c r="H254" s="582">
        <f t="shared" si="36"/>
        <v>237.06382978723406</v>
      </c>
      <c r="I254" s="582">
        <f t="shared" si="37"/>
        <v>-1.2344139650872887</v>
      </c>
      <c r="J254" s="185"/>
    </row>
    <row r="255" spans="1:10" ht="16.5" customHeight="1">
      <c r="A255" s="545">
        <f>2017</f>
        <v>2017</v>
      </c>
      <c r="B255" s="546" t="s">
        <v>59</v>
      </c>
      <c r="C255" s="578">
        <f>[12]Abril!$C$21</f>
        <v>3.1983999999999999</v>
      </c>
      <c r="D255" s="579">
        <f t="shared" si="35"/>
        <v>0.94685014518367527</v>
      </c>
      <c r="E255" s="579">
        <f t="shared" si="42"/>
        <v>-1.8624773710533615</v>
      </c>
      <c r="F255" s="580">
        <f t="shared" si="39"/>
        <v>-7.3142459719485409</v>
      </c>
      <c r="G255" s="581">
        <f t="shared" si="41"/>
        <v>1.5810717858929464</v>
      </c>
      <c r="H255" s="582">
        <f t="shared" si="36"/>
        <v>240.2553191489362</v>
      </c>
      <c r="I255" s="582">
        <f t="shared" si="37"/>
        <v>6.8412613575628001</v>
      </c>
      <c r="J255" s="185"/>
    </row>
    <row r="256" spans="1:10" ht="16.5" customHeight="1">
      <c r="A256" s="545">
        <f>2017</f>
        <v>2017</v>
      </c>
      <c r="B256" s="546" t="s">
        <v>60</v>
      </c>
      <c r="C256" s="578">
        <f>[12]Maio!$C$25</f>
        <v>3.2437</v>
      </c>
      <c r="D256" s="579">
        <f t="shared" si="35"/>
        <v>1.4163331665832946</v>
      </c>
      <c r="E256" s="579">
        <f t="shared" si="42"/>
        <v>-0.47252308919640829</v>
      </c>
      <c r="F256" s="580">
        <f t="shared" si="39"/>
        <v>-9.7744151762120701</v>
      </c>
      <c r="G256" s="581">
        <f t="shared" si="41"/>
        <v>1.5589912753953816</v>
      </c>
      <c r="H256" s="582">
        <f t="shared" si="36"/>
        <v>245.07446808510642</v>
      </c>
      <c r="I256" s="582">
        <f t="shared" si="37"/>
        <v>2.0416509374606928</v>
      </c>
      <c r="J256" s="185"/>
    </row>
    <row r="257" spans="1:10" ht="16.5" customHeight="1">
      <c r="A257" s="545">
        <f>2017</f>
        <v>2017</v>
      </c>
      <c r="B257" s="546" t="s">
        <v>61</v>
      </c>
      <c r="C257" s="578">
        <f>[12]Junho!$C$24</f>
        <v>3.3081999999999998</v>
      </c>
      <c r="D257" s="579">
        <f t="shared" si="35"/>
        <v>1.9884699571476983</v>
      </c>
      <c r="E257" s="579">
        <f t="shared" si="42"/>
        <v>1.5065508882820211</v>
      </c>
      <c r="F257" s="580">
        <f t="shared" si="39"/>
        <v>3.0656115645834481</v>
      </c>
      <c r="G257" s="581">
        <f t="shared" si="41"/>
        <v>1.5285956109062331</v>
      </c>
      <c r="H257" s="582">
        <f t="shared" si="36"/>
        <v>251.93617021276594</v>
      </c>
      <c r="I257" s="582">
        <f t="shared" si="37"/>
        <v>6.6267001869399822</v>
      </c>
      <c r="J257" s="185"/>
    </row>
    <row r="258" spans="1:10" ht="16.5" customHeight="1">
      <c r="A258" s="545">
        <f>2017</f>
        <v>2017</v>
      </c>
      <c r="B258" s="546" t="s">
        <v>62</v>
      </c>
      <c r="C258" s="578">
        <f>[12]Julho!$C$24</f>
        <v>3.1307</v>
      </c>
      <c r="D258" s="579">
        <f t="shared" si="35"/>
        <v>-5.3654555347318666</v>
      </c>
      <c r="E258" s="579">
        <f t="shared" si="42"/>
        <v>-3.9397379644687258</v>
      </c>
      <c r="F258" s="580">
        <f t="shared" si="39"/>
        <v>-3.3436245754862592</v>
      </c>
      <c r="G258" s="581">
        <f t="shared" si="41"/>
        <v>1.6152617625451176</v>
      </c>
      <c r="H258" s="582">
        <f t="shared" si="36"/>
        <v>233.05319148936175</v>
      </c>
      <c r="I258" s="582">
        <f t="shared" si="37"/>
        <v>-7.7578078962875718</v>
      </c>
      <c r="J258" s="185"/>
    </row>
    <row r="259" spans="1:10" ht="16.5" customHeight="1">
      <c r="A259" s="545">
        <f>2017</f>
        <v>2017</v>
      </c>
      <c r="B259" s="546" t="s">
        <v>63</v>
      </c>
      <c r="C259" s="578">
        <f>[12]Agosto!$C$26</f>
        <v>3.1471</v>
      </c>
      <c r="D259" s="579">
        <f t="shared" si="35"/>
        <v>0.52384450761810974</v>
      </c>
      <c r="E259" s="579">
        <f t="shared" si="42"/>
        <v>-3.436531557792033</v>
      </c>
      <c r="F259" s="580">
        <f t="shared" si="39"/>
        <v>-2.8762768879424749</v>
      </c>
      <c r="G259" s="581">
        <f t="shared" si="41"/>
        <v>1.6068443964284578</v>
      </c>
      <c r="H259" s="582">
        <f t="shared" si="36"/>
        <v>234.79787234042556</v>
      </c>
      <c r="I259" s="582">
        <f t="shared" si="37"/>
        <v>-13.70005758631091</v>
      </c>
      <c r="J259" s="185"/>
    </row>
    <row r="260" spans="1:10" ht="16.5" customHeight="1">
      <c r="A260" s="545">
        <f>2017</f>
        <v>2017</v>
      </c>
      <c r="B260" s="546" t="s">
        <v>64</v>
      </c>
      <c r="C260" s="578">
        <f>[12]Setembro!$C$23</f>
        <v>3.1680000000000001</v>
      </c>
      <c r="D260" s="579">
        <f t="shared" si="35"/>
        <v>0.66410346032856893</v>
      </c>
      <c r="E260" s="579">
        <f t="shared" si="42"/>
        <v>-2.7952502224540487</v>
      </c>
      <c r="F260" s="580">
        <f t="shared" si="39"/>
        <v>-2.7138006369929801</v>
      </c>
      <c r="G260" s="581">
        <f t="shared" si="41"/>
        <v>1.5962436868686867</v>
      </c>
      <c r="H260" s="582">
        <f t="shared" si="36"/>
        <v>237.02127659574472</v>
      </c>
      <c r="I260" s="582">
        <f t="shared" si="37"/>
        <v>-20.259759873140524</v>
      </c>
      <c r="J260" s="185"/>
    </row>
    <row r="261" spans="1:10" ht="16.5" customHeight="1">
      <c r="A261" s="545">
        <f>2017</f>
        <v>2017</v>
      </c>
      <c r="B261" s="546" t="s">
        <v>65</v>
      </c>
      <c r="C261" s="578">
        <f>[12]Outubro!$C$24</f>
        <v>3.2768999999999999</v>
      </c>
      <c r="D261" s="579">
        <f t="shared" si="35"/>
        <v>3.4374999999999822</v>
      </c>
      <c r="E261" s="579">
        <f t="shared" si="42"/>
        <v>0.54616305114909558</v>
      </c>
      <c r="F261" s="580">
        <f t="shared" si="39"/>
        <v>3.0115368897551287</v>
      </c>
      <c r="G261" s="581">
        <f t="shared" si="41"/>
        <v>1.5431963135890627</v>
      </c>
      <c r="H261" s="582">
        <f t="shared" si="36"/>
        <v>248.60638297872342</v>
      </c>
      <c r="I261" s="582">
        <f t="shared" si="37"/>
        <v>-15.082018191712676</v>
      </c>
      <c r="J261" s="185"/>
    </row>
    <row r="262" spans="1:10" ht="16.5" customHeight="1">
      <c r="A262" s="545">
        <f>2017</f>
        <v>2017</v>
      </c>
      <c r="B262" s="546" t="s">
        <v>66</v>
      </c>
      <c r="C262" s="578">
        <f>[12]Novembro!$C$23</f>
        <v>3.2616000000000001</v>
      </c>
      <c r="D262" s="579">
        <f t="shared" si="35"/>
        <v>-0.46690469651193833</v>
      </c>
      <c r="E262" s="579">
        <f t="shared" si="42"/>
        <v>7.6708293700722407E-2</v>
      </c>
      <c r="F262" s="580">
        <f t="shared" si="39"/>
        <v>-3.9773898195307189</v>
      </c>
      <c r="G262" s="581">
        <f t="shared" si="41"/>
        <v>1.5504353691439783</v>
      </c>
      <c r="H262" s="582">
        <f t="shared" si="36"/>
        <v>246.97872340425536</v>
      </c>
      <c r="I262" s="582">
        <f t="shared" si="37"/>
        <v>-15.296317457019681</v>
      </c>
      <c r="J262" s="185"/>
    </row>
    <row r="263" spans="1:10" ht="16.5" customHeight="1">
      <c r="A263" s="545">
        <f>2017</f>
        <v>2017</v>
      </c>
      <c r="B263" s="546" t="s">
        <v>55</v>
      </c>
      <c r="C263" s="578">
        <f>[12]Dezembro!$C$23</f>
        <v>3.3079999999999998</v>
      </c>
      <c r="D263" s="579">
        <f t="shared" si="35"/>
        <v>1.4226146676477702</v>
      </c>
      <c r="E263" s="579">
        <f t="shared" si="42"/>
        <v>1.5004142247859731</v>
      </c>
      <c r="F263" s="580">
        <f t="shared" si="39"/>
        <v>1.5004142247859731</v>
      </c>
      <c r="G263" s="581">
        <f t="shared" si="41"/>
        <v>1.5286880290205562</v>
      </c>
      <c r="H263" s="582">
        <f t="shared" si="36"/>
        <v>251.91489361702128</v>
      </c>
      <c r="I263" s="582">
        <f t="shared" si="37"/>
        <v>-15.283753329235816</v>
      </c>
      <c r="J263" s="185"/>
    </row>
    <row r="264" spans="1:10" ht="16.5" customHeight="1">
      <c r="A264" s="545">
        <f>2018</f>
        <v>2018</v>
      </c>
      <c r="B264" s="546" t="s">
        <v>56</v>
      </c>
      <c r="C264" s="578">
        <f>[13]Janeiro!$C$25</f>
        <v>3.1623999999999999</v>
      </c>
      <c r="D264" s="579">
        <f t="shared" si="35"/>
        <v>-4.4014510278113654</v>
      </c>
      <c r="E264" s="579">
        <f t="shared" ref="E264:E275" si="43">+((C264/C$263-1)*100)</f>
        <v>-4.4014510278113654</v>
      </c>
      <c r="F264" s="580">
        <f t="shared" si="39"/>
        <v>1.132075471698113</v>
      </c>
      <c r="G264" s="581">
        <f t="shared" si="41"/>
        <v>1.5990703263344295</v>
      </c>
      <c r="H264" s="582">
        <f t="shared" si="36"/>
        <v>236.42553191489361</v>
      </c>
      <c r="I264" s="582">
        <f t="shared" si="37"/>
        <v>-21.776986247155438</v>
      </c>
      <c r="J264" s="185"/>
    </row>
    <row r="265" spans="1:10" ht="16.5" customHeight="1">
      <c r="A265" s="545">
        <f>2018</f>
        <v>2018</v>
      </c>
      <c r="B265" s="546" t="s">
        <v>57</v>
      </c>
      <c r="C265" s="578">
        <f>[13]Fevereiro!$C$21</f>
        <v>3.2448999999999999</v>
      </c>
      <c r="D265" s="579">
        <f t="shared" si="35"/>
        <v>2.6087781431823887</v>
      </c>
      <c r="E265" s="579">
        <f t="shared" si="43"/>
        <v>-1.9074969770253913</v>
      </c>
      <c r="F265" s="580">
        <f t="shared" si="39"/>
        <v>4.6978349949988729</v>
      </c>
      <c r="G265" s="581">
        <f t="shared" si="41"/>
        <v>1.5584147431353816</v>
      </c>
      <c r="H265" s="582">
        <f t="shared" si="36"/>
        <v>245.20212765957447</v>
      </c>
      <c r="I265" s="582">
        <f t="shared" si="37"/>
        <v>-18.461654437631925</v>
      </c>
      <c r="J265" s="185"/>
    </row>
    <row r="266" spans="1:10" ht="16.5" customHeight="1">
      <c r="A266" s="545">
        <f>2018</f>
        <v>2018</v>
      </c>
      <c r="B266" s="546" t="s">
        <v>58</v>
      </c>
      <c r="C266" s="578">
        <f>[13]Março!$C$24</f>
        <v>3.3237999999999999</v>
      </c>
      <c r="D266" s="579">
        <f t="shared" si="35"/>
        <v>2.4315079047120047</v>
      </c>
      <c r="E266" s="579">
        <f t="shared" si="43"/>
        <v>0.47762998790810141</v>
      </c>
      <c r="F266" s="580">
        <f t="shared" si="39"/>
        <v>4.9046837520515085</v>
      </c>
      <c r="G266" s="581">
        <f t="shared" si="41"/>
        <v>1.5214212648173777</v>
      </c>
      <c r="H266" s="582">
        <f t="shared" si="36"/>
        <v>253.59574468085108</v>
      </c>
      <c r="I266" s="582">
        <f t="shared" si="37"/>
        <v>-6.6059737559358229</v>
      </c>
      <c r="J266" s="185"/>
    </row>
    <row r="267" spans="1:10">
      <c r="A267" s="545">
        <f>2018</f>
        <v>2018</v>
      </c>
      <c r="B267" s="546" t="s">
        <v>59</v>
      </c>
      <c r="C267" s="578">
        <f>[13]Abril!$C$24</f>
        <v>3.4811000000000001</v>
      </c>
      <c r="D267" s="579">
        <f t="shared" si="35"/>
        <v>4.7325350502437136</v>
      </c>
      <c r="E267" s="579">
        <f t="shared" si="43"/>
        <v>5.2327690447400377</v>
      </c>
      <c r="F267" s="580">
        <f t="shared" si="39"/>
        <v>8.8387943971986118</v>
      </c>
      <c r="G267" s="581">
        <f t="shared" si="41"/>
        <v>1.4526730056591306</v>
      </c>
      <c r="H267" s="582">
        <f t="shared" si="36"/>
        <v>270.32978723404256</v>
      </c>
      <c r="I267" s="582">
        <f t="shared" si="37"/>
        <v>0.87805726208416424</v>
      </c>
      <c r="J267" s="185"/>
    </row>
    <row r="268" spans="1:10">
      <c r="A268" s="545">
        <f>2018</f>
        <v>2018</v>
      </c>
      <c r="B268" s="546" t="s">
        <v>60</v>
      </c>
      <c r="C268" s="578">
        <f>[13]Maio!$C$24</f>
        <v>3.7370000000000001</v>
      </c>
      <c r="D268" s="579">
        <f t="shared" si="35"/>
        <v>7.3511246445089107</v>
      </c>
      <c r="E268" s="579">
        <f t="shared" si="43"/>
        <v>12.96856106408708</v>
      </c>
      <c r="F268" s="580">
        <f t="shared" si="39"/>
        <v>15.20794154823195</v>
      </c>
      <c r="G268" s="581">
        <f t="shared" si="41"/>
        <v>1.353197752207653</v>
      </c>
      <c r="H268" s="582">
        <f t="shared" si="36"/>
        <v>297.55319148936172</v>
      </c>
      <c r="I268" s="582">
        <f t="shared" si="37"/>
        <v>3.94703902534006</v>
      </c>
      <c r="J268" s="185"/>
    </row>
    <row r="269" spans="1:10">
      <c r="A269" s="545">
        <f>2018</f>
        <v>2018</v>
      </c>
      <c r="B269" s="546" t="s">
        <v>61</v>
      </c>
      <c r="C269" s="578">
        <f>[13]Junho!$C$24</f>
        <v>3.8557999999999999</v>
      </c>
      <c r="D269" s="579">
        <f t="shared" si="35"/>
        <v>3.179020604763183</v>
      </c>
      <c r="E269" s="579">
        <f t="shared" si="43"/>
        <v>16.559854897218873</v>
      </c>
      <c r="F269" s="580">
        <f t="shared" si="39"/>
        <v>16.552808173629163</v>
      </c>
      <c r="G269" s="581">
        <f t="shared" si="41"/>
        <v>1.3115047460967892</v>
      </c>
      <c r="H269" s="582">
        <f t="shared" si="36"/>
        <v>310.19148936170211</v>
      </c>
      <c r="I269" s="582">
        <f t="shared" si="37"/>
        <v>20.125864539846727</v>
      </c>
      <c r="J269" s="185"/>
    </row>
    <row r="270" spans="1:10">
      <c r="A270" s="545">
        <f>2018</f>
        <v>2018</v>
      </c>
      <c r="B270" s="546" t="s">
        <v>62</v>
      </c>
      <c r="C270" s="578">
        <f>[13]Julho!$C$25</f>
        <v>3.7549000000000001</v>
      </c>
      <c r="D270" s="579">
        <f t="shared" si="35"/>
        <v>-2.6168369728720275</v>
      </c>
      <c r="E270" s="579">
        <f t="shared" si="43"/>
        <v>13.50967351874246</v>
      </c>
      <c r="F270" s="580">
        <f t="shared" si="39"/>
        <v>19.938033027757363</v>
      </c>
      <c r="G270" s="581">
        <f t="shared" si="41"/>
        <v>1.3467469173613145</v>
      </c>
      <c r="H270" s="582">
        <f t="shared" si="36"/>
        <v>299.45744680851067</v>
      </c>
      <c r="I270" s="582">
        <f t="shared" si="37"/>
        <v>15.927755480086446</v>
      </c>
      <c r="J270" s="185"/>
    </row>
    <row r="271" spans="1:10">
      <c r="A271" s="545">
        <f>2018</f>
        <v>2018</v>
      </c>
      <c r="B271" s="546" t="s">
        <v>63</v>
      </c>
      <c r="C271" s="578">
        <f>[13]Agosto!$C$26</f>
        <v>4.1353</v>
      </c>
      <c r="D271" s="579">
        <f t="shared" si="35"/>
        <v>10.130762470372034</v>
      </c>
      <c r="E271" s="579">
        <f t="shared" si="43"/>
        <v>25.009068923821044</v>
      </c>
      <c r="F271" s="580">
        <f t="shared" si="39"/>
        <v>31.400336818022943</v>
      </c>
      <c r="G271" s="581">
        <f t="shared" si="41"/>
        <v>1.2228617028994269</v>
      </c>
      <c r="H271" s="582">
        <f t="shared" si="36"/>
        <v>339.92553191489367</v>
      </c>
      <c r="I271" s="582">
        <f t="shared" si="37"/>
        <v>27.620899299447576</v>
      </c>
      <c r="J271" s="185"/>
    </row>
    <row r="272" spans="1:10">
      <c r="A272" s="545">
        <f>2018</f>
        <v>2018</v>
      </c>
      <c r="B272" s="546" t="s">
        <v>64</v>
      </c>
      <c r="C272" s="578">
        <f>[13]Setembro!$C$22</f>
        <v>4.0038999999999998</v>
      </c>
      <c r="D272" s="579">
        <f t="shared" si="35"/>
        <v>-3.1775203733707347</v>
      </c>
      <c r="E272" s="579">
        <f t="shared" si="43"/>
        <v>21.036880290205563</v>
      </c>
      <c r="F272" s="580">
        <f t="shared" si="39"/>
        <v>26.385732323232315</v>
      </c>
      <c r="G272" s="581">
        <f t="shared" si="41"/>
        <v>1.2629935812582731</v>
      </c>
      <c r="H272" s="582">
        <f t="shared" si="36"/>
        <v>325.94680851063833</v>
      </c>
      <c r="I272" s="582">
        <f t="shared" si="37"/>
        <v>22.955875514376189</v>
      </c>
      <c r="J272" s="185"/>
    </row>
    <row r="273" spans="1:10">
      <c r="A273" s="545">
        <f>2018</f>
        <v>2018</v>
      </c>
      <c r="B273" s="546" t="s">
        <v>65</v>
      </c>
      <c r="C273" s="578">
        <f>[13]Outubro!$C$25</f>
        <v>3.7176999999999998</v>
      </c>
      <c r="D273" s="579">
        <f t="shared" si="35"/>
        <v>-7.1480306700966612</v>
      </c>
      <c r="E273" s="579">
        <f t="shared" si="43"/>
        <v>12.385126964933502</v>
      </c>
      <c r="F273" s="580">
        <f t="shared" si="39"/>
        <v>13.451737923037022</v>
      </c>
      <c r="G273" s="581">
        <f t="shared" si="41"/>
        <v>1.3602227183473654</v>
      </c>
      <c r="H273" s="582">
        <f t="shared" si="36"/>
        <v>295.5</v>
      </c>
      <c r="I273" s="582">
        <f t="shared" si="37"/>
        <v>16.868378862657572</v>
      </c>
      <c r="J273" s="185"/>
    </row>
    <row r="274" spans="1:10">
      <c r="A274" s="545">
        <f>2018</f>
        <v>2018</v>
      </c>
      <c r="B274" s="546" t="s">
        <v>66</v>
      </c>
      <c r="C274" s="578">
        <f>[13]Novembro!$C$23</f>
        <v>3.8633000000000002</v>
      </c>
      <c r="D274" s="579">
        <f t="shared" si="35"/>
        <v>3.9163999246846215</v>
      </c>
      <c r="E274" s="579">
        <f t="shared" si="43"/>
        <v>16.786577992744878</v>
      </c>
      <c r="F274" s="580">
        <f t="shared" si="39"/>
        <v>18.448000981113566</v>
      </c>
      <c r="G274" s="581">
        <f t="shared" si="41"/>
        <v>1.3089586622835399</v>
      </c>
      <c r="H274" s="582">
        <f t="shared" si="36"/>
        <v>310.98936170212772</v>
      </c>
      <c r="I274" s="582">
        <f t="shared" si="37"/>
        <v>13.736862248653114</v>
      </c>
      <c r="J274" s="185"/>
    </row>
    <row r="275" spans="1:10">
      <c r="A275" s="545">
        <f>2018</f>
        <v>2018</v>
      </c>
      <c r="B275" s="546" t="s">
        <v>55</v>
      </c>
      <c r="C275" s="578">
        <f>[13]Dezembro!$C$23</f>
        <v>3.8748</v>
      </c>
      <c r="D275" s="579">
        <f t="shared" si="35"/>
        <v>0.29767297388243463</v>
      </c>
      <c r="E275" s="579">
        <f t="shared" si="43"/>
        <v>17.134220072551386</v>
      </c>
      <c r="F275" s="580">
        <f t="shared" si="39"/>
        <v>17.134220072551386</v>
      </c>
      <c r="G275" s="581">
        <f t="shared" si="41"/>
        <v>1.3050738102611747</v>
      </c>
      <c r="H275" s="582">
        <f t="shared" si="36"/>
        <v>312.21276595744689</v>
      </c>
      <c r="I275" s="582">
        <f t="shared" si="37"/>
        <v>18.891718572612071</v>
      </c>
      <c r="J275" s="185"/>
    </row>
    <row r="276" spans="1:10">
      <c r="A276" s="545">
        <f>2019</f>
        <v>2019</v>
      </c>
      <c r="B276" s="546" t="s">
        <v>56</v>
      </c>
      <c r="C276" s="578">
        <f>[14]Janeiro!$C$24</f>
        <v>3.7151000000000001</v>
      </c>
      <c r="D276" s="579">
        <f t="shared" si="35"/>
        <v>-4.1215030453184642</v>
      </c>
      <c r="E276" s="579">
        <f t="shared" ref="E276:E287" si="44">+((C276/C$275-1)*100)</f>
        <v>-4.1215030453184642</v>
      </c>
      <c r="F276" s="580">
        <f t="shared" si="39"/>
        <v>17.477232481659509</v>
      </c>
      <c r="G276" s="581">
        <f t="shared" ref="G276:G307" si="45">+$C$364/C276</f>
        <v>1.3611746655540899</v>
      </c>
      <c r="H276" s="582">
        <f t="shared" si="36"/>
        <v>295.22340425531917</v>
      </c>
      <c r="I276" s="582">
        <f t="shared" si="37"/>
        <v>18.807163415414152</v>
      </c>
      <c r="J276" s="185"/>
    </row>
    <row r="277" spans="1:10">
      <c r="A277" s="549">
        <f>2019</f>
        <v>2019</v>
      </c>
      <c r="B277" s="550" t="s">
        <v>57</v>
      </c>
      <c r="C277" s="583">
        <f>[14]Fevereiro!$C$23</f>
        <v>3.7385000000000002</v>
      </c>
      <c r="D277" s="584">
        <f t="shared" si="35"/>
        <v>0.629861914887897</v>
      </c>
      <c r="E277" s="584">
        <f t="shared" si="44"/>
        <v>-3.5176009084339821</v>
      </c>
      <c r="F277" s="585">
        <f t="shared" si="39"/>
        <v>15.211562760023423</v>
      </c>
      <c r="G277" s="581">
        <f t="shared" si="45"/>
        <v>1.352654808078106</v>
      </c>
      <c r="H277" s="582">
        <f t="shared" si="36"/>
        <v>297.71276595744689</v>
      </c>
      <c r="I277" s="582">
        <f t="shared" si="37"/>
        <v>20.624011873648907</v>
      </c>
      <c r="J277" s="185"/>
    </row>
    <row r="278" spans="1:10">
      <c r="A278" s="549">
        <f>2019</f>
        <v>2019</v>
      </c>
      <c r="B278" s="550" t="s">
        <v>58</v>
      </c>
      <c r="C278" s="583">
        <f>[14]Março!$C$22</f>
        <v>3.8967000000000001</v>
      </c>
      <c r="D278" s="584">
        <f t="shared" si="35"/>
        <v>4.2316437073692592</v>
      </c>
      <c r="E278" s="584">
        <f t="shared" si="44"/>
        <v>0.56519046144316576</v>
      </c>
      <c r="F278" s="585">
        <f t="shared" si="39"/>
        <v>17.236295806005188</v>
      </c>
      <c r="G278" s="581">
        <f t="shared" si="45"/>
        <v>1.2977391125824416</v>
      </c>
      <c r="H278" s="582">
        <f t="shared" si="36"/>
        <v>314.54255319148939</v>
      </c>
      <c r="I278" s="582">
        <f t="shared" si="37"/>
        <v>22.986365357909342</v>
      </c>
      <c r="J278" s="185"/>
    </row>
    <row r="279" spans="1:10">
      <c r="A279" s="549">
        <f>2019</f>
        <v>2019</v>
      </c>
      <c r="B279" s="550" t="s">
        <v>59</v>
      </c>
      <c r="C279" s="583">
        <f>[14]Abril!$C$24</f>
        <v>3.9453</v>
      </c>
      <c r="D279" s="584">
        <f t="shared" si="35"/>
        <v>1.2472091769959226</v>
      </c>
      <c r="E279" s="584">
        <f t="shared" si="44"/>
        <v>1.8194487457417141</v>
      </c>
      <c r="F279" s="585">
        <f t="shared" si="39"/>
        <v>13.334865416104114</v>
      </c>
      <c r="G279" s="581">
        <f t="shared" si="45"/>
        <v>1.281752971890604</v>
      </c>
      <c r="H279" s="582">
        <f t="shared" si="36"/>
        <v>319.71276595744678</v>
      </c>
      <c r="I279" s="582">
        <f t="shared" si="37"/>
        <v>23.352301150575293</v>
      </c>
      <c r="J279" s="185"/>
    </row>
    <row r="280" spans="1:10">
      <c r="A280" s="549">
        <f>2019</f>
        <v>2019</v>
      </c>
      <c r="B280" s="550" t="s">
        <v>60</v>
      </c>
      <c r="C280" s="583">
        <f>[14]Maio!$C$25</f>
        <v>3.9407000000000001</v>
      </c>
      <c r="D280" s="584">
        <f t="shared" si="35"/>
        <v>-0.11659442881403193</v>
      </c>
      <c r="E280" s="584">
        <f t="shared" si="44"/>
        <v>1.7007329410550165</v>
      </c>
      <c r="F280" s="585">
        <f t="shared" si="39"/>
        <v>5.4508964409954563</v>
      </c>
      <c r="G280" s="581">
        <f t="shared" si="45"/>
        <v>1.2832491689293779</v>
      </c>
      <c r="H280" s="582">
        <f t="shared" si="36"/>
        <v>319.22340425531922</v>
      </c>
      <c r="I280" s="582">
        <f t="shared" si="37"/>
        <v>21.487807133828653</v>
      </c>
      <c r="J280" s="185"/>
    </row>
    <row r="281" spans="1:10">
      <c r="A281" s="549">
        <f>2019</f>
        <v>2019</v>
      </c>
      <c r="B281" s="550" t="s">
        <v>61</v>
      </c>
      <c r="C281" s="583">
        <f>[14]Junho!$C$22</f>
        <v>3.8321999999999998</v>
      </c>
      <c r="D281" s="584">
        <f t="shared" si="35"/>
        <v>-2.7533179384373385</v>
      </c>
      <c r="E281" s="584">
        <f t="shared" si="44"/>
        <v>-1.099411582533294</v>
      </c>
      <c r="F281" s="585">
        <f t="shared" si="39"/>
        <v>-0.61206494112765464</v>
      </c>
      <c r="G281" s="581">
        <f t="shared" si="45"/>
        <v>1.3195814414696518</v>
      </c>
      <c r="H281" s="582">
        <f t="shared" si="36"/>
        <v>307.68085106382978</v>
      </c>
      <c r="I281" s="582">
        <f t="shared" si="37"/>
        <v>15.839429296898611</v>
      </c>
      <c r="J281" s="185"/>
    </row>
    <row r="282" spans="1:10">
      <c r="A282" s="549">
        <f>2019</f>
        <v>2019</v>
      </c>
      <c r="B282" s="550" t="s">
        <v>62</v>
      </c>
      <c r="C282" s="583">
        <f>[14]Julho!$C$26</f>
        <v>3.7648999999999999</v>
      </c>
      <c r="D282" s="584">
        <f t="shared" si="35"/>
        <v>-1.7561713898021969</v>
      </c>
      <c r="E282" s="584">
        <f t="shared" si="44"/>
        <v>-2.8362754206668783</v>
      </c>
      <c r="F282" s="585">
        <f t="shared" si="39"/>
        <v>0.26631867692881173</v>
      </c>
      <c r="G282" s="581">
        <f t="shared" si="45"/>
        <v>1.3431698053069139</v>
      </c>
      <c r="H282" s="582">
        <f t="shared" si="36"/>
        <v>300.52127659574472</v>
      </c>
      <c r="I282" s="582">
        <f t="shared" si="37"/>
        <v>20.257450410451327</v>
      </c>
      <c r="J282" s="185"/>
    </row>
    <row r="283" spans="1:10">
      <c r="A283" s="549">
        <f>2019</f>
        <v>2019</v>
      </c>
      <c r="B283" s="550" t="s">
        <v>63</v>
      </c>
      <c r="C283" s="583">
        <f>[14]Agosto!$C$25</f>
        <v>4.1384999999999996</v>
      </c>
      <c r="D283" s="584">
        <f t="shared" si="35"/>
        <v>9.923238333023443</v>
      </c>
      <c r="E283" s="584">
        <f t="shared" si="44"/>
        <v>6.8055125425828367</v>
      </c>
      <c r="F283" s="585">
        <f t="shared" si="39"/>
        <v>7.7382535728953705E-2</v>
      </c>
      <c r="G283" s="581">
        <f t="shared" si="45"/>
        <v>1.2219161531956022</v>
      </c>
      <c r="H283" s="582">
        <f t="shared" si="36"/>
        <v>340.26595744680844</v>
      </c>
      <c r="I283" s="582">
        <f t="shared" si="37"/>
        <v>31.502017730609122</v>
      </c>
      <c r="J283" s="185"/>
    </row>
    <row r="284" spans="1:10">
      <c r="A284" s="549">
        <f>2019</f>
        <v>2019</v>
      </c>
      <c r="B284" s="550" t="s">
        <v>64</v>
      </c>
      <c r="C284" s="583">
        <f>[14]Setembro!$C$24</f>
        <v>4.1643999999999997</v>
      </c>
      <c r="D284" s="584">
        <f t="shared" si="35"/>
        <v>0.62583061495711245</v>
      </c>
      <c r="E284" s="584">
        <f t="shared" si="44"/>
        <v>7.4739341385361646</v>
      </c>
      <c r="F284" s="585">
        <f t="shared" si="39"/>
        <v>4.0085916231674013</v>
      </c>
      <c r="G284" s="581">
        <f t="shared" si="45"/>
        <v>1.2143165882239939</v>
      </c>
      <c r="H284" s="582">
        <f t="shared" si="36"/>
        <v>343.02127659574467</v>
      </c>
      <c r="I284" s="582">
        <f t="shared" si="37"/>
        <v>31.452020202020179</v>
      </c>
      <c r="J284" s="185"/>
    </row>
    <row r="285" spans="1:10">
      <c r="A285" s="549">
        <f>2019</f>
        <v>2019</v>
      </c>
      <c r="B285" s="550" t="s">
        <v>65</v>
      </c>
      <c r="C285" s="583">
        <f>[14]Outubro!$C$26</f>
        <v>4.0041000000000002</v>
      </c>
      <c r="D285" s="584">
        <f t="shared" si="35"/>
        <v>-3.8492940159446598</v>
      </c>
      <c r="E285" s="584">
        <f t="shared" si="44"/>
        <v>3.3369464230411872</v>
      </c>
      <c r="F285" s="585">
        <f t="shared" si="39"/>
        <v>7.7036877639400814</v>
      </c>
      <c r="G285" s="581">
        <f t="shared" si="45"/>
        <v>1.2629304962413526</v>
      </c>
      <c r="H285" s="582">
        <f t="shared" si="36"/>
        <v>325.96808510638306</v>
      </c>
      <c r="I285" s="582">
        <f t="shared" si="37"/>
        <v>22.191705575391385</v>
      </c>
      <c r="J285" s="185"/>
    </row>
    <row r="286" spans="1:10">
      <c r="A286" s="549">
        <f>2019</f>
        <v>2019</v>
      </c>
      <c r="B286" s="550" t="s">
        <v>66</v>
      </c>
      <c r="C286" s="583">
        <f>[14]Novembro!$C$23</f>
        <v>4.2240000000000002</v>
      </c>
      <c r="D286" s="584">
        <f t="shared" si="35"/>
        <v>5.4918708323967946</v>
      </c>
      <c r="E286" s="584">
        <f t="shared" si="44"/>
        <v>9.0120780427376914</v>
      </c>
      <c r="F286" s="585">
        <f t="shared" si="39"/>
        <v>9.3365775373385418</v>
      </c>
      <c r="G286" s="581">
        <f t="shared" si="45"/>
        <v>1.197182765151515</v>
      </c>
      <c r="H286" s="582">
        <f t="shared" si="36"/>
        <v>349.36170212765961</v>
      </c>
      <c r="I286" s="582">
        <f t="shared" si="37"/>
        <v>29.506990434142754</v>
      </c>
      <c r="J286" s="185"/>
    </row>
    <row r="287" spans="1:10">
      <c r="A287" s="549">
        <f>2019</f>
        <v>2019</v>
      </c>
      <c r="B287" s="550" t="s">
        <v>55</v>
      </c>
      <c r="C287" s="583">
        <f>[14]Dezembro!$C$24</f>
        <v>4.0307000000000004</v>
      </c>
      <c r="D287" s="584">
        <f t="shared" si="35"/>
        <v>-4.5762310606060508</v>
      </c>
      <c r="E287" s="584">
        <f t="shared" si="44"/>
        <v>4.0234334675338213</v>
      </c>
      <c r="F287" s="585">
        <f t="shared" si="39"/>
        <v>4.0234334675338213</v>
      </c>
      <c r="G287" s="581">
        <f t="shared" si="45"/>
        <v>1.2545959758850818</v>
      </c>
      <c r="H287" s="582">
        <f t="shared" si="36"/>
        <v>328.79787234042561</v>
      </c>
      <c r="I287" s="582">
        <f t="shared" si="37"/>
        <v>21.847037484885146</v>
      </c>
      <c r="J287" s="185"/>
    </row>
    <row r="288" spans="1:10">
      <c r="A288" s="549">
        <f>2020</f>
        <v>2020</v>
      </c>
      <c r="B288" s="550" t="s">
        <v>56</v>
      </c>
      <c r="C288" s="583">
        <f>[15]Janeiro!$C$25</f>
        <v>4.2694999999999999</v>
      </c>
      <c r="D288" s="584">
        <f t="shared" si="35"/>
        <v>5.9245292380975867</v>
      </c>
      <c r="E288" s="584">
        <f t="shared" ref="E288:E299" si="46">+((C288/C$287-1)*100)</f>
        <v>5.9245292380975867</v>
      </c>
      <c r="F288" s="585">
        <f t="shared" si="39"/>
        <v>14.92288229119001</v>
      </c>
      <c r="G288" s="581">
        <f t="shared" si="45"/>
        <v>1.184424405668111</v>
      </c>
      <c r="H288" s="582">
        <f t="shared" si="36"/>
        <v>354.20212765957444</v>
      </c>
      <c r="I288" s="582">
        <f t="shared" si="37"/>
        <v>35.008221603845179</v>
      </c>
      <c r="J288" s="185"/>
    </row>
    <row r="289" spans="1:10">
      <c r="A289" s="549">
        <f>2020</f>
        <v>2020</v>
      </c>
      <c r="B289" s="550" t="s">
        <v>57</v>
      </c>
      <c r="C289" s="583">
        <f>[15]Fevereiro!$C$21</f>
        <v>4.4987000000000004</v>
      </c>
      <c r="D289" s="584">
        <f t="shared" ref="D289:D348" si="47">((C289/C288)-1)*100</f>
        <v>5.3683101065698624</v>
      </c>
      <c r="E289" s="584">
        <f t="shared" si="46"/>
        <v>11.610886446522928</v>
      </c>
      <c r="F289" s="585">
        <f t="shared" si="39"/>
        <v>20.334358700013389</v>
      </c>
      <c r="G289" s="581">
        <f t="shared" si="45"/>
        <v>1.1240802898615154</v>
      </c>
      <c r="H289" s="582">
        <f t="shared" si="36"/>
        <v>378.58510638297878</v>
      </c>
      <c r="I289" s="582">
        <f t="shared" si="37"/>
        <v>38.639095195537635</v>
      </c>
      <c r="J289" s="185"/>
    </row>
    <row r="290" spans="1:10">
      <c r="A290" s="549">
        <f>2020</f>
        <v>2020</v>
      </c>
      <c r="B290" s="550" t="s">
        <v>58</v>
      </c>
      <c r="C290" s="583">
        <f>[15]Março!$C$25</f>
        <v>5.1986999999999997</v>
      </c>
      <c r="D290" s="584">
        <f t="shared" si="47"/>
        <v>15.560050681307924</v>
      </c>
      <c r="E290" s="584">
        <f t="shared" si="46"/>
        <v>28.977596943458938</v>
      </c>
      <c r="F290" s="585">
        <f t="shared" si="39"/>
        <v>33.412887828162276</v>
      </c>
      <c r="G290" s="581">
        <f t="shared" si="45"/>
        <v>0.97272395021832381</v>
      </c>
      <c r="H290" s="582">
        <f t="shared" ref="H290:H348" si="48">100*(C290/$C$9-1)</f>
        <v>453.05319148936167</v>
      </c>
      <c r="I290" s="582">
        <f t="shared" ref="I290:I348" si="49">100*(C290/C266-1)</f>
        <v>56.408327817558202</v>
      </c>
      <c r="J290" s="185"/>
    </row>
    <row r="291" spans="1:10">
      <c r="A291" s="549">
        <f>2020</f>
        <v>2020</v>
      </c>
      <c r="B291" s="550" t="s">
        <v>59</v>
      </c>
      <c r="C291" s="583">
        <f>[15]Abril!$C$23</f>
        <v>5.4269999999999996</v>
      </c>
      <c r="D291" s="584">
        <f t="shared" si="47"/>
        <v>4.3914824860061152</v>
      </c>
      <c r="E291" s="584">
        <f t="shared" si="46"/>
        <v>34.64162552410248</v>
      </c>
      <c r="F291" s="585">
        <f t="shared" si="39"/>
        <v>37.556079385598039</v>
      </c>
      <c r="G291" s="581">
        <f t="shared" si="45"/>
        <v>0.93180394324672933</v>
      </c>
      <c r="H291" s="582">
        <f t="shared" si="48"/>
        <v>477.34042553191489</v>
      </c>
      <c r="I291" s="582">
        <f t="shared" si="49"/>
        <v>55.89899744333686</v>
      </c>
      <c r="J291" s="185"/>
    </row>
    <row r="292" spans="1:10">
      <c r="A292" s="549">
        <f>2020</f>
        <v>2020</v>
      </c>
      <c r="B292" s="550" t="s">
        <v>60</v>
      </c>
      <c r="C292" s="583">
        <f>[15]Maio!$C$23</f>
        <v>5.4263000000000003</v>
      </c>
      <c r="D292" s="584">
        <f t="shared" si="47"/>
        <v>-1.2898470609901125E-2</v>
      </c>
      <c r="E292" s="584">
        <f t="shared" si="46"/>
        <v>34.624258813605579</v>
      </c>
      <c r="F292" s="585">
        <f t="shared" si="39"/>
        <v>37.698885984723532</v>
      </c>
      <c r="G292" s="581">
        <f t="shared" si="45"/>
        <v>0.93192414720896366</v>
      </c>
      <c r="H292" s="582">
        <f t="shared" si="48"/>
        <v>477.26595744680856</v>
      </c>
      <c r="I292" s="582">
        <f t="shared" si="49"/>
        <v>45.204709660155217</v>
      </c>
      <c r="J292" s="185"/>
    </row>
    <row r="293" spans="1:10">
      <c r="A293" s="549">
        <f>2020</f>
        <v>2020</v>
      </c>
      <c r="B293" s="550" t="s">
        <v>61</v>
      </c>
      <c r="C293" s="583">
        <f>[15]Junho!$C$24</f>
        <v>5.476</v>
      </c>
      <c r="D293" s="584">
        <f t="shared" si="47"/>
        <v>0.91590955162816901</v>
      </c>
      <c r="E293" s="584">
        <f t="shared" si="46"/>
        <v>35.857295258888009</v>
      </c>
      <c r="F293" s="585">
        <f t="shared" si="39"/>
        <v>42.894420959240122</v>
      </c>
      <c r="G293" s="581">
        <f t="shared" si="45"/>
        <v>0.92346603360116875</v>
      </c>
      <c r="H293" s="582">
        <f t="shared" si="48"/>
        <v>482.55319148936178</v>
      </c>
      <c r="I293" s="582">
        <f t="shared" si="49"/>
        <v>42.019814305721262</v>
      </c>
      <c r="J293" s="185"/>
    </row>
    <row r="294" spans="1:10">
      <c r="A294" s="549">
        <f>2020</f>
        <v>2020</v>
      </c>
      <c r="B294" s="550" t="s">
        <v>62</v>
      </c>
      <c r="C294" s="583">
        <f>[15]Julho!$C$26</f>
        <v>5.2032999999999996</v>
      </c>
      <c r="D294" s="584">
        <f t="shared" si="47"/>
        <v>-4.9799123447772153</v>
      </c>
      <c r="E294" s="584">
        <f t="shared" si="46"/>
        <v>29.091721041010231</v>
      </c>
      <c r="F294" s="585">
        <f t="shared" si="39"/>
        <v>38.205530027357959</v>
      </c>
      <c r="G294" s="581">
        <f t="shared" si="45"/>
        <v>0.97186400937866357</v>
      </c>
      <c r="H294" s="582">
        <f t="shared" si="48"/>
        <v>453.54255319148933</v>
      </c>
      <c r="I294" s="582">
        <f t="shared" si="49"/>
        <v>38.573597166369254</v>
      </c>
      <c r="J294" s="185"/>
    </row>
    <row r="295" spans="1:10">
      <c r="A295" s="549">
        <f>2020</f>
        <v>2020</v>
      </c>
      <c r="B295" s="550" t="s">
        <v>63</v>
      </c>
      <c r="C295" s="583">
        <f>[15]Agosto!$C$24</f>
        <v>5.4713000000000003</v>
      </c>
      <c r="D295" s="584">
        <f t="shared" si="47"/>
        <v>5.1505775181135194</v>
      </c>
      <c r="E295" s="584">
        <f t="shared" si="46"/>
        <v>35.740690202694324</v>
      </c>
      <c r="F295" s="585">
        <f t="shared" si="39"/>
        <v>32.204905158873999</v>
      </c>
      <c r="G295" s="581">
        <f t="shared" si="45"/>
        <v>0.92425931679856699</v>
      </c>
      <c r="H295" s="582">
        <f t="shared" si="48"/>
        <v>482.05319148936178</v>
      </c>
      <c r="I295" s="582">
        <f t="shared" si="49"/>
        <v>32.307208666843998</v>
      </c>
      <c r="J295" s="185"/>
    </row>
    <row r="296" spans="1:10">
      <c r="A296" s="549">
        <f>2020</f>
        <v>2020</v>
      </c>
      <c r="B296" s="550" t="s">
        <v>64</v>
      </c>
      <c r="C296" s="583">
        <f>[15]Setembro!$C$24</f>
        <v>5.6406999999999998</v>
      </c>
      <c r="D296" s="584">
        <f t="shared" si="47"/>
        <v>3.0961563065450504</v>
      </c>
      <c r="E296" s="584">
        <f t="shared" si="46"/>
        <v>39.943434142952825</v>
      </c>
      <c r="F296" s="585">
        <f t="shared" si="39"/>
        <v>35.450485063874758</v>
      </c>
      <c r="G296" s="581">
        <f t="shared" si="45"/>
        <v>0.89650220717286855</v>
      </c>
      <c r="H296" s="582">
        <f t="shared" si="48"/>
        <v>500.07446808510633</v>
      </c>
      <c r="I296" s="582">
        <f t="shared" si="49"/>
        <v>40.880141861684869</v>
      </c>
      <c r="J296" s="185"/>
    </row>
    <row r="297" spans="1:10">
      <c r="A297" s="549">
        <f>2020</f>
        <v>2020</v>
      </c>
      <c r="B297" s="550" t="s">
        <v>65</v>
      </c>
      <c r="C297" s="583">
        <f>[15]Outubro!$C$24</f>
        <v>5.7717999999999998</v>
      </c>
      <c r="D297" s="584">
        <f t="shared" si="47"/>
        <v>2.324179623096434</v>
      </c>
      <c r="E297" s="584">
        <f t="shared" si="46"/>
        <v>43.195970923164694</v>
      </c>
      <c r="F297" s="585">
        <f t="shared" si="39"/>
        <v>44.147249069703534</v>
      </c>
      <c r="G297" s="581">
        <f t="shared" si="45"/>
        <v>0.87613915936103115</v>
      </c>
      <c r="H297" s="582">
        <f t="shared" si="48"/>
        <v>514.02127659574467</v>
      </c>
      <c r="I297" s="582">
        <f t="shared" si="49"/>
        <v>55.251903058342535</v>
      </c>
      <c r="J297" s="185"/>
    </row>
    <row r="298" spans="1:10">
      <c r="A298" s="549">
        <f>2020</f>
        <v>2020</v>
      </c>
      <c r="B298" s="550" t="s">
        <v>66</v>
      </c>
      <c r="C298" s="583">
        <f>[15]Novembro!$C$23</f>
        <v>5.3316999999999997</v>
      </c>
      <c r="D298" s="584">
        <f t="shared" si="47"/>
        <v>-7.6250043314044174</v>
      </c>
      <c r="E298" s="584">
        <f t="shared" si="46"/>
        <v>32.277271937876776</v>
      </c>
      <c r="F298" s="585">
        <f t="shared" si="39"/>
        <v>26.223958333333329</v>
      </c>
      <c r="G298" s="581">
        <f t="shared" si="45"/>
        <v>0.94845921563478819</v>
      </c>
      <c r="H298" s="582">
        <f t="shared" si="48"/>
        <v>467.20212765957444</v>
      </c>
      <c r="I298" s="582">
        <f t="shared" si="49"/>
        <v>38.008956073822887</v>
      </c>
      <c r="J298" s="185"/>
    </row>
    <row r="299" spans="1:10">
      <c r="A299" s="549">
        <f>2020</f>
        <v>2020</v>
      </c>
      <c r="B299" s="550" t="s">
        <v>55</v>
      </c>
      <c r="C299" s="583">
        <f>[15]Dezembro!$C$25</f>
        <v>5.1966999999999999</v>
      </c>
      <c r="D299" s="584">
        <f t="shared" si="47"/>
        <v>-2.532025432788787</v>
      </c>
      <c r="E299" s="584">
        <f t="shared" si="46"/>
        <v>28.927977770610557</v>
      </c>
      <c r="F299" s="585">
        <f t="shared" si="39"/>
        <v>28.927977770610557</v>
      </c>
      <c r="G299" s="581">
        <f t="shared" si="45"/>
        <v>0.97309831239055555</v>
      </c>
      <c r="H299" s="582">
        <f t="shared" si="48"/>
        <v>452.84042553191489</v>
      </c>
      <c r="I299" s="582">
        <f t="shared" si="49"/>
        <v>34.115309177247852</v>
      </c>
      <c r="J299" s="185"/>
    </row>
    <row r="300" spans="1:10">
      <c r="A300" s="549">
        <f>2021</f>
        <v>2021</v>
      </c>
      <c r="B300" s="550" t="s">
        <v>56</v>
      </c>
      <c r="C300" s="583">
        <f>[16]Janeiro!$C$23</f>
        <v>5.4759000000000002</v>
      </c>
      <c r="D300" s="584">
        <f t="shared" si="47"/>
        <v>5.3726403294398484</v>
      </c>
      <c r="E300" s="584">
        <f t="shared" ref="E300:E311" si="50">+((C300/C$299-1)*100)</f>
        <v>5.3726403294398484</v>
      </c>
      <c r="F300" s="585">
        <f t="shared" ref="F300:F348" si="51">+((C300/C288-1)*100)</f>
        <v>28.256236093219368</v>
      </c>
      <c r="G300" s="581">
        <f t="shared" si="45"/>
        <v>0.92348289778849135</v>
      </c>
      <c r="H300" s="582">
        <f t="shared" si="48"/>
        <v>482.54255319148945</v>
      </c>
      <c r="I300" s="582">
        <f t="shared" si="49"/>
        <v>47.39576323652124</v>
      </c>
      <c r="J300" s="185"/>
    </row>
    <row r="301" spans="1:10">
      <c r="A301" s="549">
        <f>2021</f>
        <v>2021</v>
      </c>
      <c r="B301" s="550" t="s">
        <v>57</v>
      </c>
      <c r="C301" s="583">
        <f>[16]Fevereiro!$C$21</f>
        <v>5.5301999999999998</v>
      </c>
      <c r="D301" s="584">
        <f t="shared" si="47"/>
        <v>0.99161781624936829</v>
      </c>
      <c r="E301" s="584">
        <f t="shared" si="50"/>
        <v>6.4175342043989447</v>
      </c>
      <c r="F301" s="585">
        <f t="shared" si="51"/>
        <v>22.928846111098757</v>
      </c>
      <c r="G301" s="581">
        <f t="shared" si="45"/>
        <v>0.91441539184839604</v>
      </c>
      <c r="H301" s="582">
        <f t="shared" si="48"/>
        <v>488.31914893617022</v>
      </c>
      <c r="I301" s="582">
        <f t="shared" si="49"/>
        <v>47.925638625117003</v>
      </c>
      <c r="J301" s="185"/>
    </row>
    <row r="302" spans="1:10">
      <c r="A302" s="549">
        <f>2021</f>
        <v>2021</v>
      </c>
      <c r="B302" s="550" t="s">
        <v>58</v>
      </c>
      <c r="C302" s="583">
        <f>[16]Março!$C$26</f>
        <v>5.6973000000000003</v>
      </c>
      <c r="D302" s="584">
        <f t="shared" si="47"/>
        <v>3.0215905392210196</v>
      </c>
      <c r="E302" s="584">
        <f t="shared" si="50"/>
        <v>9.6330363499913538</v>
      </c>
      <c r="F302" s="585">
        <f t="shared" si="51"/>
        <v>9.5908592532748749</v>
      </c>
      <c r="G302" s="581">
        <f t="shared" si="45"/>
        <v>0.88759587874958301</v>
      </c>
      <c r="H302" s="582">
        <f t="shared" si="48"/>
        <v>506.09574468085111</v>
      </c>
      <c r="I302" s="582">
        <f t="shared" si="49"/>
        <v>46.208330125490818</v>
      </c>
      <c r="J302" s="185"/>
    </row>
    <row r="303" spans="1:10">
      <c r="A303" s="549">
        <f>2021</f>
        <v>2021</v>
      </c>
      <c r="B303" s="550" t="s">
        <v>59</v>
      </c>
      <c r="C303" s="583">
        <f>[16]Abril!$C$23</f>
        <v>5.4036</v>
      </c>
      <c r="D303" s="584">
        <f t="shared" si="47"/>
        <v>-5.1550734558475142</v>
      </c>
      <c r="E303" s="584">
        <f t="shared" si="50"/>
        <v>3.9813727942732857</v>
      </c>
      <c r="F303" s="585">
        <f t="shared" si="51"/>
        <v>-0.43117744610281505</v>
      </c>
      <c r="G303" s="581">
        <f t="shared" si="45"/>
        <v>0.93583907024946322</v>
      </c>
      <c r="H303" s="582">
        <f t="shared" si="48"/>
        <v>474.85106382978728</v>
      </c>
      <c r="I303" s="582">
        <f t="shared" si="49"/>
        <v>36.962968595544069</v>
      </c>
      <c r="J303" s="185"/>
    </row>
    <row r="304" spans="1:10">
      <c r="A304" s="549">
        <f>2021</f>
        <v>2021</v>
      </c>
      <c r="B304" s="550" t="s">
        <v>60</v>
      </c>
      <c r="C304" s="583">
        <f>[16]Maio!$C$24</f>
        <v>5.2321999999999997</v>
      </c>
      <c r="D304" s="584">
        <f t="shared" si="47"/>
        <v>-3.1719594344511104</v>
      </c>
      <c r="E304" s="584">
        <f t="shared" si="50"/>
        <v>0.68312582985354808</v>
      </c>
      <c r="F304" s="585">
        <f t="shared" si="51"/>
        <v>-3.57702301752576</v>
      </c>
      <c r="G304" s="581">
        <f t="shared" si="45"/>
        <v>0.96649592905469972</v>
      </c>
      <c r="H304" s="582">
        <f t="shared" si="48"/>
        <v>456.61702127659572</v>
      </c>
      <c r="I304" s="582">
        <f t="shared" si="49"/>
        <v>32.773365138173418</v>
      </c>
      <c r="J304" s="185"/>
    </row>
    <row r="305" spans="1:10">
      <c r="A305" s="549">
        <f>2021</f>
        <v>2021</v>
      </c>
      <c r="B305" s="550" t="s">
        <v>61</v>
      </c>
      <c r="C305" s="583">
        <f>[16]Junho!$C$24</f>
        <v>5.0022000000000002</v>
      </c>
      <c r="D305" s="584">
        <f t="shared" si="47"/>
        <v>-4.3958564275065832</v>
      </c>
      <c r="E305" s="584">
        <f t="shared" si="50"/>
        <v>-3.7427598283526042</v>
      </c>
      <c r="F305" s="585">
        <f t="shared" si="51"/>
        <v>-8.6523009495982457</v>
      </c>
      <c r="G305" s="581">
        <f t="shared" si="45"/>
        <v>1.0109351885170523</v>
      </c>
      <c r="H305" s="582">
        <f t="shared" si="48"/>
        <v>432.14893617021283</v>
      </c>
      <c r="I305" s="582">
        <f t="shared" si="49"/>
        <v>30.530765617660883</v>
      </c>
      <c r="J305" s="185"/>
    </row>
    <row r="306" spans="1:10">
      <c r="A306" s="549">
        <f>2021</f>
        <v>2021</v>
      </c>
      <c r="B306" s="550" t="s">
        <v>62</v>
      </c>
      <c r="C306" s="583">
        <f>[16]Julho!$C$25</f>
        <v>5.1215999999999999</v>
      </c>
      <c r="D306" s="584">
        <f t="shared" si="47"/>
        <v>2.3869497421134644</v>
      </c>
      <c r="E306" s="584">
        <f t="shared" si="50"/>
        <v>-1.4451478823099273</v>
      </c>
      <c r="F306" s="585">
        <f t="shared" si="51"/>
        <v>-1.5701574001114604</v>
      </c>
      <c r="G306" s="581">
        <f t="shared" si="45"/>
        <v>0.98736722899094032</v>
      </c>
      <c r="H306" s="582">
        <f t="shared" si="48"/>
        <v>444.85106382978728</v>
      </c>
      <c r="I306" s="582">
        <f t="shared" si="49"/>
        <v>36.035485670270127</v>
      </c>
      <c r="J306" s="185"/>
    </row>
    <row r="307" spans="1:10">
      <c r="A307" s="549">
        <f>2021</f>
        <v>2021</v>
      </c>
      <c r="B307" s="550" t="s">
        <v>63</v>
      </c>
      <c r="C307" s="583">
        <f>[16]Agosto!$C$25</f>
        <v>5.1433</v>
      </c>
      <c r="D307" s="584">
        <f t="shared" si="47"/>
        <v>0.42369572008746914</v>
      </c>
      <c r="E307" s="584">
        <f t="shared" si="50"/>
        <v>-1.0275751919487375</v>
      </c>
      <c r="F307" s="585">
        <f t="shared" si="51"/>
        <v>-5.9949189406539594</v>
      </c>
      <c r="G307" s="581">
        <f t="shared" si="45"/>
        <v>0.98320144654210329</v>
      </c>
      <c r="H307" s="582">
        <f t="shared" si="48"/>
        <v>447.15957446808511</v>
      </c>
      <c r="I307" s="582">
        <f t="shared" si="49"/>
        <v>24.279328259031054</v>
      </c>
      <c r="J307" s="185"/>
    </row>
    <row r="308" spans="1:10">
      <c r="A308" s="549">
        <f>2021</f>
        <v>2021</v>
      </c>
      <c r="B308" s="550" t="s">
        <v>64</v>
      </c>
      <c r="C308" s="583">
        <f>[16]Setembro!$C$24</f>
        <v>5.4394</v>
      </c>
      <c r="D308" s="584">
        <f t="shared" si="47"/>
        <v>5.7570042579666802</v>
      </c>
      <c r="E308" s="584">
        <f t="shared" si="50"/>
        <v>4.6702715184636423</v>
      </c>
      <c r="F308" s="585">
        <f t="shared" si="51"/>
        <v>-3.5687060116652125</v>
      </c>
      <c r="G308" s="581">
        <f t="shared" ref="G308:G339" si="52">+$C$364/C308</f>
        <v>0.92967974408942156</v>
      </c>
      <c r="H308" s="582">
        <f t="shared" si="48"/>
        <v>478.65957446808511</v>
      </c>
      <c r="I308" s="582">
        <f t="shared" si="49"/>
        <v>30.616655460570552</v>
      </c>
      <c r="J308" s="185"/>
    </row>
    <row r="309" spans="1:10">
      <c r="A309" s="549">
        <f>2021</f>
        <v>2021</v>
      </c>
      <c r="B309" s="550" t="s">
        <v>65</v>
      </c>
      <c r="C309" s="583">
        <f>[16]Outubro!$C$23</f>
        <v>5.6429999999999998</v>
      </c>
      <c r="D309" s="584">
        <f t="shared" si="47"/>
        <v>3.7430598963120953</v>
      </c>
      <c r="E309" s="584">
        <f t="shared" si="50"/>
        <v>8.5881424750322353</v>
      </c>
      <c r="F309" s="585">
        <f t="shared" si="51"/>
        <v>-2.2315395543851091</v>
      </c>
      <c r="G309" s="581">
        <f t="shared" si="52"/>
        <v>0.89613680666312245</v>
      </c>
      <c r="H309" s="582">
        <f t="shared" si="48"/>
        <v>500.31914893617022</v>
      </c>
      <c r="I309" s="582">
        <f t="shared" si="49"/>
        <v>40.930546190155084</v>
      </c>
      <c r="J309" s="185"/>
    </row>
    <row r="310" spans="1:10">
      <c r="A310" s="549">
        <f>2021</f>
        <v>2021</v>
      </c>
      <c r="B310" s="550" t="s">
        <v>66</v>
      </c>
      <c r="C310" s="583">
        <f>[16]Novembro!$C$23</f>
        <v>5.6199000000000003</v>
      </c>
      <c r="D310" s="584">
        <f t="shared" si="47"/>
        <v>-0.4093567251461927</v>
      </c>
      <c r="E310" s="584">
        <f t="shared" si="50"/>
        <v>8.1436296110993567</v>
      </c>
      <c r="F310" s="585">
        <f t="shared" si="51"/>
        <v>5.4054054054054168</v>
      </c>
      <c r="G310" s="581">
        <f t="shared" si="52"/>
        <v>0.89982028149967075</v>
      </c>
      <c r="H310" s="582">
        <f t="shared" si="48"/>
        <v>497.86170212765961</v>
      </c>
      <c r="I310" s="582">
        <f t="shared" si="49"/>
        <v>33.046875000000007</v>
      </c>
      <c r="J310" s="185"/>
    </row>
    <row r="311" spans="1:10">
      <c r="A311" s="549">
        <f>2021</f>
        <v>2021</v>
      </c>
      <c r="B311" s="550" t="s">
        <v>55</v>
      </c>
      <c r="C311" s="583">
        <f>[16]Dezembro!$C$26</f>
        <v>5.5804999999999998</v>
      </c>
      <c r="D311" s="584">
        <f t="shared" si="47"/>
        <v>-0.70108009039308028</v>
      </c>
      <c r="E311" s="584">
        <f t="shared" si="50"/>
        <v>7.3854561548675202</v>
      </c>
      <c r="F311" s="585">
        <f t="shared" si="51"/>
        <v>7.3854561548675202</v>
      </c>
      <c r="G311" s="581">
        <f t="shared" si="52"/>
        <v>0.90617328196398172</v>
      </c>
      <c r="H311" s="582">
        <f t="shared" si="48"/>
        <v>493.6702127659575</v>
      </c>
      <c r="I311" s="582">
        <f t="shared" si="49"/>
        <v>38.449897040216328</v>
      </c>
      <c r="J311" s="185"/>
    </row>
    <row r="312" spans="1:10">
      <c r="A312" s="549">
        <f>2022</f>
        <v>2022</v>
      </c>
      <c r="B312" s="550" t="s">
        <v>56</v>
      </c>
      <c r="C312" s="583">
        <f>[17]Janeiro!$C$24</f>
        <v>5.3574000000000002</v>
      </c>
      <c r="D312" s="584">
        <f t="shared" si="47"/>
        <v>-3.9978496550488241</v>
      </c>
      <c r="E312" s="584">
        <f t="shared" ref="E312:E323" si="53">+((C312/C$311-1)*100)</f>
        <v>-3.9978496550488241</v>
      </c>
      <c r="F312" s="585">
        <f t="shared" si="51"/>
        <v>-2.1640278310414707</v>
      </c>
      <c r="G312" s="581">
        <f t="shared" si="52"/>
        <v>0.94390935901743378</v>
      </c>
      <c r="H312" s="582">
        <f t="shared" si="48"/>
        <v>469.93617021276594</v>
      </c>
      <c r="I312" s="582">
        <f t="shared" si="49"/>
        <v>25.480735449115819</v>
      </c>
      <c r="J312" s="185"/>
    </row>
    <row r="313" spans="1:10">
      <c r="A313" s="549">
        <f>2022</f>
        <v>2022</v>
      </c>
      <c r="B313" s="550" t="s">
        <v>57</v>
      </c>
      <c r="C313" s="583">
        <f>[17]Fevereiro!$C$22</f>
        <v>5.1394000000000002</v>
      </c>
      <c r="D313" s="584">
        <f t="shared" si="47"/>
        <v>-4.0691380147086287</v>
      </c>
      <c r="E313" s="584">
        <f t="shared" si="53"/>
        <v>-7.9043096496729586</v>
      </c>
      <c r="F313" s="585">
        <f t="shared" si="51"/>
        <v>-7.0666522006437305</v>
      </c>
      <c r="G313" s="581">
        <f t="shared" si="52"/>
        <v>0.9839475425146903</v>
      </c>
      <c r="H313" s="582">
        <f t="shared" si="48"/>
        <v>446.74468085106389</v>
      </c>
      <c r="I313" s="582">
        <f t="shared" si="49"/>
        <v>14.241892102162845</v>
      </c>
      <c r="J313" s="185"/>
    </row>
    <row r="314" spans="1:10">
      <c r="A314" s="549">
        <f>2022</f>
        <v>2022</v>
      </c>
      <c r="B314" s="550" t="s">
        <v>58</v>
      </c>
      <c r="C314" s="583">
        <f>[17]Março!$C$25</f>
        <v>4.7378</v>
      </c>
      <c r="D314" s="584">
        <f t="shared" si="47"/>
        <v>-7.8141417286064607</v>
      </c>
      <c r="E314" s="584">
        <f t="shared" si="53"/>
        <v>-15.100797419586055</v>
      </c>
      <c r="F314" s="585">
        <f t="shared" si="51"/>
        <v>-16.841310796342135</v>
      </c>
      <c r="G314" s="581">
        <f t="shared" si="52"/>
        <v>1.0673519354974883</v>
      </c>
      <c r="H314" s="582">
        <f t="shared" si="48"/>
        <v>404.02127659574472</v>
      </c>
      <c r="I314" s="582">
        <f t="shared" si="49"/>
        <v>-8.8656779579510232</v>
      </c>
      <c r="J314" s="185"/>
    </row>
    <row r="315" spans="1:10">
      <c r="A315" s="549">
        <f>2022</f>
        <v>2022</v>
      </c>
      <c r="B315" s="550" t="s">
        <v>59</v>
      </c>
      <c r="C315" s="583">
        <f>[17]Abril!$C$22</f>
        <v>4.9191000000000003</v>
      </c>
      <c r="D315" s="584">
        <f t="shared" si="47"/>
        <v>3.8266706066106604</v>
      </c>
      <c r="E315" s="584">
        <f t="shared" si="53"/>
        <v>-11.851984589194508</v>
      </c>
      <c r="F315" s="585">
        <f t="shared" si="51"/>
        <v>-8.9662447257383917</v>
      </c>
      <c r="G315" s="581">
        <f t="shared" si="52"/>
        <v>1.0280132544571161</v>
      </c>
      <c r="H315" s="582">
        <f t="shared" si="48"/>
        <v>423.30851063829789</v>
      </c>
      <c r="I315" s="582">
        <f t="shared" si="49"/>
        <v>-9.3587617468214432</v>
      </c>
      <c r="J315" s="185"/>
    </row>
    <row r="316" spans="1:10">
      <c r="A316" s="549">
        <f>2022</f>
        <v>2022</v>
      </c>
      <c r="B316" s="550" t="s">
        <v>60</v>
      </c>
      <c r="C316" s="583">
        <f>[17]Maio!$C$25</f>
        <v>4.7289000000000003</v>
      </c>
      <c r="D316" s="584">
        <f t="shared" si="47"/>
        <v>-3.8665609562724912</v>
      </c>
      <c r="E316" s="584">
        <f t="shared" si="53"/>
        <v>-15.260281336797766</v>
      </c>
      <c r="F316" s="585">
        <f t="shared" si="51"/>
        <v>-9.619280608539416</v>
      </c>
      <c r="G316" s="581">
        <f t="shared" si="52"/>
        <v>1.069360739283977</v>
      </c>
      <c r="H316" s="582">
        <f t="shared" si="48"/>
        <v>403.07446808510645</v>
      </c>
      <c r="I316" s="582">
        <f t="shared" si="49"/>
        <v>-12.852219744577331</v>
      </c>
      <c r="J316" s="185"/>
    </row>
    <row r="317" spans="1:10">
      <c r="A317" s="549">
        <f>2022</f>
        <v>2022</v>
      </c>
      <c r="B317" s="550" t="s">
        <v>61</v>
      </c>
      <c r="C317" s="583">
        <f>[17]Junho!$C$24</f>
        <v>5.2380000000000004</v>
      </c>
      <c r="D317" s="584">
        <f t="shared" si="47"/>
        <v>10.765717185814893</v>
      </c>
      <c r="E317" s="584">
        <f t="shared" si="53"/>
        <v>-6.1374428814622188</v>
      </c>
      <c r="F317" s="585">
        <f t="shared" si="51"/>
        <v>4.7139258726160538</v>
      </c>
      <c r="G317" s="581">
        <f t="shared" si="52"/>
        <v>0.96542573501336371</v>
      </c>
      <c r="H317" s="582">
        <f t="shared" si="48"/>
        <v>457.23404255319161</v>
      </c>
      <c r="I317" s="582">
        <f t="shared" si="49"/>
        <v>-4.3462381300219066</v>
      </c>
      <c r="J317" s="185"/>
    </row>
    <row r="318" spans="1:10">
      <c r="A318" s="549">
        <f>2022</f>
        <v>2022</v>
      </c>
      <c r="B318" s="550" t="s">
        <v>62</v>
      </c>
      <c r="C318" s="583">
        <f>[17]Julho!$C$24</f>
        <v>5.1883999999999997</v>
      </c>
      <c r="D318" s="584">
        <f t="shared" si="47"/>
        <v>-0.94692630775106146</v>
      </c>
      <c r="E318" s="584">
        <f t="shared" si="53"/>
        <v>-7.026252127945531</v>
      </c>
      <c r="F318" s="585">
        <f t="shared" si="51"/>
        <v>1.3042799125273286</v>
      </c>
      <c r="G318" s="581">
        <f t="shared" si="52"/>
        <v>0.97465499961452473</v>
      </c>
      <c r="H318" s="582">
        <f t="shared" si="48"/>
        <v>451.95744680851061</v>
      </c>
      <c r="I318" s="582">
        <f t="shared" si="49"/>
        <v>-0.28635673514885163</v>
      </c>
      <c r="J318" s="185"/>
    </row>
    <row r="319" spans="1:10">
      <c r="A319" s="549">
        <f>2022</f>
        <v>2022</v>
      </c>
      <c r="B319" s="550" t="s">
        <v>63</v>
      </c>
      <c r="C319" s="583">
        <f>[17]Agosto!$C$26</f>
        <v>5.1790000000000003</v>
      </c>
      <c r="D319" s="584">
        <f t="shared" si="47"/>
        <v>-0.18117338678589334</v>
      </c>
      <c r="E319" s="584">
        <f t="shared" si="53"/>
        <v>-7.194695815787111</v>
      </c>
      <c r="F319" s="585">
        <f t="shared" si="51"/>
        <v>0.69410689635058809</v>
      </c>
      <c r="G319" s="581">
        <f t="shared" si="52"/>
        <v>0.97642402008109663</v>
      </c>
      <c r="H319" s="582">
        <f t="shared" si="48"/>
        <v>450.95744680851072</v>
      </c>
      <c r="I319" s="582">
        <f t="shared" si="49"/>
        <v>-5.3424231901010755</v>
      </c>
      <c r="J319" s="185"/>
    </row>
    <row r="320" spans="1:10">
      <c r="A320" s="549">
        <f>2022</f>
        <v>2022</v>
      </c>
      <c r="B320" s="550" t="s">
        <v>64</v>
      </c>
      <c r="C320" s="583">
        <f>[17]Setembro!$C$24</f>
        <v>5.4066000000000001</v>
      </c>
      <c r="D320" s="584">
        <f t="shared" si="47"/>
        <v>4.394670785865995</v>
      </c>
      <c r="E320" s="584">
        <f t="shared" si="53"/>
        <v>-3.1162082250694279</v>
      </c>
      <c r="F320" s="585">
        <f t="shared" si="51"/>
        <v>-0.60300768467109744</v>
      </c>
      <c r="G320" s="581">
        <f t="shared" si="52"/>
        <v>0.93531979432545398</v>
      </c>
      <c r="H320" s="582">
        <f t="shared" si="48"/>
        <v>475.1702127659575</v>
      </c>
      <c r="I320" s="582">
        <f t="shared" si="49"/>
        <v>-4.1501941248426544</v>
      </c>
      <c r="J320" s="185"/>
    </row>
    <row r="321" spans="1:10">
      <c r="A321" s="549">
        <f>2022</f>
        <v>2022</v>
      </c>
      <c r="B321" s="550" t="s">
        <v>65</v>
      </c>
      <c r="C321" s="583">
        <f>[17]Outubro!$C$23</f>
        <v>5.2569999999999997</v>
      </c>
      <c r="D321" s="584">
        <f t="shared" si="47"/>
        <v>-2.7669884955424884</v>
      </c>
      <c r="E321" s="584">
        <f t="shared" si="53"/>
        <v>-5.7969715975271008</v>
      </c>
      <c r="F321" s="585">
        <f t="shared" si="51"/>
        <v>-6.8403331561226359</v>
      </c>
      <c r="G321" s="581">
        <f t="shared" si="52"/>
        <v>0.96193646566482782</v>
      </c>
      <c r="H321" s="582">
        <f t="shared" si="48"/>
        <v>459.25531914893617</v>
      </c>
      <c r="I321" s="582">
        <f t="shared" si="49"/>
        <v>-8.9192279704771504</v>
      </c>
      <c r="J321" s="185"/>
    </row>
    <row r="322" spans="1:10">
      <c r="A322" s="549">
        <f>2022</f>
        <v>2022</v>
      </c>
      <c r="B322" s="550" t="s">
        <v>66</v>
      </c>
      <c r="C322" s="583">
        <f>[17]Novembro!$C$23</f>
        <v>5.2941000000000003</v>
      </c>
      <c r="D322" s="584">
        <f t="shared" si="47"/>
        <v>0.70572569906792726</v>
      </c>
      <c r="E322" s="584">
        <f t="shared" si="53"/>
        <v>-5.1321566167906063</v>
      </c>
      <c r="F322" s="585">
        <f t="shared" si="51"/>
        <v>-5.797256178935573</v>
      </c>
      <c r="G322" s="581">
        <f t="shared" si="52"/>
        <v>0.95519540620690946</v>
      </c>
      <c r="H322" s="582">
        <f t="shared" si="48"/>
        <v>463.20212765957456</v>
      </c>
      <c r="I322" s="582">
        <f t="shared" si="49"/>
        <v>-0.70521597239153744</v>
      </c>
      <c r="J322" s="185"/>
    </row>
    <row r="323" spans="1:10">
      <c r="A323" s="549">
        <f>2022</f>
        <v>2022</v>
      </c>
      <c r="B323" s="550" t="s">
        <v>55</v>
      </c>
      <c r="C323" s="583">
        <f>[17]Dezembro!$C$25</f>
        <v>5.2176999999999998</v>
      </c>
      <c r="D323" s="584">
        <f t="shared" si="47"/>
        <v>-1.4431159214975287</v>
      </c>
      <c r="E323" s="584">
        <f t="shared" si="53"/>
        <v>-6.501209569035038</v>
      </c>
      <c r="F323" s="585">
        <f t="shared" si="51"/>
        <v>-6.501209569035038</v>
      </c>
      <c r="G323" s="581">
        <f t="shared" si="52"/>
        <v>0.96918182340878167</v>
      </c>
      <c r="H323" s="582">
        <f t="shared" si="48"/>
        <v>455.07446808510645</v>
      </c>
      <c r="I323" s="582">
        <f t="shared" si="49"/>
        <v>0.40410260357535144</v>
      </c>
      <c r="J323" s="185"/>
    </row>
    <row r="324" spans="1:10">
      <c r="A324" s="549">
        <f>2023</f>
        <v>2023</v>
      </c>
      <c r="B324" s="550" t="s">
        <v>56</v>
      </c>
      <c r="C324" s="583">
        <f>[18]Janeiro!$C$25</f>
        <v>5.0993000000000004</v>
      </c>
      <c r="D324" s="584">
        <f t="shared" si="47"/>
        <v>-2.2691990723882061</v>
      </c>
      <c r="E324" s="584">
        <f t="shared" ref="E324:E335" si="54">+((C324/C$323-1)*100)</f>
        <v>-2.2691990723882061</v>
      </c>
      <c r="F324" s="585">
        <f t="shared" si="51"/>
        <v>-4.8176354201664999</v>
      </c>
      <c r="G324" s="581">
        <f t="shared" si="52"/>
        <v>0.99168513325358365</v>
      </c>
      <c r="H324" s="582">
        <f t="shared" si="48"/>
        <v>442.47872340425533</v>
      </c>
      <c r="I324" s="582">
        <f t="shared" si="49"/>
        <v>-6.8774082799174518</v>
      </c>
      <c r="J324" s="185"/>
    </row>
    <row r="325" spans="1:10">
      <c r="A325" s="549">
        <f>2023</f>
        <v>2023</v>
      </c>
      <c r="B325" s="550" t="s">
        <v>57</v>
      </c>
      <c r="C325" s="583">
        <f>[18]Fevereiro!$C$21</f>
        <v>5.2077999999999998</v>
      </c>
      <c r="D325" s="584">
        <f t="shared" si="47"/>
        <v>2.127743023552231</v>
      </c>
      <c r="E325" s="584">
        <f t="shared" si="54"/>
        <v>-0.18973877378921644</v>
      </c>
      <c r="F325" s="585">
        <f t="shared" si="51"/>
        <v>1.3308946569638325</v>
      </c>
      <c r="G325" s="581">
        <f t="shared" si="52"/>
        <v>0.97102423288144701</v>
      </c>
      <c r="H325" s="582">
        <f t="shared" si="48"/>
        <v>454.02127659574472</v>
      </c>
      <c r="I325" s="582">
        <f t="shared" si="49"/>
        <v>-5.8298072402444774</v>
      </c>
      <c r="J325" s="185"/>
    </row>
    <row r="326" spans="1:10">
      <c r="A326" s="549">
        <f>2023</f>
        <v>2023</v>
      </c>
      <c r="B326" s="550" t="s">
        <v>58</v>
      </c>
      <c r="C326" s="583">
        <f>[18]Março!$C$26</f>
        <v>5.0804</v>
      </c>
      <c r="D326" s="584">
        <f t="shared" si="47"/>
        <v>-2.4463305042436323</v>
      </c>
      <c r="E326" s="584">
        <f t="shared" si="54"/>
        <v>-2.6314276405312587</v>
      </c>
      <c r="F326" s="585">
        <f t="shared" si="51"/>
        <v>7.2312043564523698</v>
      </c>
      <c r="G326" s="581">
        <f t="shared" si="52"/>
        <v>0.99537437997008105</v>
      </c>
      <c r="H326" s="582">
        <f t="shared" si="48"/>
        <v>440.468085106383</v>
      </c>
      <c r="I326" s="582">
        <f t="shared" si="49"/>
        <v>-10.827936039878539</v>
      </c>
      <c r="J326" s="185"/>
    </row>
    <row r="327" spans="1:10">
      <c r="A327" s="549">
        <f>2023</f>
        <v>2023</v>
      </c>
      <c r="B327" s="550" t="s">
        <v>59</v>
      </c>
      <c r="C327" s="583">
        <f>[18]Abril!$C$21</f>
        <v>5.0007000000000001</v>
      </c>
      <c r="D327" s="584">
        <f t="shared" si="47"/>
        <v>-1.5687741122746179</v>
      </c>
      <c r="E327" s="584">
        <f t="shared" si="54"/>
        <v>-4.1589205971979908</v>
      </c>
      <c r="F327" s="585">
        <f t="shared" si="51"/>
        <v>1.6588400317131269</v>
      </c>
      <c r="G327" s="581">
        <f t="shared" si="52"/>
        <v>1.011238426620273</v>
      </c>
      <c r="H327" s="582">
        <f t="shared" si="48"/>
        <v>431.98936170212772</v>
      </c>
      <c r="I327" s="582">
        <f t="shared" si="49"/>
        <v>-7.4561403508771935</v>
      </c>
      <c r="J327" s="185"/>
    </row>
    <row r="328" spans="1:10">
      <c r="A328" s="549">
        <f>2023</f>
        <v>2023</v>
      </c>
      <c r="B328" s="550" t="s">
        <v>60</v>
      </c>
      <c r="C328" s="583">
        <f>[18]Maio!$C$25</f>
        <v>5.0959000000000003</v>
      </c>
      <c r="D328" s="584">
        <f t="shared" si="47"/>
        <v>1.9037334773131853</v>
      </c>
      <c r="E328" s="584">
        <f t="shared" si="54"/>
        <v>-2.3343618835885427</v>
      </c>
      <c r="F328" s="585">
        <f t="shared" si="51"/>
        <v>7.760790035737708</v>
      </c>
      <c r="G328" s="581">
        <f t="shared" si="52"/>
        <v>0.99234678859475256</v>
      </c>
      <c r="H328" s="582">
        <f t="shared" si="48"/>
        <v>442.11702127659578</v>
      </c>
      <c r="I328" s="582">
        <f t="shared" si="49"/>
        <v>-2.6050227437788953</v>
      </c>
      <c r="J328" s="185"/>
    </row>
    <row r="329" spans="1:10">
      <c r="A329" s="549">
        <f>2023</f>
        <v>2023</v>
      </c>
      <c r="B329" s="550" t="s">
        <v>61</v>
      </c>
      <c r="C329" s="583">
        <f>[18]Junho!$C$24</f>
        <v>4.8192000000000004</v>
      </c>
      <c r="D329" s="584">
        <f t="shared" si="47"/>
        <v>-5.4298553739280608</v>
      </c>
      <c r="E329" s="584">
        <f t="shared" si="54"/>
        <v>-7.6374647833336473</v>
      </c>
      <c r="F329" s="585">
        <f t="shared" si="51"/>
        <v>-7.9954180985108874</v>
      </c>
      <c r="G329" s="581">
        <f t="shared" si="52"/>
        <v>1.0493235391766267</v>
      </c>
      <c r="H329" s="582">
        <f t="shared" si="48"/>
        <v>412.68085106382983</v>
      </c>
      <c r="I329" s="582">
        <f t="shared" si="49"/>
        <v>-3.6583903082643587</v>
      </c>
      <c r="J329" s="185"/>
    </row>
    <row r="330" spans="1:10">
      <c r="A330" s="549">
        <f>2023</f>
        <v>2023</v>
      </c>
      <c r="B330" s="550" t="s">
        <v>62</v>
      </c>
      <c r="C330" s="583">
        <f>[18]Junho!$C$24</f>
        <v>4.8192000000000004</v>
      </c>
      <c r="D330" s="584">
        <f t="shared" si="47"/>
        <v>0</v>
      </c>
      <c r="E330" s="584">
        <f t="shared" si="54"/>
        <v>-7.6374647833336473</v>
      </c>
      <c r="F330" s="585">
        <f t="shared" si="51"/>
        <v>-7.115873872484757</v>
      </c>
      <c r="G330" s="581">
        <f t="shared" si="52"/>
        <v>1.0493235391766267</v>
      </c>
      <c r="H330" s="582">
        <f t="shared" si="48"/>
        <v>412.68085106382983</v>
      </c>
      <c r="I330" s="582">
        <f t="shared" si="49"/>
        <v>-5.9044048734770316</v>
      </c>
      <c r="J330" s="185"/>
    </row>
    <row r="331" spans="1:10">
      <c r="A331" s="549">
        <f>2023</f>
        <v>2023</v>
      </c>
      <c r="B331" s="550" t="s">
        <v>63</v>
      </c>
      <c r="C331" s="583">
        <f>[18]Agosto!$C$26</f>
        <v>4.9218999999999999</v>
      </c>
      <c r="D331" s="584">
        <f t="shared" si="47"/>
        <v>2.1310590969455312</v>
      </c>
      <c r="E331" s="584">
        <f t="shared" si="54"/>
        <v>-5.6691645744293417</v>
      </c>
      <c r="F331" s="585">
        <f t="shared" si="51"/>
        <v>-4.9642788183047015</v>
      </c>
      <c r="G331" s="581">
        <f t="shared" si="52"/>
        <v>1.027428432109551</v>
      </c>
      <c r="H331" s="582">
        <f t="shared" si="48"/>
        <v>423.60638297872345</v>
      </c>
      <c r="I331" s="582">
        <f t="shared" si="49"/>
        <v>-4.3046293235860293</v>
      </c>
      <c r="J331" s="185"/>
    </row>
    <row r="332" spans="1:10">
      <c r="A332" s="549">
        <f>2023</f>
        <v>2023</v>
      </c>
      <c r="B332" s="550" t="s">
        <v>64</v>
      </c>
      <c r="C332" s="583">
        <f>[18]Setembro!$C$23</f>
        <v>5.0076000000000001</v>
      </c>
      <c r="D332" s="584">
        <f t="shared" si="47"/>
        <v>1.7411975050285466</v>
      </c>
      <c r="E332" s="584">
        <f t="shared" si="54"/>
        <v>-4.0266784215267197</v>
      </c>
      <c r="F332" s="585">
        <f t="shared" si="51"/>
        <v>-7.3798690489401793</v>
      </c>
      <c r="G332" s="581">
        <f t="shared" si="52"/>
        <v>1.00984503554597</v>
      </c>
      <c r="H332" s="582">
        <f t="shared" si="48"/>
        <v>432.72340425531917</v>
      </c>
      <c r="I332" s="582">
        <f t="shared" si="49"/>
        <v>-7.9383755561275082</v>
      </c>
      <c r="J332" s="185"/>
    </row>
    <row r="333" spans="1:10">
      <c r="A333" s="549">
        <f>2023</f>
        <v>2023</v>
      </c>
      <c r="B333" s="550" t="s">
        <v>65</v>
      </c>
      <c r="C333" s="583">
        <f>[18]Outubro!$C$24</f>
        <v>5.0575000000000001</v>
      </c>
      <c r="D333" s="584">
        <f t="shared" si="47"/>
        <v>0.99648534227974039</v>
      </c>
      <c r="E333" s="584">
        <f t="shared" si="54"/>
        <v>-3.0703183394982347</v>
      </c>
      <c r="F333" s="585">
        <f t="shared" si="51"/>
        <v>-3.7949400798934718</v>
      </c>
      <c r="G333" s="581">
        <f t="shared" si="52"/>
        <v>0.99988136431042995</v>
      </c>
      <c r="H333" s="582">
        <f t="shared" si="48"/>
        <v>438.03191489361711</v>
      </c>
      <c r="I333" s="582">
        <f t="shared" si="49"/>
        <v>-10.37568669147616</v>
      </c>
      <c r="J333" s="185"/>
    </row>
    <row r="334" spans="1:10">
      <c r="A334" s="549">
        <f>2023</f>
        <v>2023</v>
      </c>
      <c r="B334" s="550" t="s">
        <v>66</v>
      </c>
      <c r="C334" s="583">
        <f>[18]Novembro!$C$23</f>
        <v>4.9355000000000002</v>
      </c>
      <c r="D334" s="584">
        <f t="shared" si="47"/>
        <v>-2.4122590212555584</v>
      </c>
      <c r="E334" s="584">
        <f t="shared" si="54"/>
        <v>-5.4085133296279846</v>
      </c>
      <c r="F334" s="585">
        <f t="shared" si="51"/>
        <v>-6.7735781341493384</v>
      </c>
      <c r="G334" s="581">
        <f t="shared" si="52"/>
        <v>1.0245973052375645</v>
      </c>
      <c r="H334" s="582">
        <f t="shared" si="48"/>
        <v>425.05319148936172</v>
      </c>
      <c r="I334" s="582">
        <f t="shared" si="49"/>
        <v>-12.178152636167905</v>
      </c>
      <c r="J334" s="185"/>
    </row>
    <row r="335" spans="1:10">
      <c r="A335" s="549">
        <f>2023</f>
        <v>2023</v>
      </c>
      <c r="B335" s="550" t="s">
        <v>55</v>
      </c>
      <c r="C335" s="583">
        <f>[18]Dezembro!$C$23</f>
        <v>4.8413000000000004</v>
      </c>
      <c r="D335" s="584">
        <f t="shared" si="47"/>
        <v>-1.9086212136561587</v>
      </c>
      <c r="E335" s="584">
        <f t="shared" si="54"/>
        <v>-7.2139065105314533</v>
      </c>
      <c r="F335" s="585">
        <f t="shared" si="51"/>
        <v>-7.2139065105314533</v>
      </c>
      <c r="G335" s="581">
        <f t="shared" si="52"/>
        <v>1.044533493070043</v>
      </c>
      <c r="H335" s="582">
        <f t="shared" si="48"/>
        <v>415.03191489361706</v>
      </c>
      <c r="I335" s="582">
        <f t="shared" si="49"/>
        <v>-13.246124899202572</v>
      </c>
      <c r="J335" s="185"/>
    </row>
    <row r="336" spans="1:10">
      <c r="A336" s="549">
        <f>2024</f>
        <v>2024</v>
      </c>
      <c r="B336" s="550" t="s">
        <v>56</v>
      </c>
      <c r="C336" s="583">
        <f>[19]Janeiro!$C$25</f>
        <v>4.9535</v>
      </c>
      <c r="D336" s="584">
        <f t="shared" si="47"/>
        <v>2.3175593332369404</v>
      </c>
      <c r="E336" s="584">
        <f t="shared" ref="E336:E347" si="55">+((C336/C$335-1)*100)</f>
        <v>2.3175593332369404</v>
      </c>
      <c r="F336" s="585">
        <f t="shared" si="51"/>
        <v>-2.8592159708195286</v>
      </c>
      <c r="G336" s="581">
        <f t="shared" si="52"/>
        <v>1.020874129403452</v>
      </c>
      <c r="H336" s="582">
        <f t="shared" si="48"/>
        <v>426.968085106383</v>
      </c>
      <c r="I336" s="582">
        <f t="shared" si="49"/>
        <v>-7.5391047896367631</v>
      </c>
      <c r="J336" s="185"/>
    </row>
    <row r="337" spans="1:10">
      <c r="A337" s="549">
        <f>2024</f>
        <v>2024</v>
      </c>
      <c r="B337" s="550" t="s">
        <v>57</v>
      </c>
      <c r="C337" s="583">
        <f>[19]Fevereiro!$C$22</f>
        <v>4.9832999999999998</v>
      </c>
      <c r="D337" s="584">
        <f t="shared" si="47"/>
        <v>0.60159483193700236</v>
      </c>
      <c r="E337" s="584">
        <f t="shared" si="55"/>
        <v>2.9330964823497618</v>
      </c>
      <c r="F337" s="585">
        <f t="shared" si="51"/>
        <v>-4.3108414301624487</v>
      </c>
      <c r="G337" s="581">
        <f t="shared" si="52"/>
        <v>1.0147693295607327</v>
      </c>
      <c r="H337" s="582">
        <f t="shared" si="48"/>
        <v>430.1382978723405</v>
      </c>
      <c r="I337" s="582">
        <f t="shared" si="49"/>
        <v>-3.0373195314628232</v>
      </c>
      <c r="J337" s="185"/>
    </row>
    <row r="338" spans="1:10">
      <c r="A338" s="549">
        <f>2024</f>
        <v>2024</v>
      </c>
      <c r="B338" s="550" t="s">
        <v>58</v>
      </c>
      <c r="C338" s="583">
        <f>[19]Março!$C$23</f>
        <v>4.9962</v>
      </c>
      <c r="D338" s="584">
        <f t="shared" si="47"/>
        <v>0.2588646077900103</v>
      </c>
      <c r="E338" s="584">
        <f t="shared" si="55"/>
        <v>3.1995538388449374</v>
      </c>
      <c r="F338" s="585">
        <f t="shared" si="51"/>
        <v>-1.6573498149751953</v>
      </c>
      <c r="G338" s="581">
        <f t="shared" si="52"/>
        <v>1.0121492334173972</v>
      </c>
      <c r="H338" s="582">
        <f t="shared" si="48"/>
        <v>431.51063829787233</v>
      </c>
      <c r="I338" s="582">
        <f t="shared" si="49"/>
        <v>5.4540081894550285</v>
      </c>
      <c r="J338" s="185"/>
    </row>
    <row r="339" spans="1:10">
      <c r="A339" s="549">
        <f>2024</f>
        <v>2024</v>
      </c>
      <c r="B339" s="550" t="s">
        <v>59</v>
      </c>
      <c r="C339" s="583">
        <f>[19]Abril!$C$25</f>
        <v>5.1718000000000002</v>
      </c>
      <c r="D339" s="584">
        <f t="shared" si="47"/>
        <v>3.5146711500740668</v>
      </c>
      <c r="E339" s="584">
        <f t="shared" si="55"/>
        <v>6.8266787846239518</v>
      </c>
      <c r="F339" s="585">
        <f t="shared" si="51"/>
        <v>3.4215209870618102</v>
      </c>
      <c r="G339" s="581">
        <f t="shared" si="52"/>
        <v>0.97778336362581686</v>
      </c>
      <c r="H339" s="582">
        <f t="shared" si="48"/>
        <v>450.19148936170217</v>
      </c>
      <c r="I339" s="582">
        <f t="shared" si="49"/>
        <v>5.1371185786017737</v>
      </c>
      <c r="J339" s="185"/>
    </row>
    <row r="340" spans="1:10">
      <c r="A340" s="549">
        <f>2024</f>
        <v>2024</v>
      </c>
      <c r="B340" s="550" t="s">
        <v>60</v>
      </c>
      <c r="C340" s="583">
        <f>[19]Maio!$C$24</f>
        <v>5.2416</v>
      </c>
      <c r="D340" s="584">
        <f t="shared" si="47"/>
        <v>1.34962682238291</v>
      </c>
      <c r="E340" s="584">
        <f t="shared" si="55"/>
        <v>8.2684402949620974</v>
      </c>
      <c r="F340" s="585">
        <f t="shared" si="51"/>
        <v>2.8591612865244587</v>
      </c>
      <c r="G340" s="581">
        <f t="shared" ref="G340:G361" si="56">+$C$364/C340</f>
        <v>0.96476266788766785</v>
      </c>
      <c r="H340" s="582">
        <f t="shared" si="48"/>
        <v>457.61702127659578</v>
      </c>
      <c r="I340" s="582">
        <f t="shared" si="49"/>
        <v>10.841844826492419</v>
      </c>
      <c r="J340" s="185"/>
    </row>
    <row r="341" spans="1:10">
      <c r="A341" s="549">
        <f>2024</f>
        <v>2024</v>
      </c>
      <c r="B341" s="550" t="s">
        <v>61</v>
      </c>
      <c r="C341" s="583">
        <f>[19]Junho!$C$23</f>
        <v>5.5589000000000004</v>
      </c>
      <c r="D341" s="584">
        <f t="shared" si="47"/>
        <v>6.0534951159951333</v>
      </c>
      <c r="E341" s="584">
        <f t="shared" si="55"/>
        <v>14.822465040381715</v>
      </c>
      <c r="F341" s="585">
        <f t="shared" si="51"/>
        <v>15.349020584329342</v>
      </c>
      <c r="G341" s="581">
        <f t="shared" si="56"/>
        <v>0.90969436399287618</v>
      </c>
      <c r="H341" s="582">
        <f t="shared" si="48"/>
        <v>491.372340425532</v>
      </c>
      <c r="I341" s="582">
        <f t="shared" si="49"/>
        <v>6.1263841160748456</v>
      </c>
      <c r="J341" s="185"/>
    </row>
    <row r="342" spans="1:10">
      <c r="A342" s="549">
        <f>2024</f>
        <v>2024</v>
      </c>
      <c r="B342" s="550" t="s">
        <v>62</v>
      </c>
      <c r="C342" s="583">
        <f>[19]Julho!$C$26</f>
        <v>5.6620999999999997</v>
      </c>
      <c r="D342" s="584">
        <f t="shared" si="47"/>
        <v>1.8564823975966371</v>
      </c>
      <c r="E342" s="584">
        <f t="shared" si="55"/>
        <v>16.954123892342942</v>
      </c>
      <c r="F342" s="585">
        <f t="shared" si="51"/>
        <v>17.490454847277537</v>
      </c>
      <c r="G342" s="581">
        <f t="shared" si="56"/>
        <v>0.89311386234789214</v>
      </c>
      <c r="H342" s="582">
        <f t="shared" si="48"/>
        <v>502.35106382978722</v>
      </c>
      <c r="I342" s="582">
        <f t="shared" si="49"/>
        <v>9.1299822681366152</v>
      </c>
      <c r="J342" s="185"/>
    </row>
    <row r="343" spans="1:10">
      <c r="A343" s="549">
        <f>2024</f>
        <v>2024</v>
      </c>
      <c r="B343" s="550" t="s">
        <v>63</v>
      </c>
      <c r="C343" s="583">
        <f>[19]Agosto!$C$25</f>
        <v>5.6562000000000001</v>
      </c>
      <c r="D343" s="584">
        <f t="shared" si="47"/>
        <v>-0.10420162130657662</v>
      </c>
      <c r="E343" s="584">
        <f t="shared" si="55"/>
        <v>16.832255799062224</v>
      </c>
      <c r="F343" s="585">
        <f t="shared" si="51"/>
        <v>14.919035331884034</v>
      </c>
      <c r="G343" s="581">
        <f t="shared" si="56"/>
        <v>0.89404547222516872</v>
      </c>
      <c r="H343" s="582">
        <f t="shared" si="48"/>
        <v>501.72340425531922</v>
      </c>
      <c r="I343" s="582">
        <f t="shared" si="49"/>
        <v>9.2141340027032115</v>
      </c>
      <c r="J343" s="185"/>
    </row>
    <row r="344" spans="1:10">
      <c r="A344" s="549">
        <f>2024</f>
        <v>2024</v>
      </c>
      <c r="B344" s="550" t="s">
        <v>64</v>
      </c>
      <c r="C344" s="583">
        <f>[19]Setembro!$C$24</f>
        <v>5.4481000000000002</v>
      </c>
      <c r="D344" s="584">
        <f t="shared" si="47"/>
        <v>-3.6791485449595096</v>
      </c>
      <c r="E344" s="584">
        <f t="shared" si="55"/>
        <v>12.533823559787649</v>
      </c>
      <c r="F344" s="585">
        <f t="shared" si="51"/>
        <v>8.7966291237319361</v>
      </c>
      <c r="G344" s="581">
        <f t="shared" si="56"/>
        <v>0.92819515060296243</v>
      </c>
      <c r="H344" s="582">
        <f t="shared" si="48"/>
        <v>479.58510638297878</v>
      </c>
      <c r="I344" s="582">
        <f t="shared" si="49"/>
        <v>0.76758036473938418</v>
      </c>
      <c r="J344" s="185"/>
    </row>
    <row r="345" spans="1:10">
      <c r="A345" s="549">
        <f>2024</f>
        <v>2024</v>
      </c>
      <c r="B345" s="550" t="s">
        <v>65</v>
      </c>
      <c r="C345" s="583">
        <f>[19]Outubro!$C$26</f>
        <v>5.7778999999999998</v>
      </c>
      <c r="D345" s="584">
        <f t="shared" si="47"/>
        <v>6.0534865365907242</v>
      </c>
      <c r="E345" s="584">
        <f t="shared" si="55"/>
        <v>19.346043418090165</v>
      </c>
      <c r="F345" s="585">
        <f t="shared" si="51"/>
        <v>14.244191794364802</v>
      </c>
      <c r="G345" s="581">
        <f t="shared" si="56"/>
        <v>0.87521417816161584</v>
      </c>
      <c r="H345" s="582">
        <f t="shared" si="48"/>
        <v>514.67021276595744</v>
      </c>
      <c r="I345" s="582">
        <f t="shared" si="49"/>
        <v>9.9086931710100856</v>
      </c>
      <c r="J345" s="185"/>
    </row>
    <row r="346" spans="1:10">
      <c r="A346" s="549">
        <f>2024</f>
        <v>2024</v>
      </c>
      <c r="B346" s="550" t="s">
        <v>66</v>
      </c>
      <c r="C346" s="583">
        <f>[19]Novembro!$C$22</f>
        <v>6.0534999999999997</v>
      </c>
      <c r="D346" s="584">
        <f t="shared" si="47"/>
        <v>4.7698990982883105</v>
      </c>
      <c r="E346" s="584">
        <f t="shared" si="55"/>
        <v>25.038729266932425</v>
      </c>
      <c r="F346" s="585">
        <f t="shared" si="51"/>
        <v>22.652213554857646</v>
      </c>
      <c r="G346" s="581">
        <f t="shared" si="56"/>
        <v>0.83536796894358634</v>
      </c>
      <c r="H346" s="582">
        <f t="shared" si="48"/>
        <v>543.98936170212767</v>
      </c>
      <c r="I346" s="582">
        <f t="shared" si="49"/>
        <v>14.344270036455665</v>
      </c>
      <c r="J346" s="185"/>
    </row>
    <row r="347" spans="1:10">
      <c r="A347" s="549">
        <f>2024</f>
        <v>2024</v>
      </c>
      <c r="B347" s="550" t="s">
        <v>55</v>
      </c>
      <c r="C347" s="583">
        <f>[19]Dezembro!$C$24</f>
        <v>6.1923000000000004</v>
      </c>
      <c r="D347" s="584">
        <f t="shared" si="47"/>
        <v>2.2928884116626858</v>
      </c>
      <c r="E347" s="584">
        <f t="shared" si="55"/>
        <v>27.905727800384184</v>
      </c>
      <c r="F347" s="585">
        <f t="shared" si="51"/>
        <v>27.905727800384184</v>
      </c>
      <c r="G347" s="581">
        <f t="shared" si="56"/>
        <v>0.81664325048850983</v>
      </c>
      <c r="H347" s="582">
        <f t="shared" si="48"/>
        <v>558.75531914893622</v>
      </c>
      <c r="I347" s="582">
        <f t="shared" si="49"/>
        <v>18.678728175249649</v>
      </c>
      <c r="J347" s="185"/>
    </row>
    <row r="348" spans="1:10">
      <c r="A348" s="549">
        <f>2025</f>
        <v>2025</v>
      </c>
      <c r="B348" s="550" t="s">
        <v>56</v>
      </c>
      <c r="C348" s="583">
        <f>[20]Janeiro!$C$25</f>
        <v>5.8300999999999998</v>
      </c>
      <c r="D348" s="584">
        <f t="shared" si="47"/>
        <v>-5.8491998126705802</v>
      </c>
      <c r="E348" s="584">
        <f t="shared" ref="E348:E353" si="57">+((C348/C$347-1)*100)</f>
        <v>-5.8491998126705802</v>
      </c>
      <c r="F348" s="585">
        <f t="shared" si="51"/>
        <v>17.696578177046529</v>
      </c>
      <c r="G348" s="581">
        <f t="shared" si="56"/>
        <v>0.86737791804600262</v>
      </c>
      <c r="H348" s="582">
        <f t="shared" si="48"/>
        <v>520.22340425531922</v>
      </c>
      <c r="I348" s="582">
        <f t="shared" si="49"/>
        <v>14.331378816700324</v>
      </c>
      <c r="J348" s="185"/>
    </row>
    <row r="349" spans="1:10">
      <c r="A349" s="549">
        <f>2025</f>
        <v>2025</v>
      </c>
      <c r="B349" s="550" t="s">
        <v>57</v>
      </c>
      <c r="C349" s="583">
        <f>[20]Fevereiro!$C$23</f>
        <v>5.8487999999999998</v>
      </c>
      <c r="D349" s="584">
        <f t="shared" ref="D349:D355" si="58">((C349/C348)-1)*100</f>
        <v>0.32074921527931455</v>
      </c>
      <c r="E349" s="584">
        <f t="shared" si="57"/>
        <v>-5.5472118598905222</v>
      </c>
      <c r="F349" s="585">
        <f t="shared" ref="F349:F354" si="59">+((C349/C337-1)*100)</f>
        <v>17.36800915056287</v>
      </c>
      <c r="G349" s="581">
        <f t="shared" si="56"/>
        <v>0.86460470523868138</v>
      </c>
      <c r="H349" s="582">
        <f t="shared" ref="H349:H354" si="60">100*(C349/$C$9-1)</f>
        <v>522.21276595744689</v>
      </c>
      <c r="I349" s="582">
        <f t="shared" ref="I349:I354" si="61">100*(C349/C325-1)</f>
        <v>12.308460386343567</v>
      </c>
      <c r="J349" s="185"/>
    </row>
    <row r="350" spans="1:10">
      <c r="A350" s="549">
        <f>2025</f>
        <v>2025</v>
      </c>
      <c r="B350" s="550" t="s">
        <v>58</v>
      </c>
      <c r="C350" s="583">
        <f>[20]Março!$C$22</f>
        <v>5.7422000000000004</v>
      </c>
      <c r="D350" s="584">
        <f t="shared" si="58"/>
        <v>-1.8225960880864367</v>
      </c>
      <c r="E350" s="584">
        <f t="shared" si="57"/>
        <v>-7.2687046816207186</v>
      </c>
      <c r="F350" s="585">
        <f t="shared" si="59"/>
        <v>14.931347824346508</v>
      </c>
      <c r="G350" s="581">
        <f t="shared" si="56"/>
        <v>0.88065549789279363</v>
      </c>
      <c r="H350" s="582">
        <f t="shared" si="60"/>
        <v>510.872340425532</v>
      </c>
      <c r="I350" s="582">
        <f t="shared" si="61"/>
        <v>13.026533343831193</v>
      </c>
      <c r="J350" s="185"/>
    </row>
    <row r="351" spans="1:10">
      <c r="A351" s="549">
        <f>2025</f>
        <v>2025</v>
      </c>
      <c r="B351" s="550" t="s">
        <v>59</v>
      </c>
      <c r="C351" s="583">
        <f>[20]Abril!$C$23</f>
        <v>5.6608000000000001</v>
      </c>
      <c r="D351" s="584">
        <f t="shared" si="58"/>
        <v>-1.4175751454146512</v>
      </c>
      <c r="E351" s="584">
        <f t="shared" si="57"/>
        <v>-8.583240476075126</v>
      </c>
      <c r="F351" s="585">
        <f t="shared" si="59"/>
        <v>9.4551220078115996</v>
      </c>
      <c r="G351" s="581">
        <f t="shared" si="56"/>
        <v>0.89331896551724133</v>
      </c>
      <c r="H351" s="582">
        <f t="shared" si="60"/>
        <v>502.21276595744683</v>
      </c>
      <c r="I351" s="582">
        <f t="shared" si="61"/>
        <v>13.200151978722975</v>
      </c>
      <c r="J351" s="185"/>
    </row>
    <row r="352" spans="1:10">
      <c r="A352" s="549">
        <f>2025</f>
        <v>2025</v>
      </c>
      <c r="B352" s="550" t="s">
        <v>60</v>
      </c>
      <c r="C352" s="583">
        <f>[20]Maio!$C$23</f>
        <v>5.6558999999999999</v>
      </c>
      <c r="D352" s="584">
        <f t="shared" si="58"/>
        <v>-8.656020350480409E-2</v>
      </c>
      <c r="E352" s="584">
        <f t="shared" si="57"/>
        <v>-8.6623710091565442</v>
      </c>
      <c r="F352" s="585">
        <f t="shared" si="59"/>
        <v>7.9040750915750912</v>
      </c>
      <c r="G352" s="581">
        <f t="shared" si="56"/>
        <v>0.89409289414593607</v>
      </c>
      <c r="H352" s="582">
        <f t="shared" si="60"/>
        <v>501.69148936170211</v>
      </c>
      <c r="I352" s="582">
        <f t="shared" si="61"/>
        <v>10.989226633175676</v>
      </c>
      <c r="J352" s="185"/>
    </row>
    <row r="353" spans="1:10">
      <c r="A353" s="549">
        <f>2025</f>
        <v>2025</v>
      </c>
      <c r="B353" s="550" t="s">
        <v>61</v>
      </c>
      <c r="C353" s="583">
        <f>[20]Junho!$C$23</f>
        <v>5.4570999999999996</v>
      </c>
      <c r="D353" s="584">
        <f t="shared" si="58"/>
        <v>-3.5149136300146822</v>
      </c>
      <c r="E353" s="584">
        <f t="shared" si="57"/>
        <v>-11.872809779887938</v>
      </c>
      <c r="F353" s="585">
        <f t="shared" si="59"/>
        <v>-1.8312975588695712</v>
      </c>
      <c r="G353" s="581">
        <f t="shared" si="56"/>
        <v>0.92666434553150945</v>
      </c>
      <c r="H353" s="582">
        <f t="shared" si="60"/>
        <v>480.54255319148939</v>
      </c>
      <c r="I353" s="582">
        <f t="shared" si="61"/>
        <v>13.23663678618856</v>
      </c>
      <c r="J353" s="185"/>
    </row>
    <row r="354" spans="1:10">
      <c r="A354" s="549">
        <f>2025</f>
        <v>2025</v>
      </c>
      <c r="B354" s="550" t="s">
        <v>62</v>
      </c>
      <c r="C354" s="583">
        <f>[20]Julho!$C$26</f>
        <v>5.6021000000000001</v>
      </c>
      <c r="D354" s="584">
        <f t="shared" si="58"/>
        <v>2.6570889300177924</v>
      </c>
      <c r="E354" s="584">
        <f t="shared" ref="E354" si="62">+((C354/C$347-1)*100)</f>
        <v>-9.531191964213626</v>
      </c>
      <c r="F354" s="585">
        <f t="shared" si="59"/>
        <v>-1.059677504812695</v>
      </c>
      <c r="G354" s="581">
        <f t="shared" si="56"/>
        <v>0.9026793523857124</v>
      </c>
      <c r="H354" s="582">
        <f t="shared" si="60"/>
        <v>495.96808510638306</v>
      </c>
      <c r="I354" s="582">
        <f t="shared" si="61"/>
        <v>16.245434926958822</v>
      </c>
      <c r="J354" s="185"/>
    </row>
    <row r="355" spans="1:10">
      <c r="A355" s="549">
        <f>2025</f>
        <v>2025</v>
      </c>
      <c r="B355" s="550" t="s">
        <v>63</v>
      </c>
      <c r="C355" s="583">
        <f>[20]Agosto!$C$24</f>
        <v>5.4264000000000001</v>
      </c>
      <c r="D355" s="584">
        <f t="shared" si="58"/>
        <v>-3.1363238785455438</v>
      </c>
      <c r="E355" s="584">
        <f t="shared" ref="E355" si="63">+((C355/C$347-1)*100)</f>
        <v>-12.368586793275526</v>
      </c>
      <c r="F355" s="585">
        <f t="shared" ref="F355" si="64">+((C355/C343-1)*100)</f>
        <v>-4.0627983451787415</v>
      </c>
      <c r="G355" s="581">
        <f t="shared" si="56"/>
        <v>0.93190697331564198</v>
      </c>
      <c r="H355" s="582">
        <f t="shared" ref="H355" si="65">100*(C355/$C$9-1)</f>
        <v>477.27659574468089</v>
      </c>
      <c r="I355" s="582">
        <f t="shared" ref="I355" si="66">100*(C355/C331-1)</f>
        <v>10.25010666612487</v>
      </c>
      <c r="J355" s="185"/>
    </row>
    <row r="356" spans="1:10">
      <c r="A356" s="549">
        <f>2025</f>
        <v>2025</v>
      </c>
      <c r="B356" s="550" t="s">
        <v>64</v>
      </c>
      <c r="C356" s="583">
        <f>[20]Setembro!$C$25</f>
        <v>5.3186</v>
      </c>
      <c r="D356" s="584">
        <f t="shared" ref="D356" si="67">((C356/C355)-1)*100</f>
        <v>-1.9865841073271384</v>
      </c>
      <c r="E356" s="584">
        <f t="shared" ref="E356" si="68">+((C356/C$347-1)*100)</f>
        <v>-14.109458521066486</v>
      </c>
      <c r="F356" s="585">
        <f t="shared" ref="F356" si="69">+((C356/C344-1)*100)</f>
        <v>-2.3769754593344516</v>
      </c>
      <c r="G356" s="581">
        <f t="shared" si="56"/>
        <v>0.95079532207723827</v>
      </c>
      <c r="H356" s="582">
        <f t="shared" ref="H356" si="70">100*(C356/$C$9-1)</f>
        <v>465.80851063829789</v>
      </c>
      <c r="I356" s="582">
        <f t="shared" ref="I356" si="71">100*(C356/C332-1)</f>
        <v>6.2105599488777141</v>
      </c>
      <c r="J356" s="185"/>
    </row>
    <row r="357" spans="1:10">
      <c r="A357" s="549">
        <f>2025</f>
        <v>2025</v>
      </c>
      <c r="B357" s="550" t="s">
        <v>65</v>
      </c>
      <c r="C357" s="583">
        <f>[20]Outubro!$C$26</f>
        <v>5.3842999999999996</v>
      </c>
      <c r="D357" s="584">
        <f t="shared" ref="D357" si="72">((C357/C356)-1)*100</f>
        <v>1.2352874816681014</v>
      </c>
      <c r="E357" s="584">
        <f t="shared" ref="E357" si="73">+((C357/C$347-1)*100)</f>
        <v>-13.048463414240274</v>
      </c>
      <c r="F357" s="585">
        <f t="shared" ref="F357" si="74">+((C357/C345-1)*100)</f>
        <v>-6.8121635888471648</v>
      </c>
      <c r="G357" s="581">
        <f t="shared" si="56"/>
        <v>0.93919358133833553</v>
      </c>
      <c r="H357" s="582">
        <f t="shared" ref="H357" si="75">100*(C357/$C$9-1)</f>
        <v>472.7978723404255</v>
      </c>
      <c r="I357" s="582">
        <f t="shared" ref="I357" si="76">100*(C357/C333-1)</f>
        <v>6.4616905585763718</v>
      </c>
      <c r="J357" s="185"/>
    </row>
    <row r="358" spans="1:10">
      <c r="A358" s="549">
        <f>2025</f>
        <v>2025</v>
      </c>
      <c r="B358" s="550" t="s">
        <v>66</v>
      </c>
      <c r="C358" s="583">
        <f>[20]Novembro!$C$22</f>
        <v>5.3338000000000001</v>
      </c>
      <c r="D358" s="584">
        <f t="shared" ref="D358" si="77">((C358/C357)-1)*100</f>
        <v>-0.93791207770740348</v>
      </c>
      <c r="E358" s="584">
        <f t="shared" ref="E358" si="78">+((C358/C$347-1)*100)</f>
        <v>-13.863992377630286</v>
      </c>
      <c r="F358" s="585">
        <f t="shared" ref="F358" si="79">+((C358/C346-1)*100)</f>
        <v>-11.888989840588081</v>
      </c>
      <c r="G358" s="581">
        <f t="shared" si="56"/>
        <v>0.94808579249315683</v>
      </c>
      <c r="H358" s="582">
        <f t="shared" ref="H358" si="80">100*(C358/$C$9-1)</f>
        <v>467.42553191489361</v>
      </c>
      <c r="I358" s="582">
        <f t="shared" ref="I358" si="81">100*(C358/C334-1)</f>
        <v>8.0701043460642339</v>
      </c>
      <c r="J358" s="185"/>
    </row>
    <row r="359" spans="1:10">
      <c r="A359" s="549">
        <f>2025</f>
        <v>2025</v>
      </c>
      <c r="B359" s="550" t="s">
        <v>55</v>
      </c>
      <c r="C359" s="583">
        <f>[20]Dezembro!$C$25</f>
        <v>5.5023999999999997</v>
      </c>
      <c r="D359" s="584">
        <f t="shared" ref="D359" si="82">((C359/C358)-1)*100</f>
        <v>3.1609734148261959</v>
      </c>
      <c r="E359" s="584">
        <f t="shared" ref="E359" si="83">+((C359/C$347-1)*100)</f>
        <v>-11.141256076094519</v>
      </c>
      <c r="F359" s="585">
        <f t="shared" ref="F359" si="84">+((C359/C347-1)*100)</f>
        <v>-11.141256076094519</v>
      </c>
      <c r="G359" s="581">
        <f t="shared" si="56"/>
        <v>0.91903533003780169</v>
      </c>
      <c r="H359" s="582">
        <f t="shared" ref="H359" si="85">100*(C359/$C$9-1)</f>
        <v>485.36170212765956</v>
      </c>
      <c r="I359" s="582">
        <f t="shared" ref="I359" si="86">100*(C359/C335-1)</f>
        <v>13.655423130150979</v>
      </c>
      <c r="J359" s="185"/>
    </row>
    <row r="360" spans="1:10">
      <c r="A360" s="545">
        <f>2026</f>
        <v>2026</v>
      </c>
      <c r="B360" s="546" t="s">
        <v>56</v>
      </c>
      <c r="C360" s="578">
        <f>[21]Janeiro!$C$24</f>
        <v>5.2301000000000002</v>
      </c>
      <c r="D360" s="579">
        <f t="shared" ref="D360" si="87">((C360/C359)-1)*100</f>
        <v>-4.9487496365222317</v>
      </c>
      <c r="E360" s="579">
        <f>+((C360/C$359-1)*100)</f>
        <v>-4.9487496365222317</v>
      </c>
      <c r="F360" s="580">
        <f t="shared" ref="F360" si="88">+((C360/C348-1)*100)</f>
        <v>-10.291418672063934</v>
      </c>
      <c r="G360" s="581">
        <f t="shared" si="56"/>
        <v>0.96688399839391204</v>
      </c>
      <c r="H360" s="582">
        <f t="shared" ref="H360" si="89">100*(C360/$C$9-1)</f>
        <v>456.39361702127667</v>
      </c>
      <c r="I360" s="582">
        <f t="shared" ref="I360" si="90">100*(C360/C336-1)</f>
        <v>5.5839305541536266</v>
      </c>
      <c r="J360" s="185"/>
    </row>
    <row r="361" spans="1:10">
      <c r="A361" s="545">
        <f>2026</f>
        <v>2026</v>
      </c>
      <c r="B361" s="546" t="s">
        <v>57</v>
      </c>
      <c r="C361" s="578">
        <f>[21]Fevereiro!$C$21</f>
        <v>5.1494999999999997</v>
      </c>
      <c r="D361" s="579">
        <f t="shared" ref="D361" si="91">((C361/C360)-1)*100</f>
        <v>-1.5410795204680694</v>
      </c>
      <c r="E361" s="579">
        <f>+((C361/C$359-1)*100)</f>
        <v>-6.4135649898226177</v>
      </c>
      <c r="F361" s="580">
        <f t="shared" ref="F361" si="92">+((C361/C349-1)*100)</f>
        <v>-11.956298727944192</v>
      </c>
      <c r="G361" s="581">
        <f t="shared" si="56"/>
        <v>0.98201767161860376</v>
      </c>
      <c r="H361" s="582">
        <f t="shared" ref="H361" si="93">100*(C361/$C$9-1)</f>
        <v>447.81914893617022</v>
      </c>
      <c r="I361" s="582">
        <f t="shared" ref="I361" si="94">100*(C361/C337-1)</f>
        <v>3.3351393654807104</v>
      </c>
      <c r="J361" s="185"/>
    </row>
    <row r="362" spans="1:10">
      <c r="A362" s="545">
        <f>2026</f>
        <v>2026</v>
      </c>
      <c r="B362" s="546" t="s">
        <v>58</v>
      </c>
      <c r="C362" s="578">
        <f>[21]Março!$C$25</f>
        <v>5.2194000000000003</v>
      </c>
      <c r="D362" s="579">
        <f t="shared" ref="D362:D363" si="95">((C362/C361)-1)*100</f>
        <v>1.357413341101088</v>
      </c>
      <c r="E362" s="579">
        <f t="shared" ref="E362:E363" si="96">+((C362/C$359-1)*100)</f>
        <v>-5.14321023553358</v>
      </c>
      <c r="F362" s="580">
        <f t="shared" ref="F362:F363" si="97">+((C362/C350-1)*100)</f>
        <v>-9.1045243983142399</v>
      </c>
      <c r="G362" s="581">
        <f t="shared" ref="G362:G364" si="98">+$C$364/C362</f>
        <v>0.96886615319768543</v>
      </c>
      <c r="H362" s="582">
        <f t="shared" ref="H362:H363" si="99">100*(C362/$C$9-1)</f>
        <v>455.25531914893628</v>
      </c>
      <c r="I362" s="582">
        <f t="shared" ref="I362:I363" si="100">100*(C362/C338-1)</f>
        <v>4.467395220367476</v>
      </c>
      <c r="J362" s="185"/>
    </row>
    <row r="363" spans="1:10">
      <c r="A363" s="545">
        <f>2026</f>
        <v>2026</v>
      </c>
      <c r="B363" s="546" t="s">
        <v>59</v>
      </c>
      <c r="C363" s="578">
        <f>[21]Abril!$C$23</f>
        <v>4.9885999999999999</v>
      </c>
      <c r="D363" s="579">
        <f t="shared" si="95"/>
        <v>-4.4219642104456502</v>
      </c>
      <c r="E363" s="579">
        <f t="shared" si="96"/>
        <v>-9.3377435300959544</v>
      </c>
      <c r="F363" s="580">
        <f t="shared" si="97"/>
        <v>-11.87464669304692</v>
      </c>
      <c r="G363" s="581">
        <f t="shared" si="98"/>
        <v>1.0136912159724172</v>
      </c>
      <c r="H363" s="582">
        <f t="shared" si="99"/>
        <v>430.7021276595745</v>
      </c>
      <c r="I363" s="582">
        <f t="shared" si="100"/>
        <v>-3.5422870180594757</v>
      </c>
      <c r="J363" s="185"/>
    </row>
    <row r="364" spans="1:10" ht="16.5" thickBot="1">
      <c r="A364" s="553">
        <f>2026</f>
        <v>2026</v>
      </c>
      <c r="B364" s="554" t="s">
        <v>60</v>
      </c>
      <c r="C364" s="586">
        <f>[21]Maio!$C$23</f>
        <v>5.0568999999999997</v>
      </c>
      <c r="D364" s="587">
        <f t="shared" ref="D364" si="101">((C364/C363)-1)*100</f>
        <v>1.3691215972417181</v>
      </c>
      <c r="E364" s="587">
        <f t="shared" ref="E364" si="102">+((C364/C$359-1)*100)</f>
        <v>-8.0964669962198315</v>
      </c>
      <c r="F364" s="588">
        <f t="shared" ref="F364" si="103">+((C364/C352-1)*100)</f>
        <v>-10.590710585406393</v>
      </c>
      <c r="G364" s="589">
        <f t="shared" si="98"/>
        <v>1</v>
      </c>
      <c r="H364" s="582">
        <f t="shared" ref="H364" si="104">100*(C364/$C$9-1)</f>
        <v>437.96808510638294</v>
      </c>
      <c r="I364" s="582">
        <f t="shared" ref="I364" si="105">100*(C364/C340-1)</f>
        <v>-3.5237332112332154</v>
      </c>
      <c r="J364" s="185"/>
    </row>
    <row r="365" spans="1:10" ht="15" customHeight="1">
      <c r="A365" s="590" t="s">
        <v>572</v>
      </c>
      <c r="B365" s="591"/>
      <c r="C365" s="592"/>
      <c r="D365" s="593"/>
      <c r="E365" s="593"/>
      <c r="F365" s="594"/>
      <c r="G365" s="595"/>
    </row>
    <row r="366" spans="1:10" ht="16.5" customHeight="1">
      <c r="A366" s="596" t="s">
        <v>88</v>
      </c>
    </row>
    <row r="367" spans="1:10" ht="16.5" customHeight="1">
      <c r="A367" s="597" t="s">
        <v>89</v>
      </c>
      <c r="G367" s="163"/>
    </row>
    <row r="368" spans="1:10" ht="16.5" customHeight="1">
      <c r="B368" s="598"/>
    </row>
    <row r="369" spans="1:9" ht="16.5" customHeight="1">
      <c r="A369" s="599"/>
      <c r="B369" s="600"/>
    </row>
    <row r="370" spans="1:9" ht="16.5" customHeight="1">
      <c r="A370" s="601"/>
      <c r="B370" s="592"/>
      <c r="I370" s="161"/>
    </row>
    <row r="371" spans="1:9" ht="16.5" customHeight="1">
      <c r="A371" s="601"/>
      <c r="B371" s="592"/>
    </row>
    <row r="372" spans="1:9" ht="16.5" customHeight="1">
      <c r="A372" s="601"/>
      <c r="B372" s="592"/>
      <c r="D372" s="602"/>
    </row>
    <row r="373" spans="1:9" ht="16.5" customHeight="1">
      <c r="A373" s="601"/>
      <c r="B373" s="592"/>
    </row>
    <row r="374" spans="1:9" ht="16.5" customHeight="1">
      <c r="A374" s="601"/>
      <c r="B374" s="592"/>
    </row>
    <row r="375" spans="1:9" ht="16.5" customHeight="1">
      <c r="A375" s="601"/>
      <c r="B375" s="592"/>
    </row>
    <row r="376" spans="1:9" ht="16.5" customHeight="1">
      <c r="A376" s="601"/>
      <c r="B376" s="592"/>
    </row>
    <row r="377" spans="1:9" ht="16.5" customHeight="1">
      <c r="A377" s="601"/>
      <c r="B377" s="592"/>
    </row>
    <row r="378" spans="1:9" ht="16.5" customHeight="1">
      <c r="A378" s="601"/>
      <c r="B378" s="592"/>
    </row>
    <row r="379" spans="1:9" ht="16.5" customHeight="1">
      <c r="A379" s="601"/>
      <c r="B379" s="592"/>
    </row>
    <row r="380" spans="1:9" ht="16.5" customHeight="1">
      <c r="A380" s="601"/>
      <c r="B380" s="592"/>
    </row>
    <row r="381" spans="1:9" ht="16.5" customHeight="1">
      <c r="A381" s="601"/>
      <c r="B381" s="592"/>
    </row>
    <row r="382" spans="1:9" ht="16.5" customHeight="1">
      <c r="A382" s="601"/>
      <c r="B382" s="592"/>
    </row>
    <row r="383" spans="1:9" ht="16.5" customHeight="1">
      <c r="A383" s="682"/>
      <c r="B383" s="683"/>
      <c r="C383" s="684"/>
      <c r="D383" s="684"/>
      <c r="E383" s="684"/>
      <c r="F383" s="684"/>
    </row>
    <row r="384" spans="1:9" ht="16.5" customHeight="1" thickBot="1">
      <c r="A384" s="685"/>
      <c r="B384" s="686"/>
      <c r="C384" s="687"/>
      <c r="D384" s="687"/>
      <c r="E384" s="687"/>
      <c r="F384" s="687"/>
    </row>
    <row r="385" spans="1:2" ht="16.5" customHeight="1" thickTop="1">
      <c r="A385" s="601"/>
      <c r="B385" s="592"/>
    </row>
    <row r="386" spans="1:2" ht="16.5" customHeight="1">
      <c r="A386" s="601"/>
      <c r="B386" s="592"/>
    </row>
    <row r="387" spans="1:2" ht="16.5" customHeight="1">
      <c r="A387" s="601"/>
      <c r="B387" s="592"/>
    </row>
    <row r="388" spans="1:2" ht="16.5" customHeight="1">
      <c r="A388" s="601"/>
      <c r="B388" s="592"/>
    </row>
    <row r="389" spans="1:2" ht="16.5" customHeight="1">
      <c r="A389" s="601"/>
      <c r="B389" s="592"/>
    </row>
    <row r="390" spans="1:2" ht="16.5" customHeight="1">
      <c r="A390" s="601"/>
      <c r="B390" s="592"/>
    </row>
    <row r="391" spans="1:2" ht="16.5" customHeight="1">
      <c r="A391" s="601"/>
      <c r="B391" s="592"/>
    </row>
    <row r="392" spans="1:2" ht="16.5" customHeight="1">
      <c r="A392" s="601"/>
      <c r="B392" s="592"/>
    </row>
    <row r="393" spans="1:2" ht="16.5" customHeight="1">
      <c r="A393" s="601"/>
      <c r="B393" s="592"/>
    </row>
    <row r="394" spans="1:2" ht="16.5" customHeight="1">
      <c r="A394" s="601"/>
      <c r="B394" s="592"/>
    </row>
    <row r="395" spans="1:2" ht="16.5" customHeight="1">
      <c r="A395" s="601"/>
      <c r="B395" s="592"/>
    </row>
    <row r="396" spans="1:2" ht="16.5" customHeight="1">
      <c r="A396" s="601"/>
      <c r="B396" s="592"/>
    </row>
    <row r="397" spans="1:2" ht="16.5" customHeight="1">
      <c r="A397" s="603"/>
      <c r="B397" s="592"/>
    </row>
    <row r="398" spans="1:2" ht="16.5" customHeight="1">
      <c r="A398" s="601"/>
      <c r="B398" s="592"/>
    </row>
    <row r="399" spans="1:2" ht="16.5" customHeight="1">
      <c r="A399" s="601"/>
      <c r="B399" s="592"/>
    </row>
    <row r="400" spans="1:2" ht="16.5" customHeight="1">
      <c r="A400" s="601"/>
      <c r="B400" s="592"/>
    </row>
    <row r="401" spans="1:2" ht="16.5" customHeight="1">
      <c r="A401" s="601"/>
      <c r="B401" s="592"/>
    </row>
    <row r="402" spans="1:2" ht="16.5" customHeight="1">
      <c r="A402" s="601"/>
      <c r="B402" s="592"/>
    </row>
    <row r="403" spans="1:2" ht="16.5" customHeight="1">
      <c r="A403" s="601"/>
      <c r="B403" s="592"/>
    </row>
    <row r="404" spans="1:2" ht="16.5" customHeight="1">
      <c r="A404" s="601"/>
      <c r="B404" s="592"/>
    </row>
    <row r="405" spans="1:2" ht="16.5" customHeight="1">
      <c r="A405" s="601"/>
      <c r="B405" s="592"/>
    </row>
    <row r="406" spans="1:2" ht="16.5" customHeight="1">
      <c r="A406" s="601"/>
      <c r="B406" s="592"/>
    </row>
    <row r="407" spans="1:2" ht="16.5" customHeight="1">
      <c r="A407" s="601"/>
      <c r="B407" s="592"/>
    </row>
    <row r="408" spans="1:2" ht="16.5" customHeight="1">
      <c r="A408" s="601"/>
      <c r="B408" s="592"/>
    </row>
    <row r="409" spans="1:2" ht="16.5" customHeight="1">
      <c r="A409" s="601"/>
      <c r="B409" s="592"/>
    </row>
    <row r="410" spans="1:2" ht="16.5" customHeight="1">
      <c r="A410" s="601"/>
      <c r="B410" s="592"/>
    </row>
    <row r="411" spans="1:2" ht="12" customHeight="1">
      <c r="A411" s="601"/>
      <c r="B411" s="592"/>
    </row>
    <row r="412" spans="1:2" ht="12" customHeight="1">
      <c r="A412" s="601"/>
      <c r="B412" s="592"/>
    </row>
    <row r="413" spans="1:2" ht="12" customHeight="1">
      <c r="A413" s="601"/>
      <c r="B413" s="592"/>
    </row>
    <row r="414" spans="1:2" ht="12" customHeight="1">
      <c r="A414" s="601"/>
      <c r="B414" s="592"/>
    </row>
    <row r="415" spans="1:2" ht="12" customHeight="1">
      <c r="A415" s="601"/>
      <c r="B415" s="592"/>
    </row>
    <row r="416" spans="1:2" ht="12" customHeight="1">
      <c r="A416" s="601"/>
      <c r="B416" s="592"/>
    </row>
    <row r="417" spans="1:2" ht="12" customHeight="1">
      <c r="A417" s="601"/>
      <c r="B417" s="592"/>
    </row>
    <row r="418" spans="1:2" ht="12" customHeight="1">
      <c r="A418" s="601"/>
      <c r="B418" s="592"/>
    </row>
    <row r="419" spans="1:2" ht="12" customHeight="1">
      <c r="A419" s="601"/>
      <c r="B419" s="592"/>
    </row>
    <row r="420" spans="1:2" ht="12" customHeight="1">
      <c r="A420" s="601"/>
      <c r="B420" s="592"/>
    </row>
    <row r="421" spans="1:2" ht="12" customHeight="1">
      <c r="A421" s="601"/>
      <c r="B421" s="592"/>
    </row>
    <row r="422" spans="1:2" ht="12" customHeight="1">
      <c r="A422" s="601"/>
      <c r="B422" s="592"/>
    </row>
    <row r="423" spans="1:2" ht="12" customHeight="1">
      <c r="A423" s="601"/>
      <c r="B423" s="592"/>
    </row>
    <row r="424" spans="1:2" ht="12" customHeight="1">
      <c r="A424" s="601"/>
      <c r="B424" s="592"/>
    </row>
    <row r="425" spans="1:2" ht="12" customHeight="1">
      <c r="A425" s="601"/>
      <c r="B425" s="592"/>
    </row>
    <row r="426" spans="1:2" ht="12" customHeight="1">
      <c r="A426" s="601"/>
      <c r="B426" s="592"/>
    </row>
    <row r="427" spans="1:2" ht="12" customHeight="1">
      <c r="A427" s="601"/>
      <c r="B427" s="592"/>
    </row>
    <row r="428" spans="1:2" ht="12" customHeight="1">
      <c r="A428" s="601"/>
      <c r="B428" s="592"/>
    </row>
    <row r="429" spans="1:2" ht="12" customHeight="1">
      <c r="A429" s="601"/>
      <c r="B429" s="592"/>
    </row>
    <row r="430" spans="1:2" ht="12" customHeight="1">
      <c r="A430" s="601"/>
      <c r="B430" s="592"/>
    </row>
    <row r="431" spans="1:2" ht="12" customHeight="1">
      <c r="A431" s="601"/>
      <c r="B431" s="592"/>
    </row>
    <row r="432" spans="1:2" ht="12" customHeight="1">
      <c r="A432" s="601"/>
      <c r="B432" s="592"/>
    </row>
    <row r="433" spans="1:2" ht="12" customHeight="1">
      <c r="A433" s="601"/>
      <c r="B433" s="592"/>
    </row>
    <row r="434" spans="1:2" ht="12" customHeight="1">
      <c r="A434" s="601"/>
      <c r="B434" s="592"/>
    </row>
    <row r="435" spans="1:2" ht="12" customHeight="1">
      <c r="A435" s="601"/>
      <c r="B435" s="592"/>
    </row>
    <row r="436" spans="1:2" ht="12" customHeight="1">
      <c r="A436" s="601"/>
      <c r="B436" s="592"/>
    </row>
    <row r="437" spans="1:2" ht="12" customHeight="1">
      <c r="A437" s="601"/>
      <c r="B437" s="592"/>
    </row>
    <row r="438" spans="1:2" ht="12" customHeight="1">
      <c r="A438" s="601"/>
      <c r="B438" s="592"/>
    </row>
    <row r="439" spans="1:2" ht="12" customHeight="1">
      <c r="A439" s="601"/>
      <c r="B439" s="592"/>
    </row>
    <row r="440" spans="1:2" ht="12" customHeight="1">
      <c r="A440" s="601"/>
      <c r="B440" s="592"/>
    </row>
    <row r="441" spans="1:2" ht="12" customHeight="1">
      <c r="A441" s="601"/>
      <c r="B441" s="592"/>
    </row>
    <row r="442" spans="1:2" ht="12" customHeight="1">
      <c r="A442" s="601"/>
      <c r="B442" s="592"/>
    </row>
    <row r="443" spans="1:2" ht="12" customHeight="1">
      <c r="A443" s="601"/>
      <c r="B443" s="592"/>
    </row>
    <row r="444" spans="1:2" ht="12" customHeight="1">
      <c r="A444" s="601"/>
      <c r="B444" s="592"/>
    </row>
    <row r="445" spans="1:2" ht="12" customHeight="1">
      <c r="A445" s="601"/>
      <c r="B445" s="592"/>
    </row>
    <row r="446" spans="1:2" ht="12" customHeight="1">
      <c r="A446" s="601"/>
      <c r="B446" s="592"/>
    </row>
    <row r="447" spans="1:2" ht="12" customHeight="1">
      <c r="A447" s="601"/>
      <c r="B447" s="592"/>
    </row>
    <row r="448" spans="1:2" ht="12" customHeight="1">
      <c r="A448" s="601"/>
      <c r="B448" s="592"/>
    </row>
    <row r="449" spans="1:2" ht="12" customHeight="1">
      <c r="A449" s="601"/>
      <c r="B449" s="592"/>
    </row>
    <row r="450" spans="1:2" ht="12" customHeight="1">
      <c r="A450" s="601"/>
      <c r="B450" s="592"/>
    </row>
    <row r="451" spans="1:2" ht="12" customHeight="1">
      <c r="A451" s="601"/>
      <c r="B451" s="592"/>
    </row>
    <row r="452" spans="1:2" ht="12" customHeight="1">
      <c r="A452" s="601"/>
      <c r="B452" s="592"/>
    </row>
    <row r="453" spans="1:2" ht="12" customHeight="1">
      <c r="A453" s="601"/>
      <c r="B453" s="592"/>
    </row>
    <row r="454" spans="1:2" ht="12" customHeight="1">
      <c r="A454" s="601"/>
      <c r="B454" s="592"/>
    </row>
    <row r="455" spans="1:2" ht="12" customHeight="1">
      <c r="A455" s="601"/>
      <c r="B455" s="592"/>
    </row>
    <row r="456" spans="1:2" ht="12" customHeight="1">
      <c r="A456" s="601"/>
      <c r="B456" s="592"/>
    </row>
    <row r="457" spans="1:2" ht="12" customHeight="1">
      <c r="A457" s="601"/>
      <c r="B457" s="592"/>
    </row>
    <row r="458" spans="1:2" ht="12" customHeight="1">
      <c r="A458" s="601"/>
      <c r="B458" s="592"/>
    </row>
    <row r="459" spans="1:2" ht="12" customHeight="1">
      <c r="A459" s="601"/>
      <c r="B459" s="592"/>
    </row>
    <row r="460" spans="1:2" ht="12" customHeight="1">
      <c r="A460" s="601"/>
      <c r="B460" s="592"/>
    </row>
    <row r="461" spans="1:2" ht="12" customHeight="1">
      <c r="A461" s="601"/>
      <c r="B461" s="592"/>
    </row>
    <row r="462" spans="1:2" ht="12" customHeight="1">
      <c r="A462" s="601"/>
      <c r="B462" s="592"/>
    </row>
    <row r="463" spans="1:2" ht="12" customHeight="1">
      <c r="A463" s="601"/>
      <c r="B463" s="592"/>
    </row>
    <row r="464" spans="1:2" ht="12" customHeight="1">
      <c r="A464" s="601"/>
      <c r="B464" s="592"/>
    </row>
    <row r="465" spans="1:2" ht="12" customHeight="1">
      <c r="A465" s="601"/>
      <c r="B465" s="592"/>
    </row>
    <row r="466" spans="1:2" ht="12" customHeight="1">
      <c r="A466" s="601"/>
      <c r="B466" s="592"/>
    </row>
    <row r="467" spans="1:2" ht="12" customHeight="1">
      <c r="A467" s="601"/>
      <c r="B467" s="592"/>
    </row>
    <row r="468" spans="1:2" ht="12" customHeight="1">
      <c r="A468" s="601"/>
      <c r="B468" s="592"/>
    </row>
    <row r="469" spans="1:2" ht="12" customHeight="1">
      <c r="A469" s="601"/>
      <c r="B469" s="592"/>
    </row>
    <row r="470" spans="1:2" ht="12" customHeight="1">
      <c r="A470" s="601"/>
      <c r="B470" s="592"/>
    </row>
    <row r="471" spans="1:2" ht="12" customHeight="1">
      <c r="A471" s="601"/>
      <c r="B471" s="592"/>
    </row>
    <row r="472" spans="1:2" ht="12" customHeight="1">
      <c r="A472" s="601"/>
      <c r="B472" s="592"/>
    </row>
    <row r="473" spans="1:2" ht="12" customHeight="1">
      <c r="A473" s="601"/>
      <c r="B473" s="592"/>
    </row>
    <row r="474" spans="1:2" ht="12" customHeight="1">
      <c r="A474" s="601"/>
      <c r="B474" s="592"/>
    </row>
    <row r="475" spans="1:2" ht="12" customHeight="1">
      <c r="A475" s="601"/>
      <c r="B475" s="592"/>
    </row>
    <row r="476" spans="1:2" ht="12" customHeight="1">
      <c r="A476" s="601"/>
      <c r="B476" s="592"/>
    </row>
    <row r="477" spans="1:2" ht="12" customHeight="1">
      <c r="A477" s="601"/>
      <c r="B477" s="592"/>
    </row>
    <row r="478" spans="1:2" ht="12" customHeight="1">
      <c r="A478" s="601"/>
      <c r="B478" s="592"/>
    </row>
    <row r="479" spans="1:2" ht="12" customHeight="1">
      <c r="A479" s="601"/>
      <c r="B479" s="592"/>
    </row>
    <row r="480" spans="1:2" ht="12" customHeight="1">
      <c r="A480" s="601"/>
      <c r="B480" s="592"/>
    </row>
    <row r="481" spans="1:2" ht="12" customHeight="1">
      <c r="A481" s="601"/>
      <c r="B481" s="592"/>
    </row>
    <row r="482" spans="1:2" ht="12" customHeight="1">
      <c r="A482" s="601"/>
      <c r="B482" s="592"/>
    </row>
    <row r="483" spans="1:2" ht="12" customHeight="1">
      <c r="A483" s="601"/>
      <c r="B483" s="592"/>
    </row>
    <row r="484" spans="1:2" ht="12" customHeight="1">
      <c r="A484" s="601"/>
      <c r="B484" s="592"/>
    </row>
    <row r="485" spans="1:2" ht="12" customHeight="1">
      <c r="A485" s="601"/>
      <c r="B485" s="592"/>
    </row>
    <row r="486" spans="1:2" ht="12" customHeight="1">
      <c r="A486" s="601"/>
      <c r="B486" s="592"/>
    </row>
    <row r="487" spans="1:2" ht="12" customHeight="1">
      <c r="A487" s="601"/>
      <c r="B487" s="592"/>
    </row>
    <row r="488" spans="1:2" ht="12" customHeight="1">
      <c r="A488" s="601"/>
      <c r="B488" s="592"/>
    </row>
    <row r="489" spans="1:2" ht="12" customHeight="1">
      <c r="A489" s="601"/>
      <c r="B489" s="592"/>
    </row>
    <row r="490" spans="1:2" ht="12" customHeight="1">
      <c r="A490" s="601"/>
      <c r="B490" s="592"/>
    </row>
    <row r="491" spans="1:2" ht="12" customHeight="1">
      <c r="A491" s="601"/>
      <c r="B491" s="592"/>
    </row>
    <row r="492" spans="1:2" ht="12" customHeight="1">
      <c r="A492" s="601"/>
      <c r="B492" s="592"/>
    </row>
    <row r="493" spans="1:2" ht="12" customHeight="1">
      <c r="A493" s="601"/>
      <c r="B493" s="592"/>
    </row>
    <row r="494" spans="1:2" ht="12" customHeight="1">
      <c r="A494" s="601"/>
      <c r="B494" s="592"/>
    </row>
    <row r="495" spans="1:2" ht="12" customHeight="1">
      <c r="A495" s="601"/>
      <c r="B495" s="592"/>
    </row>
    <row r="496" spans="1:2" ht="12" customHeight="1">
      <c r="A496" s="601"/>
      <c r="B496" s="592"/>
    </row>
    <row r="497" spans="1:2" ht="12" customHeight="1">
      <c r="A497" s="601"/>
      <c r="B497" s="592"/>
    </row>
    <row r="498" spans="1:2" ht="12" customHeight="1">
      <c r="A498" s="601"/>
      <c r="B498" s="592"/>
    </row>
    <row r="499" spans="1:2" ht="12" customHeight="1">
      <c r="A499" s="601"/>
      <c r="B499" s="592"/>
    </row>
    <row r="500" spans="1:2" ht="12" customHeight="1">
      <c r="A500" s="601"/>
      <c r="B500" s="592"/>
    </row>
    <row r="501" spans="1:2" ht="12" customHeight="1">
      <c r="A501" s="601"/>
      <c r="B501" s="592"/>
    </row>
    <row r="502" spans="1:2" ht="12" customHeight="1">
      <c r="A502" s="601"/>
      <c r="B502" s="592"/>
    </row>
    <row r="503" spans="1:2" ht="12" customHeight="1">
      <c r="A503" s="601"/>
      <c r="B503" s="592"/>
    </row>
    <row r="504" spans="1:2" ht="12" customHeight="1">
      <c r="A504" s="601"/>
      <c r="B504" s="592"/>
    </row>
    <row r="505" spans="1:2" ht="12" customHeight="1">
      <c r="A505" s="601"/>
      <c r="B505" s="592"/>
    </row>
    <row r="506" spans="1:2" ht="12" customHeight="1">
      <c r="A506" s="601"/>
      <c r="B506" s="592"/>
    </row>
    <row r="507" spans="1:2" ht="12" customHeight="1">
      <c r="A507" s="601"/>
      <c r="B507" s="592"/>
    </row>
    <row r="508" spans="1:2" ht="12" customHeight="1">
      <c r="A508" s="601"/>
      <c r="B508" s="592"/>
    </row>
    <row r="509" spans="1:2" ht="12" customHeight="1">
      <c r="A509" s="601"/>
      <c r="B509" s="592"/>
    </row>
    <row r="510" spans="1:2" ht="12" customHeight="1">
      <c r="A510" s="601"/>
      <c r="B510" s="592"/>
    </row>
    <row r="511" spans="1:2" ht="12" customHeight="1">
      <c r="A511" s="601"/>
      <c r="B511" s="592"/>
    </row>
    <row r="512" spans="1:2" ht="12" customHeight="1">
      <c r="A512" s="601"/>
      <c r="B512" s="592"/>
    </row>
  </sheetData>
  <mergeCells count="6"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E53F7-A677-41D6-82EC-D08BA080FD12}">
  <sheetPr>
    <tabColor theme="9" tint="-0.249977111117893"/>
  </sheetPr>
  <dimension ref="A1:L387"/>
  <sheetViews>
    <sheetView showGridLines="0" workbookViewId="0">
      <pane ySplit="2940" topLeftCell="A377" activePane="bottomLeft"/>
      <selection pane="bottomLeft" activeCell="J385" sqref="J385"/>
      <selection activeCell="F385" sqref="A384:F385"/>
    </sheetView>
  </sheetViews>
  <sheetFormatPr defaultColWidth="12.42578125" defaultRowHeight="15.7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0" width="21.42578125" style="55" customWidth="1"/>
    <col min="11" max="16384" width="12.42578125" style="55"/>
  </cols>
  <sheetData>
    <row r="1" spans="1:12" ht="21" customHeight="1">
      <c r="A1" s="805" t="s">
        <v>611</v>
      </c>
      <c r="B1" s="805"/>
      <c r="C1" s="805"/>
      <c r="D1" s="805"/>
      <c r="E1" s="805"/>
      <c r="F1" s="805"/>
      <c r="G1" s="604"/>
      <c r="H1" s="605"/>
    </row>
    <row r="2" spans="1:12" ht="15.75" customHeight="1">
      <c r="A2" s="805"/>
      <c r="B2" s="805"/>
      <c r="C2" s="805"/>
      <c r="D2" s="805"/>
      <c r="E2" s="805"/>
      <c r="F2" s="805"/>
      <c r="G2" s="604"/>
      <c r="H2" s="605"/>
    </row>
    <row r="3" spans="1:12" ht="15" customHeight="1" thickBot="1">
      <c r="A3" s="806"/>
      <c r="B3" s="806"/>
      <c r="C3" s="806"/>
      <c r="D3" s="806"/>
      <c r="E3" s="806"/>
      <c r="F3" s="806"/>
      <c r="G3" s="604"/>
      <c r="H3" s="605"/>
    </row>
    <row r="4" spans="1:12" ht="17.25" customHeight="1" thickBot="1">
      <c r="A4" s="708" t="s">
        <v>609</v>
      </c>
      <c r="B4" s="709"/>
      <c r="C4" s="710"/>
      <c r="D4" s="711" t="s">
        <v>612</v>
      </c>
      <c r="E4" s="712"/>
      <c r="F4" s="741"/>
      <c r="G4" s="184"/>
      <c r="H4" s="606"/>
    </row>
    <row r="5" spans="1:12" ht="15" customHeight="1" thickBot="1">
      <c r="A5" s="713" t="s">
        <v>46</v>
      </c>
      <c r="B5" s="714"/>
      <c r="C5" s="715"/>
      <c r="D5" s="716" t="s">
        <v>47</v>
      </c>
      <c r="E5" s="717"/>
      <c r="F5" s="807"/>
      <c r="G5" s="607"/>
    </row>
    <row r="6" spans="1:12" ht="15.75" customHeight="1">
      <c r="A6" s="808" t="s">
        <v>49</v>
      </c>
      <c r="B6" s="810" t="s">
        <v>50</v>
      </c>
      <c r="C6" s="810" t="s">
        <v>613</v>
      </c>
      <c r="D6" s="812" t="s">
        <v>614</v>
      </c>
      <c r="E6" s="812" t="s">
        <v>615</v>
      </c>
      <c r="F6" s="803" t="s">
        <v>616</v>
      </c>
      <c r="G6" s="607"/>
    </row>
    <row r="7" spans="1:12" ht="16.5" thickBot="1">
      <c r="A7" s="809"/>
      <c r="B7" s="811"/>
      <c r="C7" s="811"/>
      <c r="D7" s="813"/>
      <c r="E7" s="813"/>
      <c r="F7" s="804"/>
      <c r="G7" s="594"/>
      <c r="H7" s="608"/>
      <c r="I7" s="609"/>
      <c r="J7" s="609"/>
      <c r="K7" s="602"/>
      <c r="L7" s="602"/>
    </row>
    <row r="8" spans="1:12">
      <c r="A8" s="610">
        <v>1995</v>
      </c>
      <c r="B8" s="611" t="s">
        <v>56</v>
      </c>
      <c r="C8" s="612">
        <v>70</v>
      </c>
      <c r="D8" s="612">
        <v>100</v>
      </c>
      <c r="E8" s="612">
        <v>100</v>
      </c>
      <c r="F8" s="613">
        <f>+D8*E$8/E8</f>
        <v>100</v>
      </c>
      <c r="G8" s="608"/>
      <c r="H8" s="609"/>
      <c r="I8" s="609"/>
      <c r="J8" s="609"/>
      <c r="K8" s="602"/>
      <c r="L8" s="602"/>
    </row>
    <row r="9" spans="1:12">
      <c r="A9" s="545">
        <v>1995</v>
      </c>
      <c r="B9" s="546" t="s">
        <v>57</v>
      </c>
      <c r="C9" s="547">
        <v>70</v>
      </c>
      <c r="D9" s="547">
        <f t="shared" ref="D9:D72" si="0">100*C9/C$8</f>
        <v>100</v>
      </c>
      <c r="E9" s="614">
        <f>E8*(1+IGPDI!D13/100)</f>
        <v>101.15273245392289</v>
      </c>
      <c r="F9" s="615">
        <f>+D9*E$8/E9</f>
        <v>98.86040403856812</v>
      </c>
      <c r="G9" s="608"/>
      <c r="H9" s="616"/>
      <c r="I9" s="609"/>
      <c r="J9" s="369"/>
      <c r="K9" s="602"/>
      <c r="L9" s="602"/>
    </row>
    <row r="10" spans="1:12">
      <c r="A10" s="545">
        <v>1995</v>
      </c>
      <c r="B10" s="546" t="s">
        <v>58</v>
      </c>
      <c r="C10" s="547">
        <v>70</v>
      </c>
      <c r="D10" s="547">
        <f t="shared" si="0"/>
        <v>100</v>
      </c>
      <c r="E10" s="614">
        <f>E9*(1+IGPDI!D14/100)</f>
        <v>102.98754423863586</v>
      </c>
      <c r="F10" s="615">
        <f t="shared" ref="F10:F73" si="1">+D10*E$8/E10</f>
        <v>97.099120810461002</v>
      </c>
      <c r="G10" s="608"/>
      <c r="H10" s="616"/>
      <c r="I10" s="609"/>
      <c r="J10" s="369"/>
      <c r="K10" s="602"/>
      <c r="L10" s="602"/>
    </row>
    <row r="11" spans="1:12">
      <c r="A11" s="545">
        <v>1995</v>
      </c>
      <c r="B11" s="546" t="s">
        <v>59</v>
      </c>
      <c r="C11" s="547">
        <v>70</v>
      </c>
      <c r="D11" s="547">
        <f t="shared" si="0"/>
        <v>100</v>
      </c>
      <c r="E11" s="614">
        <f>E10*(1+IGPDI!D15/100)</f>
        <v>105.35827549754104</v>
      </c>
      <c r="F11" s="615">
        <f t="shared" si="1"/>
        <v>94.914233863227864</v>
      </c>
      <c r="G11" s="608"/>
      <c r="H11" s="616"/>
      <c r="I11" s="609"/>
      <c r="J11" s="369"/>
      <c r="K11" s="602"/>
      <c r="L11" s="602"/>
    </row>
    <row r="12" spans="1:12">
      <c r="A12" s="545">
        <v>1995</v>
      </c>
      <c r="B12" s="546" t="s">
        <v>60</v>
      </c>
      <c r="C12" s="547">
        <v>100</v>
      </c>
      <c r="D12" s="547">
        <f>100*C12/C$8</f>
        <v>142.85714285714286</v>
      </c>
      <c r="E12" s="614">
        <f>E11*(1+IGPDI!D16/100)</f>
        <v>105.7783701797123</v>
      </c>
      <c r="F12" s="615">
        <f t="shared" si="1"/>
        <v>135.05326525114307</v>
      </c>
      <c r="G12" s="608"/>
      <c r="H12" s="616"/>
      <c r="I12" s="609"/>
      <c r="J12" s="369"/>
      <c r="K12" s="602"/>
      <c r="L12" s="602"/>
    </row>
    <row r="13" spans="1:12">
      <c r="A13" s="545">
        <v>1995</v>
      </c>
      <c r="B13" s="546" t="s">
        <v>61</v>
      </c>
      <c r="C13" s="547">
        <v>100</v>
      </c>
      <c r="D13" s="547">
        <f t="shared" si="0"/>
        <v>142.85714285714286</v>
      </c>
      <c r="E13" s="614">
        <f>E12*(1+IGPDI!D17/100)</f>
        <v>108.55356896630971</v>
      </c>
      <c r="F13" s="615">
        <f t="shared" si="1"/>
        <v>131.60059518768975</v>
      </c>
      <c r="G13" s="608"/>
      <c r="H13" s="616"/>
      <c r="I13" s="609"/>
      <c r="J13" s="369"/>
      <c r="K13" s="602"/>
      <c r="L13" s="602"/>
    </row>
    <row r="14" spans="1:12">
      <c r="A14" s="545">
        <v>1995</v>
      </c>
      <c r="B14" s="546" t="s">
        <v>62</v>
      </c>
      <c r="C14" s="547">
        <v>100</v>
      </c>
      <c r="D14" s="547">
        <f t="shared" si="0"/>
        <v>142.85714285714286</v>
      </c>
      <c r="E14" s="614">
        <f>E13*(1+IGPDI!D18/100)</f>
        <v>110.9831318656065</v>
      </c>
      <c r="F14" s="615">
        <f t="shared" si="1"/>
        <v>128.71968961024976</v>
      </c>
      <c r="G14" s="608"/>
      <c r="H14" s="616"/>
      <c r="I14" s="609"/>
      <c r="J14" s="369"/>
      <c r="K14" s="602"/>
      <c r="L14" s="602"/>
    </row>
    <row r="15" spans="1:12">
      <c r="A15" s="545">
        <v>1995</v>
      </c>
      <c r="B15" s="546" t="s">
        <v>63</v>
      </c>
      <c r="C15" s="547">
        <v>100</v>
      </c>
      <c r="D15" s="547">
        <f t="shared" si="0"/>
        <v>142.85714285714286</v>
      </c>
      <c r="E15" s="614">
        <f>E14*(1+IGPDI!D19/100)</f>
        <v>112.41347612262723</v>
      </c>
      <c r="F15" s="615">
        <f t="shared" si="1"/>
        <v>127.08186579098923</v>
      </c>
      <c r="G15" s="608"/>
      <c r="H15" s="616"/>
      <c r="I15" s="609"/>
      <c r="J15" s="369"/>
      <c r="K15" s="602"/>
      <c r="L15" s="602"/>
    </row>
    <row r="16" spans="1:12">
      <c r="A16" s="545">
        <v>1995</v>
      </c>
      <c r="B16" s="546" t="s">
        <v>64</v>
      </c>
      <c r="C16" s="547">
        <v>100</v>
      </c>
      <c r="D16" s="547">
        <f t="shared" si="0"/>
        <v>142.85714285714286</v>
      </c>
      <c r="E16" s="614">
        <f>E15*(1+IGPDI!D20/100)</f>
        <v>111.19823505078827</v>
      </c>
      <c r="F16" s="615">
        <f t="shared" si="1"/>
        <v>128.47069271548673</v>
      </c>
      <c r="G16" s="608"/>
      <c r="H16" s="616"/>
      <c r="I16" s="609"/>
      <c r="J16" s="369"/>
      <c r="K16" s="602"/>
      <c r="L16" s="602"/>
    </row>
    <row r="17" spans="1:12">
      <c r="A17" s="545">
        <v>1995</v>
      </c>
      <c r="B17" s="546" t="s">
        <v>65</v>
      </c>
      <c r="C17" s="547">
        <v>100</v>
      </c>
      <c r="D17" s="547">
        <f t="shared" si="0"/>
        <v>142.85714285714286</v>
      </c>
      <c r="E17" s="614">
        <f>E16*(1+IGPDI!D21/100)</f>
        <v>111.45010801121481</v>
      </c>
      <c r="F17" s="615">
        <f t="shared" si="1"/>
        <v>128.18035388782906</v>
      </c>
      <c r="G17" s="608"/>
      <c r="H17" s="616"/>
      <c r="I17" s="609"/>
      <c r="J17" s="369"/>
      <c r="K17" s="602"/>
      <c r="L17" s="602"/>
    </row>
    <row r="18" spans="1:12">
      <c r="A18" s="545">
        <v>1995</v>
      </c>
      <c r="B18" s="546" t="s">
        <v>66</v>
      </c>
      <c r="C18" s="547">
        <v>100</v>
      </c>
      <c r="D18" s="547">
        <f t="shared" si="0"/>
        <v>142.85714285714286</v>
      </c>
      <c r="E18" s="614">
        <f>E17*(1+IGPDI!D22/100)</f>
        <v>112.92917222043481</v>
      </c>
      <c r="F18" s="615">
        <f t="shared" si="1"/>
        <v>126.50154078725507</v>
      </c>
      <c r="G18" s="608"/>
      <c r="H18" s="616"/>
      <c r="I18" s="609"/>
      <c r="J18" s="369"/>
      <c r="K18" s="602"/>
      <c r="L18" s="602"/>
    </row>
    <row r="19" spans="1:12">
      <c r="A19" s="545">
        <v>1995</v>
      </c>
      <c r="B19" s="546" t="s">
        <v>55</v>
      </c>
      <c r="C19" s="547">
        <v>100</v>
      </c>
      <c r="D19" s="547">
        <f t="shared" si="0"/>
        <v>142.85714285714286</v>
      </c>
      <c r="E19" s="614">
        <f>E18*(1+IGPDI!D23/100)</f>
        <v>113.23895757687181</v>
      </c>
      <c r="F19" s="615">
        <f t="shared" si="1"/>
        <v>126.1554732700227</v>
      </c>
      <c r="G19" s="608"/>
      <c r="H19" s="616"/>
      <c r="I19" s="609"/>
      <c r="J19" s="369"/>
      <c r="K19" s="602"/>
      <c r="L19" s="602"/>
    </row>
    <row r="20" spans="1:12">
      <c r="A20" s="545">
        <v>1996</v>
      </c>
      <c r="B20" s="546" t="s">
        <v>56</v>
      </c>
      <c r="C20" s="547">
        <v>100</v>
      </c>
      <c r="D20" s="547">
        <f t="shared" si="0"/>
        <v>142.85714285714286</v>
      </c>
      <c r="E20" s="614">
        <f>E19*(1+IGPDI!D24/100)</f>
        <v>115.27048765914419</v>
      </c>
      <c r="F20" s="615">
        <f t="shared" si="1"/>
        <v>123.93210591732087</v>
      </c>
      <c r="G20" s="608"/>
      <c r="H20" s="616"/>
      <c r="I20" s="609"/>
      <c r="J20" s="369"/>
      <c r="K20" s="602"/>
      <c r="L20" s="602"/>
    </row>
    <row r="21" spans="1:12">
      <c r="A21" s="545">
        <v>1996</v>
      </c>
      <c r="B21" s="546" t="s">
        <v>57</v>
      </c>
      <c r="C21" s="547">
        <v>100</v>
      </c>
      <c r="D21" s="547">
        <f t="shared" si="0"/>
        <v>142.85714285714286</v>
      </c>
      <c r="E21" s="614">
        <f>E20*(1+IGPDI!D25/100)</f>
        <v>116.14928528749368</v>
      </c>
      <c r="F21" s="615">
        <f t="shared" si="1"/>
        <v>122.99442265489768</v>
      </c>
      <c r="G21" s="608"/>
      <c r="H21" s="616"/>
      <c r="I21" s="609"/>
      <c r="J21" s="369"/>
      <c r="K21" s="602"/>
      <c r="L21" s="602"/>
    </row>
    <row r="22" spans="1:12">
      <c r="A22" s="545">
        <v>1996</v>
      </c>
      <c r="B22" s="546" t="s">
        <v>58</v>
      </c>
      <c r="C22" s="547">
        <v>100</v>
      </c>
      <c r="D22" s="547">
        <f t="shared" si="0"/>
        <v>142.85714285714286</v>
      </c>
      <c r="E22" s="614">
        <f>E21*(1+IGPDI!D26/100)</f>
        <v>116.40115824792022</v>
      </c>
      <c r="F22" s="615">
        <f t="shared" si="1"/>
        <v>122.72828295477493</v>
      </c>
      <c r="G22" s="608"/>
      <c r="H22" s="616"/>
      <c r="I22" s="609"/>
      <c r="J22" s="369"/>
      <c r="K22" s="602"/>
      <c r="L22" s="602"/>
    </row>
    <row r="23" spans="1:12">
      <c r="A23" s="545">
        <v>1996</v>
      </c>
      <c r="B23" s="546" t="s">
        <v>59</v>
      </c>
      <c r="C23" s="547">
        <v>100</v>
      </c>
      <c r="D23" s="547">
        <f t="shared" si="0"/>
        <v>142.85714285714286</v>
      </c>
      <c r="E23" s="614">
        <f>E22*(1+IGPDI!D27/100)</f>
        <v>117.21193179206693</v>
      </c>
      <c r="F23" s="615">
        <f t="shared" si="1"/>
        <v>121.87935193370103</v>
      </c>
      <c r="G23" s="608"/>
      <c r="H23" s="616"/>
      <c r="I23" s="609"/>
      <c r="J23" s="369"/>
      <c r="K23" s="602"/>
      <c r="L23" s="602"/>
    </row>
    <row r="24" spans="1:12">
      <c r="A24" s="545">
        <v>1996</v>
      </c>
      <c r="B24" s="546" t="s">
        <v>60</v>
      </c>
      <c r="C24" s="547">
        <v>112</v>
      </c>
      <c r="D24" s="547">
        <f t="shared" si="0"/>
        <v>160</v>
      </c>
      <c r="E24" s="614">
        <f>E23*(1+IGPDI!D28/100)</f>
        <v>119.1846302339477</v>
      </c>
      <c r="F24" s="615">
        <f t="shared" si="1"/>
        <v>134.2454976668852</v>
      </c>
      <c r="G24" s="608"/>
      <c r="H24" s="616"/>
      <c r="I24" s="609"/>
      <c r="J24" s="369"/>
      <c r="K24" s="602"/>
      <c r="L24" s="602"/>
    </row>
    <row r="25" spans="1:12">
      <c r="A25" s="545">
        <v>1996</v>
      </c>
      <c r="B25" s="546" t="s">
        <v>61</v>
      </c>
      <c r="C25" s="547">
        <v>112</v>
      </c>
      <c r="D25" s="547">
        <f t="shared" si="0"/>
        <v>160</v>
      </c>
      <c r="E25" s="614">
        <f>E24*(1+IGPDI!D29/100)</f>
        <v>120.64163257802088</v>
      </c>
      <c r="F25" s="615">
        <f t="shared" si="1"/>
        <v>132.62419993904297</v>
      </c>
      <c r="G25" s="608"/>
      <c r="H25" s="616"/>
      <c r="I25" s="609"/>
      <c r="J25" s="369"/>
      <c r="K25" s="602"/>
      <c r="L25" s="602"/>
    </row>
    <row r="26" spans="1:12">
      <c r="A26" s="545">
        <v>1996</v>
      </c>
      <c r="B26" s="546" t="s">
        <v>62</v>
      </c>
      <c r="C26" s="547">
        <v>112</v>
      </c>
      <c r="D26" s="547">
        <f t="shared" si="0"/>
        <v>160</v>
      </c>
      <c r="E26" s="614">
        <f>E25*(1+IGPDI!D30/100)</f>
        <v>121.95982902054513</v>
      </c>
      <c r="F26" s="615">
        <f t="shared" si="1"/>
        <v>131.19073820040097</v>
      </c>
      <c r="G26" s="608"/>
      <c r="H26" s="616"/>
      <c r="I26" s="609"/>
      <c r="J26" s="369"/>
      <c r="K26" s="602"/>
      <c r="L26" s="602"/>
    </row>
    <row r="27" spans="1:12">
      <c r="A27" s="545">
        <v>1996</v>
      </c>
      <c r="B27" s="546" t="s">
        <v>63</v>
      </c>
      <c r="C27" s="547">
        <v>112</v>
      </c>
      <c r="D27" s="547">
        <f t="shared" si="0"/>
        <v>160</v>
      </c>
      <c r="E27" s="614">
        <f>E26*(1+IGPDI!D31/100)</f>
        <v>121.96442524245072</v>
      </c>
      <c r="F27" s="615">
        <f t="shared" si="1"/>
        <v>131.18579428545587</v>
      </c>
      <c r="G27" s="608"/>
      <c r="H27" s="616"/>
      <c r="I27" s="609"/>
      <c r="J27" s="369"/>
      <c r="K27" s="602"/>
      <c r="L27" s="602"/>
    </row>
    <row r="28" spans="1:12">
      <c r="A28" s="545">
        <v>1996</v>
      </c>
      <c r="B28" s="546" t="s">
        <v>64</v>
      </c>
      <c r="C28" s="547">
        <v>112</v>
      </c>
      <c r="D28" s="547">
        <f t="shared" si="0"/>
        <v>160</v>
      </c>
      <c r="E28" s="614">
        <f>E27*(1+IGPDI!D32/100)</f>
        <v>122.12069678724087</v>
      </c>
      <c r="F28" s="615">
        <f t="shared" si="1"/>
        <v>131.01792260385852</v>
      </c>
      <c r="G28" s="608"/>
      <c r="H28" s="616"/>
      <c r="I28" s="609"/>
      <c r="J28" s="369"/>
      <c r="K28" s="602"/>
      <c r="L28" s="602"/>
    </row>
    <row r="29" spans="1:12">
      <c r="A29" s="545">
        <v>1996</v>
      </c>
      <c r="B29" s="546" t="s">
        <v>65</v>
      </c>
      <c r="C29" s="547">
        <v>112</v>
      </c>
      <c r="D29" s="547">
        <f t="shared" si="0"/>
        <v>160</v>
      </c>
      <c r="E29" s="614">
        <f>E28*(1+IGPDI!D33/100)</f>
        <v>122.38911614652754</v>
      </c>
      <c r="F29" s="615">
        <f t="shared" si="1"/>
        <v>130.73057886000558</v>
      </c>
      <c r="G29" s="608"/>
      <c r="H29" s="616"/>
      <c r="I29" s="609"/>
      <c r="J29" s="369"/>
      <c r="K29" s="602"/>
      <c r="L29" s="602"/>
    </row>
    <row r="30" spans="1:12">
      <c r="A30" s="545">
        <v>1996</v>
      </c>
      <c r="B30" s="546" t="s">
        <v>66</v>
      </c>
      <c r="C30" s="547">
        <v>112</v>
      </c>
      <c r="D30" s="547">
        <f t="shared" si="0"/>
        <v>160</v>
      </c>
      <c r="E30" s="614">
        <f>E29*(1+IGPDI!D34/100)</f>
        <v>122.73475203382819</v>
      </c>
      <c r="F30" s="615">
        <f t="shared" si="1"/>
        <v>130.36242575851765</v>
      </c>
      <c r="G30" s="608"/>
      <c r="H30" s="616"/>
      <c r="I30" s="609"/>
      <c r="J30" s="369"/>
      <c r="K30" s="602"/>
      <c r="L30" s="602"/>
    </row>
    <row r="31" spans="1:12">
      <c r="A31" s="545">
        <v>1996</v>
      </c>
      <c r="B31" s="546" t="s">
        <v>55</v>
      </c>
      <c r="C31" s="547">
        <v>112</v>
      </c>
      <c r="D31" s="547">
        <f t="shared" si="0"/>
        <v>160</v>
      </c>
      <c r="E31" s="614">
        <f>E30*(1+IGPDI!D35/100)</f>
        <v>123.81210644849934</v>
      </c>
      <c r="F31" s="615">
        <f t="shared" si="1"/>
        <v>129.22807356205777</v>
      </c>
      <c r="G31" s="608"/>
      <c r="H31" s="616"/>
      <c r="I31" s="609"/>
      <c r="J31" s="369"/>
      <c r="K31" s="602"/>
      <c r="L31" s="602"/>
    </row>
    <row r="32" spans="1:12">
      <c r="A32" s="545">
        <v>1997</v>
      </c>
      <c r="B32" s="546" t="s">
        <v>56</v>
      </c>
      <c r="C32" s="547">
        <v>112</v>
      </c>
      <c r="D32" s="547">
        <f t="shared" si="0"/>
        <v>160</v>
      </c>
      <c r="E32" s="614">
        <f>E31*(1+IGPDI!D36/100)</f>
        <v>125.76550075837662</v>
      </c>
      <c r="F32" s="615">
        <f t="shared" si="1"/>
        <v>127.22089844606546</v>
      </c>
      <c r="G32" s="608"/>
      <c r="H32" s="616"/>
      <c r="I32" s="609"/>
      <c r="J32" s="369"/>
      <c r="K32" s="602"/>
      <c r="L32" s="602"/>
    </row>
    <row r="33" spans="1:12">
      <c r="A33" s="545">
        <v>1997</v>
      </c>
      <c r="B33" s="546" t="s">
        <v>57</v>
      </c>
      <c r="C33" s="547">
        <v>112</v>
      </c>
      <c r="D33" s="547">
        <f t="shared" si="0"/>
        <v>160</v>
      </c>
      <c r="E33" s="614">
        <f>E32*(1+IGPDI!D37/100)</f>
        <v>126.29498552190098</v>
      </c>
      <c r="F33" s="615">
        <f t="shared" si="1"/>
        <v>126.68753184365676</v>
      </c>
      <c r="G33" s="608"/>
      <c r="H33" s="616"/>
      <c r="I33" s="609"/>
      <c r="J33" s="369"/>
      <c r="K33" s="602"/>
      <c r="L33" s="602"/>
    </row>
    <row r="34" spans="1:12">
      <c r="A34" s="545">
        <v>1997</v>
      </c>
      <c r="B34" s="546" t="s">
        <v>58</v>
      </c>
      <c r="C34" s="547">
        <v>112</v>
      </c>
      <c r="D34" s="547">
        <f t="shared" si="0"/>
        <v>160</v>
      </c>
      <c r="E34" s="614">
        <f>E33*(1+IGPDI!D38/100)</f>
        <v>127.76577653169096</v>
      </c>
      <c r="F34" s="615">
        <f t="shared" si="1"/>
        <v>125.2291531764875</v>
      </c>
      <c r="G34" s="608"/>
      <c r="H34" s="616"/>
      <c r="I34" s="609"/>
      <c r="J34" s="369"/>
      <c r="K34" s="602"/>
      <c r="L34" s="602"/>
    </row>
    <row r="35" spans="1:12">
      <c r="A35" s="545">
        <v>1997</v>
      </c>
      <c r="B35" s="546" t="s">
        <v>59</v>
      </c>
      <c r="C35" s="547">
        <v>112</v>
      </c>
      <c r="D35" s="547">
        <f t="shared" si="0"/>
        <v>160</v>
      </c>
      <c r="E35" s="614">
        <f>E34*(1+IGPDI!D39/100)</f>
        <v>128.51679919106493</v>
      </c>
      <c r="F35" s="615">
        <f t="shared" si="1"/>
        <v>124.49734276538372</v>
      </c>
      <c r="G35" s="608"/>
      <c r="H35" s="616"/>
      <c r="I35" s="609"/>
      <c r="J35" s="369"/>
      <c r="K35" s="602"/>
      <c r="L35" s="602"/>
    </row>
    <row r="36" spans="1:12">
      <c r="A36" s="545">
        <v>1997</v>
      </c>
      <c r="B36" s="546" t="s">
        <v>60</v>
      </c>
      <c r="C36" s="547">
        <v>120</v>
      </c>
      <c r="D36" s="547">
        <f t="shared" si="0"/>
        <v>171.42857142857142</v>
      </c>
      <c r="E36" s="614">
        <f>E35*(1+IGPDI!D40/100)</f>
        <v>128.90472031989708</v>
      </c>
      <c r="F36" s="615">
        <f t="shared" si="1"/>
        <v>132.98859111066281</v>
      </c>
      <c r="G36" s="608"/>
      <c r="H36" s="616"/>
      <c r="I36" s="609"/>
      <c r="J36" s="369"/>
      <c r="K36" s="602"/>
      <c r="L36" s="602"/>
    </row>
    <row r="37" spans="1:12">
      <c r="A37" s="545">
        <v>1997</v>
      </c>
      <c r="B37" s="546" t="s">
        <v>61</v>
      </c>
      <c r="C37" s="547">
        <v>120</v>
      </c>
      <c r="D37" s="547">
        <f t="shared" si="0"/>
        <v>171.42857142857142</v>
      </c>
      <c r="E37" s="614">
        <f>E36*(1+IGPDI!D41/100)</f>
        <v>129.80374132463118</v>
      </c>
      <c r="F37" s="615">
        <f t="shared" si="1"/>
        <v>132.06751182913834</v>
      </c>
      <c r="G37" s="608"/>
      <c r="H37" s="616"/>
      <c r="I37" s="609"/>
      <c r="J37" s="369"/>
      <c r="K37" s="602"/>
      <c r="L37" s="602"/>
    </row>
    <row r="38" spans="1:12">
      <c r="A38" s="545">
        <v>1997</v>
      </c>
      <c r="B38" s="546" t="s">
        <v>62</v>
      </c>
      <c r="C38" s="547">
        <v>120</v>
      </c>
      <c r="D38" s="547">
        <f t="shared" si="0"/>
        <v>171.42857142857142</v>
      </c>
      <c r="E38" s="614">
        <f>E37*(1+IGPDI!D42/100)</f>
        <v>129.91680838350879</v>
      </c>
      <c r="F38" s="615">
        <f t="shared" si="1"/>
        <v>131.95257300542798</v>
      </c>
      <c r="G38" s="608"/>
      <c r="H38" s="616"/>
      <c r="I38" s="609"/>
      <c r="J38" s="369"/>
      <c r="K38" s="602"/>
      <c r="L38" s="602"/>
    </row>
    <row r="39" spans="1:12">
      <c r="A39" s="545">
        <v>1997</v>
      </c>
      <c r="B39" s="546" t="s">
        <v>63</v>
      </c>
      <c r="C39" s="547">
        <v>120</v>
      </c>
      <c r="D39" s="547">
        <f t="shared" si="0"/>
        <v>171.42857142857142</v>
      </c>
      <c r="E39" s="614">
        <f>E38*(1+IGPDI!D43/100)</f>
        <v>129.85981523187942</v>
      </c>
      <c r="F39" s="615">
        <f t="shared" si="1"/>
        <v>132.01048463103561</v>
      </c>
      <c r="G39" s="608"/>
      <c r="H39" s="616"/>
      <c r="I39" s="609"/>
      <c r="J39" s="369"/>
      <c r="K39" s="602"/>
      <c r="L39" s="602"/>
    </row>
    <row r="40" spans="1:12">
      <c r="A40" s="545">
        <v>1997</v>
      </c>
      <c r="B40" s="546" t="s">
        <v>64</v>
      </c>
      <c r="C40" s="547">
        <v>120</v>
      </c>
      <c r="D40" s="547">
        <f t="shared" si="0"/>
        <v>171.42857142857142</v>
      </c>
      <c r="E40" s="614">
        <f>E39*(1+IGPDI!D44/100)</f>
        <v>130.62554580135131</v>
      </c>
      <c r="F40" s="615">
        <f t="shared" si="1"/>
        <v>131.23663551176372</v>
      </c>
      <c r="G40" s="608"/>
      <c r="H40" s="616"/>
      <c r="I40" s="609"/>
      <c r="J40" s="369"/>
      <c r="K40" s="602"/>
      <c r="L40" s="602"/>
    </row>
    <row r="41" spans="1:12">
      <c r="A41" s="545">
        <v>1997</v>
      </c>
      <c r="B41" s="546" t="s">
        <v>65</v>
      </c>
      <c r="C41" s="547">
        <v>120</v>
      </c>
      <c r="D41" s="547">
        <f t="shared" si="0"/>
        <v>171.42857142857142</v>
      </c>
      <c r="E41" s="614">
        <f>E40*(1+IGPDI!D45/100)</f>
        <v>131.07229857057499</v>
      </c>
      <c r="F41" s="615">
        <f t="shared" si="1"/>
        <v>130.7893226090537</v>
      </c>
      <c r="G41" s="608"/>
      <c r="H41" s="616"/>
      <c r="I41" s="609"/>
      <c r="J41" s="369"/>
      <c r="K41" s="602"/>
      <c r="L41" s="602"/>
    </row>
    <row r="42" spans="1:12">
      <c r="A42" s="545">
        <v>1997</v>
      </c>
      <c r="B42" s="546" t="s">
        <v>66</v>
      </c>
      <c r="C42" s="547">
        <v>120</v>
      </c>
      <c r="D42" s="547">
        <f t="shared" si="0"/>
        <v>171.42857142857142</v>
      </c>
      <c r="E42" s="614">
        <f>E41*(1+IGPDI!D46/100)</f>
        <v>132.16068391781954</v>
      </c>
      <c r="F42" s="615">
        <f t="shared" si="1"/>
        <v>129.71223085919374</v>
      </c>
      <c r="G42" s="608"/>
      <c r="H42" s="616"/>
      <c r="I42" s="617"/>
      <c r="J42" s="369"/>
      <c r="K42" s="602"/>
      <c r="L42" s="602"/>
    </row>
    <row r="43" spans="1:12">
      <c r="A43" s="545">
        <v>1997</v>
      </c>
      <c r="B43" s="546" t="s">
        <v>55</v>
      </c>
      <c r="C43" s="547">
        <v>120</v>
      </c>
      <c r="D43" s="547">
        <f t="shared" si="0"/>
        <v>171.42857142857142</v>
      </c>
      <c r="E43" s="614">
        <f>E42*(1+IGPDI!D47/100)</f>
        <v>133.07441283265155</v>
      </c>
      <c r="F43" s="615">
        <f t="shared" si="1"/>
        <v>128.8215876963157</v>
      </c>
      <c r="G43" s="608"/>
      <c r="H43" s="616"/>
      <c r="I43" s="617"/>
      <c r="J43" s="369"/>
      <c r="K43" s="602"/>
      <c r="L43" s="602"/>
    </row>
    <row r="44" spans="1:12">
      <c r="A44" s="545">
        <v>1998</v>
      </c>
      <c r="B44" s="546" t="s">
        <v>56</v>
      </c>
      <c r="C44" s="547">
        <v>120</v>
      </c>
      <c r="D44" s="547">
        <f t="shared" si="0"/>
        <v>171.42857142857142</v>
      </c>
      <c r="E44" s="614">
        <f>E43*(1+IGPDI!D48/100)</f>
        <v>134.24461092981571</v>
      </c>
      <c r="F44" s="615">
        <f t="shared" si="1"/>
        <v>127.69866160079664</v>
      </c>
      <c r="G44" s="608"/>
      <c r="H44" s="616"/>
      <c r="I44" s="617"/>
      <c r="J44" s="369"/>
      <c r="K44" s="602"/>
      <c r="L44" s="602"/>
    </row>
    <row r="45" spans="1:12">
      <c r="A45" s="545">
        <v>1998</v>
      </c>
      <c r="B45" s="546" t="s">
        <v>57</v>
      </c>
      <c r="C45" s="547">
        <v>120</v>
      </c>
      <c r="D45" s="547">
        <f t="shared" si="0"/>
        <v>171.42857142857142</v>
      </c>
      <c r="E45" s="614">
        <f>E44*(1+IGPDI!D49/100)</f>
        <v>134.27126901686813</v>
      </c>
      <c r="F45" s="615">
        <f t="shared" si="1"/>
        <v>127.67330843282289</v>
      </c>
      <c r="G45" s="608"/>
      <c r="H45" s="616"/>
      <c r="I45" s="617"/>
      <c r="J45" s="369"/>
      <c r="K45" s="602"/>
      <c r="L45" s="602"/>
    </row>
    <row r="46" spans="1:12">
      <c r="A46" s="545">
        <v>1998</v>
      </c>
      <c r="B46" s="546" t="s">
        <v>58</v>
      </c>
      <c r="C46" s="547">
        <v>120</v>
      </c>
      <c r="D46" s="547">
        <f t="shared" si="0"/>
        <v>171.42857142857142</v>
      </c>
      <c r="E46" s="614">
        <f>E45*(1+IGPDI!D50/100)</f>
        <v>134.5847313508296</v>
      </c>
      <c r="F46" s="615">
        <f t="shared" si="1"/>
        <v>127.37594354719103</v>
      </c>
      <c r="G46" s="608"/>
      <c r="H46" s="616"/>
      <c r="I46" s="618"/>
      <c r="J46" s="369"/>
      <c r="K46" s="602"/>
      <c r="L46" s="602"/>
    </row>
    <row r="47" spans="1:12">
      <c r="A47" s="545">
        <v>1998</v>
      </c>
      <c r="B47" s="546" t="s">
        <v>59</v>
      </c>
      <c r="C47" s="547">
        <v>120</v>
      </c>
      <c r="D47" s="547">
        <f t="shared" si="0"/>
        <v>171.42857142857142</v>
      </c>
      <c r="E47" s="614">
        <f>E46*(1+IGPDI!D51/100)</f>
        <v>134.40364020774922</v>
      </c>
      <c r="F47" s="615">
        <f t="shared" si="1"/>
        <v>127.54756579776586</v>
      </c>
      <c r="G47" s="608"/>
      <c r="H47" s="616"/>
      <c r="I47" s="618"/>
      <c r="J47" s="369"/>
      <c r="K47" s="602"/>
      <c r="L47" s="602"/>
    </row>
    <row r="48" spans="1:12">
      <c r="A48" s="545">
        <v>1998</v>
      </c>
      <c r="B48" s="546" t="s">
        <v>60</v>
      </c>
      <c r="C48" s="547">
        <v>130</v>
      </c>
      <c r="D48" s="547">
        <f t="shared" si="0"/>
        <v>185.71428571428572</v>
      </c>
      <c r="E48" s="614">
        <f>E47*(1+IGPDI!D52/100)</f>
        <v>134.70974858666176</v>
      </c>
      <c r="F48" s="615">
        <f t="shared" si="1"/>
        <v>137.8625434779218</v>
      </c>
      <c r="G48" s="608"/>
      <c r="H48" s="616"/>
      <c r="I48" s="618"/>
      <c r="J48" s="369"/>
      <c r="K48" s="602"/>
      <c r="L48" s="602"/>
    </row>
    <row r="49" spans="1:12">
      <c r="A49" s="545">
        <v>1998</v>
      </c>
      <c r="B49" s="546" t="s">
        <v>61</v>
      </c>
      <c r="C49" s="547">
        <v>130</v>
      </c>
      <c r="D49" s="547">
        <f t="shared" si="0"/>
        <v>185.71428571428572</v>
      </c>
      <c r="E49" s="614">
        <f>E48*(1+IGPDI!D53/100)</f>
        <v>135.08388104977706</v>
      </c>
      <c r="F49" s="615">
        <f t="shared" si="1"/>
        <v>137.4807151460594</v>
      </c>
      <c r="G49" s="608"/>
      <c r="H49" s="616"/>
      <c r="I49" s="618"/>
      <c r="J49" s="369"/>
      <c r="K49" s="602"/>
      <c r="L49" s="602"/>
    </row>
    <row r="50" spans="1:12">
      <c r="A50" s="545">
        <v>1998</v>
      </c>
      <c r="B50" s="546" t="s">
        <v>62</v>
      </c>
      <c r="C50" s="547">
        <v>130</v>
      </c>
      <c r="D50" s="547">
        <f t="shared" si="0"/>
        <v>185.71428571428572</v>
      </c>
      <c r="E50" s="614">
        <f>E49*(1+IGPDI!D54/100)</f>
        <v>134.5755389070184</v>
      </c>
      <c r="F50" s="615">
        <f t="shared" si="1"/>
        <v>138.00003122603161</v>
      </c>
      <c r="G50" s="608"/>
      <c r="H50" s="616"/>
      <c r="I50" s="618"/>
      <c r="J50" s="369"/>
      <c r="K50" s="602"/>
      <c r="L50" s="602"/>
    </row>
    <row r="51" spans="1:12">
      <c r="A51" s="545">
        <v>1998</v>
      </c>
      <c r="B51" s="546" t="s">
        <v>63</v>
      </c>
      <c r="C51" s="547">
        <v>130</v>
      </c>
      <c r="D51" s="547">
        <f t="shared" si="0"/>
        <v>185.71428571428572</v>
      </c>
      <c r="E51" s="614">
        <f>E50*(1+IGPDI!D55/100)</f>
        <v>134.34205083421426</v>
      </c>
      <c r="F51" s="615">
        <f t="shared" si="1"/>
        <v>138.23987691200853</v>
      </c>
      <c r="G51" s="608"/>
      <c r="H51" s="616"/>
      <c r="I51" s="618"/>
      <c r="J51" s="369"/>
      <c r="K51" s="602"/>
      <c r="L51" s="602"/>
    </row>
    <row r="52" spans="1:12">
      <c r="A52" s="545">
        <v>1998</v>
      </c>
      <c r="B52" s="546" t="s">
        <v>64</v>
      </c>
      <c r="C52" s="547">
        <v>130</v>
      </c>
      <c r="D52" s="547">
        <f t="shared" si="0"/>
        <v>185.71428571428572</v>
      </c>
      <c r="E52" s="614">
        <f>E51*(1+IGPDI!D56/100)</f>
        <v>134.31171576963732</v>
      </c>
      <c r="F52" s="615">
        <f t="shared" si="1"/>
        <v>138.27109917411133</v>
      </c>
      <c r="G52" s="608"/>
      <c r="H52" s="616"/>
      <c r="I52" s="618"/>
      <c r="J52" s="369"/>
      <c r="K52" s="602"/>
      <c r="L52" s="602"/>
    </row>
    <row r="53" spans="1:12">
      <c r="A53" s="545">
        <v>1998</v>
      </c>
      <c r="B53" s="546" t="s">
        <v>65</v>
      </c>
      <c r="C53" s="547">
        <v>130</v>
      </c>
      <c r="D53" s="547">
        <f t="shared" si="0"/>
        <v>185.71428571428572</v>
      </c>
      <c r="E53" s="614">
        <f>E52*(1+IGPDI!D57/100)</f>
        <v>134.26759203934361</v>
      </c>
      <c r="F53" s="615">
        <f t="shared" si="1"/>
        <v>138.31653855821514</v>
      </c>
      <c r="G53" s="608"/>
      <c r="H53" s="616"/>
      <c r="I53" s="618"/>
      <c r="J53" s="369"/>
      <c r="K53" s="602"/>
      <c r="L53" s="602"/>
    </row>
    <row r="54" spans="1:12">
      <c r="A54" s="545">
        <v>1998</v>
      </c>
      <c r="B54" s="546" t="s">
        <v>66</v>
      </c>
      <c r="C54" s="547">
        <v>130</v>
      </c>
      <c r="D54" s="547">
        <f t="shared" si="0"/>
        <v>185.71428571428572</v>
      </c>
      <c r="E54" s="614">
        <f>E53*(1+IGPDI!D58/100)</f>
        <v>134.02307303396606</v>
      </c>
      <c r="F54" s="615">
        <f t="shared" si="1"/>
        <v>138.56889079630292</v>
      </c>
      <c r="G54" s="608"/>
      <c r="H54" s="616"/>
      <c r="I54" s="618"/>
      <c r="J54" s="369"/>
      <c r="K54" s="602"/>
      <c r="L54" s="602"/>
    </row>
    <row r="55" spans="1:12">
      <c r="A55" s="545">
        <v>1998</v>
      </c>
      <c r="B55" s="546" t="s">
        <v>55</v>
      </c>
      <c r="C55" s="547">
        <v>130</v>
      </c>
      <c r="D55" s="547">
        <f t="shared" si="0"/>
        <v>185.71428571428572</v>
      </c>
      <c r="E55" s="614">
        <f>E54*(1+IGPDI!D59/100)</f>
        <v>135.34126947649028</v>
      </c>
      <c r="F55" s="615">
        <f t="shared" si="1"/>
        <v>137.21925797847314</v>
      </c>
      <c r="G55" s="608"/>
      <c r="H55" s="616"/>
      <c r="I55" s="618"/>
      <c r="J55" s="369"/>
      <c r="K55" s="602"/>
      <c r="L55" s="602"/>
    </row>
    <row r="56" spans="1:12">
      <c r="A56" s="545">
        <v>1999</v>
      </c>
      <c r="B56" s="546" t="s">
        <v>56</v>
      </c>
      <c r="C56" s="547">
        <v>130</v>
      </c>
      <c r="D56" s="547">
        <f t="shared" si="0"/>
        <v>185.71428571428572</v>
      </c>
      <c r="E56" s="614">
        <f>E55*(1+IGPDI!D60/100)</f>
        <v>136.89479248058092</v>
      </c>
      <c r="F56" s="615">
        <f t="shared" si="1"/>
        <v>135.66205284297433</v>
      </c>
      <c r="G56" s="608"/>
      <c r="H56" s="616"/>
      <c r="I56" s="618"/>
      <c r="J56" s="369"/>
      <c r="K56" s="602"/>
      <c r="L56" s="602"/>
    </row>
    <row r="57" spans="1:12">
      <c r="A57" s="545">
        <v>1999</v>
      </c>
      <c r="B57" s="546" t="s">
        <v>57</v>
      </c>
      <c r="C57" s="547">
        <v>130</v>
      </c>
      <c r="D57" s="547">
        <f t="shared" si="0"/>
        <v>185.71428571428572</v>
      </c>
      <c r="E57" s="614">
        <f>E56*(1+IGPDI!D61/100)</f>
        <v>142.96824010663232</v>
      </c>
      <c r="F57" s="615">
        <f t="shared" si="1"/>
        <v>129.89898006422365</v>
      </c>
      <c r="G57" s="608"/>
      <c r="H57" s="616"/>
      <c r="I57" s="618"/>
      <c r="J57" s="369"/>
      <c r="K57" s="602"/>
      <c r="L57" s="602"/>
    </row>
    <row r="58" spans="1:12">
      <c r="A58" s="545">
        <v>1999</v>
      </c>
      <c r="B58" s="546" t="s">
        <v>58</v>
      </c>
      <c r="C58" s="547">
        <v>130</v>
      </c>
      <c r="D58" s="547">
        <f t="shared" si="0"/>
        <v>185.71428571428572</v>
      </c>
      <c r="E58" s="614">
        <f>E57*(1+IGPDI!D62/100)</f>
        <v>145.79215884542901</v>
      </c>
      <c r="F58" s="615">
        <f t="shared" si="1"/>
        <v>127.38290398126468</v>
      </c>
      <c r="G58" s="608"/>
      <c r="H58" s="616"/>
      <c r="I58" s="618"/>
      <c r="J58" s="369"/>
      <c r="K58" s="602"/>
      <c r="L58" s="602"/>
    </row>
    <row r="59" spans="1:12">
      <c r="A59" s="545">
        <v>1999</v>
      </c>
      <c r="B59" s="546" t="s">
        <v>59</v>
      </c>
      <c r="C59" s="547">
        <v>130</v>
      </c>
      <c r="D59" s="547">
        <f t="shared" si="0"/>
        <v>185.71428571428572</v>
      </c>
      <c r="E59" s="614">
        <f>E58*(1+IGPDI!D63/100)</f>
        <v>145.8353633313416</v>
      </c>
      <c r="F59" s="615">
        <f t="shared" si="1"/>
        <v>127.34516613253687</v>
      </c>
      <c r="G59" s="608"/>
      <c r="H59" s="616"/>
      <c r="I59" s="618"/>
      <c r="J59" s="369"/>
      <c r="K59" s="602"/>
      <c r="L59" s="602"/>
    </row>
    <row r="60" spans="1:12">
      <c r="A60" s="545">
        <v>1999</v>
      </c>
      <c r="B60" s="546" t="s">
        <v>60</v>
      </c>
      <c r="C60" s="547">
        <v>136</v>
      </c>
      <c r="D60" s="547">
        <f t="shared" si="0"/>
        <v>194.28571428571428</v>
      </c>
      <c r="E60" s="614">
        <f>E59*(1+IGPDI!D64/100)</f>
        <v>145.33253665486967</v>
      </c>
      <c r="F60" s="615">
        <f t="shared" si="1"/>
        <v>133.68356374807991</v>
      </c>
      <c r="G60" s="608"/>
      <c r="H60" s="616"/>
      <c r="I60" s="618"/>
      <c r="J60" s="369"/>
      <c r="K60" s="602"/>
      <c r="L60" s="602"/>
    </row>
    <row r="61" spans="1:12">
      <c r="A61" s="545">
        <v>1999</v>
      </c>
      <c r="B61" s="546" t="s">
        <v>61</v>
      </c>
      <c r="C61" s="547">
        <v>136</v>
      </c>
      <c r="D61" s="547">
        <f t="shared" si="0"/>
        <v>194.28571428571428</v>
      </c>
      <c r="E61" s="614">
        <f>E60*(1+IGPDI!D65/100)</f>
        <v>146.81343935285193</v>
      </c>
      <c r="F61" s="615">
        <f t="shared" si="1"/>
        <v>132.33510170602796</v>
      </c>
      <c r="G61" s="608"/>
      <c r="H61" s="616"/>
      <c r="I61" s="618"/>
      <c r="J61" s="369"/>
      <c r="K61" s="602"/>
      <c r="L61" s="602"/>
    </row>
    <row r="62" spans="1:12">
      <c r="A62" s="545">
        <v>1999</v>
      </c>
      <c r="B62" s="546" t="s">
        <v>62</v>
      </c>
      <c r="C62" s="547">
        <v>136</v>
      </c>
      <c r="D62" s="547">
        <f t="shared" si="0"/>
        <v>194.28571428571428</v>
      </c>
      <c r="E62" s="614">
        <f>E61*(1+IGPDI!D66/100)</f>
        <v>149.1501585696557</v>
      </c>
      <c r="F62" s="615">
        <f t="shared" si="1"/>
        <v>130.26182214548535</v>
      </c>
      <c r="G62" s="608"/>
      <c r="H62" s="616"/>
      <c r="I62" s="618"/>
      <c r="J62" s="369"/>
      <c r="K62" s="602"/>
      <c r="L62" s="602"/>
    </row>
    <row r="63" spans="1:12">
      <c r="A63" s="545">
        <v>1999</v>
      </c>
      <c r="B63" s="546" t="s">
        <v>63</v>
      </c>
      <c r="C63" s="547">
        <v>136</v>
      </c>
      <c r="D63" s="547">
        <f t="shared" si="0"/>
        <v>194.28571428571428</v>
      </c>
      <c r="E63" s="614">
        <f>E62*(1+IGPDI!D67/100)</f>
        <v>151.31865606471476</v>
      </c>
      <c r="F63" s="615">
        <f t="shared" si="1"/>
        <v>128.39508315658296</v>
      </c>
      <c r="G63" s="608"/>
      <c r="H63" s="616"/>
      <c r="I63" s="618"/>
      <c r="J63" s="369"/>
      <c r="K63" s="602"/>
      <c r="L63" s="602"/>
    </row>
    <row r="64" spans="1:12">
      <c r="A64" s="545">
        <v>1999</v>
      </c>
      <c r="B64" s="546" t="s">
        <v>64</v>
      </c>
      <c r="C64" s="547">
        <v>136</v>
      </c>
      <c r="D64" s="547">
        <f t="shared" si="0"/>
        <v>194.28571428571428</v>
      </c>
      <c r="E64" s="614">
        <f>E63*(1+IGPDI!D68/100)</f>
        <v>153.53955048949757</v>
      </c>
      <c r="F64" s="615">
        <f t="shared" si="1"/>
        <v>126.537894416334</v>
      </c>
      <c r="G64" s="608"/>
      <c r="H64" s="616"/>
      <c r="I64" s="618"/>
      <c r="J64" s="369"/>
      <c r="K64" s="602"/>
      <c r="L64" s="602"/>
    </row>
    <row r="65" spans="1:12">
      <c r="A65" s="545">
        <v>1999</v>
      </c>
      <c r="B65" s="546" t="s">
        <v>65</v>
      </c>
      <c r="C65" s="547">
        <v>136</v>
      </c>
      <c r="D65" s="547">
        <f t="shared" si="0"/>
        <v>194.28571428571428</v>
      </c>
      <c r="E65" s="614">
        <f>E64*(1+IGPDI!D69/100)</f>
        <v>156.43884726754601</v>
      </c>
      <c r="F65" s="615">
        <f t="shared" si="1"/>
        <v>124.19275498332043</v>
      </c>
      <c r="G65" s="608"/>
      <c r="H65" s="616"/>
      <c r="I65" s="618"/>
      <c r="J65" s="369"/>
      <c r="K65" s="602"/>
      <c r="L65" s="602"/>
    </row>
    <row r="66" spans="1:12">
      <c r="A66" s="545">
        <v>1999</v>
      </c>
      <c r="B66" s="546" t="s">
        <v>66</v>
      </c>
      <c r="C66" s="547">
        <v>136</v>
      </c>
      <c r="D66" s="547">
        <f t="shared" si="0"/>
        <v>194.28571428571428</v>
      </c>
      <c r="E66" s="614">
        <f>E65*(1+IGPDI!D70/100)</f>
        <v>160.40446752769219</v>
      </c>
      <c r="F66" s="615">
        <f t="shared" si="1"/>
        <v>121.12238348484455</v>
      </c>
      <c r="G66" s="608"/>
      <c r="H66" s="616"/>
      <c r="I66" s="618"/>
      <c r="J66" s="369"/>
      <c r="K66" s="602"/>
      <c r="L66" s="602"/>
    </row>
    <row r="67" spans="1:12">
      <c r="A67" s="545">
        <v>1999</v>
      </c>
      <c r="B67" s="546" t="s">
        <v>55</v>
      </c>
      <c r="C67" s="547">
        <v>136</v>
      </c>
      <c r="D67" s="547">
        <f t="shared" si="0"/>
        <v>194.28571428571428</v>
      </c>
      <c r="E67" s="614">
        <f>E66*(1+IGPDI!D71/100)</f>
        <v>162.38176219147851</v>
      </c>
      <c r="F67" s="615">
        <f t="shared" si="1"/>
        <v>119.64749714725662</v>
      </c>
      <c r="G67" s="608"/>
      <c r="H67" s="616"/>
      <c r="I67" s="618"/>
      <c r="J67" s="369"/>
      <c r="K67" s="602"/>
      <c r="L67" s="602"/>
    </row>
    <row r="68" spans="1:12">
      <c r="A68" s="545">
        <v>2000</v>
      </c>
      <c r="B68" s="546" t="s">
        <v>56</v>
      </c>
      <c r="C68" s="547">
        <v>136</v>
      </c>
      <c r="D68" s="547">
        <f t="shared" si="0"/>
        <v>194.28571428571428</v>
      </c>
      <c r="E68" s="614">
        <f>E67*(1+IGPDI!D72/100)</f>
        <v>164.04283678816006</v>
      </c>
      <c r="F68" s="615">
        <f t="shared" si="1"/>
        <v>118.4359634895908</v>
      </c>
      <c r="G68" s="608"/>
      <c r="H68" s="616"/>
      <c r="I68" s="618"/>
      <c r="J68" s="369"/>
      <c r="K68" s="602"/>
      <c r="L68" s="602"/>
    </row>
    <row r="69" spans="1:12">
      <c r="A69" s="545">
        <v>2000</v>
      </c>
      <c r="B69" s="546" t="s">
        <v>57</v>
      </c>
      <c r="C69" s="547">
        <v>136</v>
      </c>
      <c r="D69" s="547">
        <f t="shared" si="0"/>
        <v>194.28571428571428</v>
      </c>
      <c r="E69" s="614">
        <f>E68*(1+IGPDI!D73/100)</f>
        <v>164.36089534402714</v>
      </c>
      <c r="F69" s="615">
        <f t="shared" si="1"/>
        <v>118.20677532758074</v>
      </c>
      <c r="G69" s="608"/>
      <c r="H69" s="616"/>
      <c r="I69" s="618"/>
      <c r="J69" s="369"/>
      <c r="K69" s="602"/>
      <c r="L69" s="602"/>
    </row>
    <row r="70" spans="1:12">
      <c r="A70" s="545">
        <v>2000</v>
      </c>
      <c r="B70" s="546" t="s">
        <v>58</v>
      </c>
      <c r="C70" s="547">
        <v>136</v>
      </c>
      <c r="D70" s="547">
        <f t="shared" si="0"/>
        <v>194.28571428571428</v>
      </c>
      <c r="E70" s="614">
        <f>E69*(1+IGPDI!D74/100)</f>
        <v>164.66240750103407</v>
      </c>
      <c r="F70" s="615">
        <f t="shared" si="1"/>
        <v>117.99032774647982</v>
      </c>
      <c r="G70" s="608"/>
      <c r="H70" s="616"/>
      <c r="I70" s="618"/>
      <c r="J70" s="369"/>
      <c r="K70" s="602"/>
      <c r="L70" s="602"/>
    </row>
    <row r="71" spans="1:12">
      <c r="A71" s="545">
        <v>2000</v>
      </c>
      <c r="B71" s="546" t="s">
        <v>59</v>
      </c>
      <c r="C71" s="547">
        <v>151</v>
      </c>
      <c r="D71" s="547">
        <f t="shared" si="0"/>
        <v>215.71428571428572</v>
      </c>
      <c r="E71" s="614">
        <f>E70*(1+IGPDI!D75/100)</f>
        <v>164.87291446431027</v>
      </c>
      <c r="F71" s="615">
        <f t="shared" si="1"/>
        <v>130.83670317539088</v>
      </c>
      <c r="G71" s="608"/>
      <c r="H71" s="616"/>
      <c r="I71" s="618"/>
      <c r="J71" s="369"/>
      <c r="K71" s="602"/>
      <c r="L71" s="602"/>
    </row>
    <row r="72" spans="1:12">
      <c r="A72" s="545">
        <v>2000</v>
      </c>
      <c r="B72" s="546" t="s">
        <v>60</v>
      </c>
      <c r="C72" s="547">
        <v>151</v>
      </c>
      <c r="D72" s="547">
        <f t="shared" si="0"/>
        <v>215.71428571428572</v>
      </c>
      <c r="E72" s="614">
        <f>E71*(1+IGPDI!D76/100)</f>
        <v>165.98152318793944</v>
      </c>
      <c r="F72" s="615">
        <f t="shared" si="1"/>
        <v>129.96283054351434</v>
      </c>
      <c r="G72" s="608"/>
      <c r="H72" s="616"/>
      <c r="I72" s="618"/>
      <c r="J72" s="369"/>
      <c r="K72" s="602"/>
      <c r="L72" s="602"/>
    </row>
    <row r="73" spans="1:12">
      <c r="A73" s="545">
        <v>2000</v>
      </c>
      <c r="B73" s="546" t="s">
        <v>61</v>
      </c>
      <c r="C73" s="547">
        <v>151</v>
      </c>
      <c r="D73" s="547">
        <f t="shared" ref="D73:D136" si="2">100*C73/C$8</f>
        <v>215.71428571428572</v>
      </c>
      <c r="E73" s="614">
        <f>E72*(1+IGPDI!D77/100)</f>
        <v>167.51941903755107</v>
      </c>
      <c r="F73" s="615">
        <f t="shared" si="1"/>
        <v>128.76971932784181</v>
      </c>
      <c r="G73" s="608"/>
      <c r="H73" s="616"/>
      <c r="I73" s="618"/>
      <c r="J73" s="369"/>
      <c r="K73" s="602"/>
      <c r="L73" s="602"/>
    </row>
    <row r="74" spans="1:12">
      <c r="A74" s="545">
        <v>2000</v>
      </c>
      <c r="B74" s="546" t="s">
        <v>62</v>
      </c>
      <c r="C74" s="547">
        <v>151</v>
      </c>
      <c r="D74" s="547">
        <f t="shared" si="2"/>
        <v>215.71428571428572</v>
      </c>
      <c r="E74" s="614">
        <f>E73*(1+IGPDI!D78/100)</f>
        <v>171.30394815461688</v>
      </c>
      <c r="F74" s="615">
        <f t="shared" ref="F74:F137" si="3">+D74*E$8/E74</f>
        <v>125.92487682746496</v>
      </c>
      <c r="G74" s="608"/>
      <c r="H74" s="616"/>
      <c r="I74" s="618"/>
      <c r="J74" s="369"/>
      <c r="K74" s="602"/>
      <c r="L74" s="602"/>
    </row>
    <row r="75" spans="1:12">
      <c r="A75" s="545">
        <v>2000</v>
      </c>
      <c r="B75" s="546" t="s">
        <v>63</v>
      </c>
      <c r="C75" s="547">
        <v>151</v>
      </c>
      <c r="D75" s="547">
        <f t="shared" si="2"/>
        <v>215.71428571428572</v>
      </c>
      <c r="E75" s="614">
        <f>E74*(1+IGPDI!D79/100)</f>
        <v>174.42294433975269</v>
      </c>
      <c r="F75" s="615">
        <f t="shared" si="3"/>
        <v>123.67311338014281</v>
      </c>
      <c r="G75" s="608"/>
      <c r="H75" s="616"/>
      <c r="I75" s="618"/>
      <c r="J75" s="369"/>
      <c r="K75" s="602"/>
      <c r="L75" s="602"/>
    </row>
    <row r="76" spans="1:12">
      <c r="A76" s="545">
        <v>2000</v>
      </c>
      <c r="B76" s="546" t="s">
        <v>64</v>
      </c>
      <c r="C76" s="547">
        <v>151</v>
      </c>
      <c r="D76" s="547">
        <f t="shared" si="2"/>
        <v>215.71428571428572</v>
      </c>
      <c r="E76" s="614">
        <f>E75*(1+IGPDI!D80/100)</f>
        <v>175.62071976835037</v>
      </c>
      <c r="F76" s="615">
        <f t="shared" si="3"/>
        <v>122.82963308590246</v>
      </c>
      <c r="G76" s="608"/>
      <c r="H76" s="616"/>
      <c r="I76" s="618"/>
      <c r="J76" s="369"/>
      <c r="K76" s="602"/>
      <c r="L76" s="602"/>
    </row>
    <row r="77" spans="1:12">
      <c r="A77" s="545">
        <v>2000</v>
      </c>
      <c r="B77" s="546" t="s">
        <v>65</v>
      </c>
      <c r="C77" s="547">
        <v>151</v>
      </c>
      <c r="D77" s="547">
        <f t="shared" si="2"/>
        <v>215.71428571428572</v>
      </c>
      <c r="E77" s="614">
        <f>E76*(1+IGPDI!D81/100)</f>
        <v>176.27706025646913</v>
      </c>
      <c r="F77" s="615">
        <f t="shared" si="3"/>
        <v>122.3722958622288</v>
      </c>
      <c r="G77" s="608"/>
      <c r="H77" s="616"/>
      <c r="I77" s="618"/>
      <c r="J77" s="369"/>
      <c r="K77" s="602"/>
      <c r="L77" s="602"/>
    </row>
    <row r="78" spans="1:12">
      <c r="A78" s="545">
        <v>2000</v>
      </c>
      <c r="B78" s="546" t="s">
        <v>66</v>
      </c>
      <c r="C78" s="547">
        <v>151</v>
      </c>
      <c r="D78" s="547">
        <f t="shared" si="2"/>
        <v>215.71428571428572</v>
      </c>
      <c r="E78" s="614">
        <f>E77*(1+IGPDI!D82/100)</f>
        <v>176.96005883164031</v>
      </c>
      <c r="F78" s="615">
        <f t="shared" si="3"/>
        <v>121.89998530658049</v>
      </c>
      <c r="G78" s="608"/>
      <c r="H78" s="616"/>
      <c r="I78" s="618"/>
      <c r="J78" s="369"/>
      <c r="K78" s="602"/>
      <c r="L78" s="602"/>
    </row>
    <row r="79" spans="1:12">
      <c r="A79" s="545">
        <v>2000</v>
      </c>
      <c r="B79" s="546" t="s">
        <v>55</v>
      </c>
      <c r="C79" s="547">
        <v>151</v>
      </c>
      <c r="D79" s="547">
        <f t="shared" si="2"/>
        <v>215.71428571428572</v>
      </c>
      <c r="E79" s="614">
        <f>E78*(1+IGPDI!D83/100)</f>
        <v>178.30583260559811</v>
      </c>
      <c r="F79" s="615">
        <f t="shared" si="3"/>
        <v>120.97993798746499</v>
      </c>
      <c r="G79" s="608"/>
      <c r="H79" s="616"/>
      <c r="I79" s="618"/>
      <c r="J79" s="369"/>
      <c r="K79" s="602"/>
      <c r="L79" s="602"/>
    </row>
    <row r="80" spans="1:12">
      <c r="A80" s="545">
        <v>2001</v>
      </c>
      <c r="B80" s="546" t="s">
        <v>56</v>
      </c>
      <c r="C80" s="547">
        <v>151</v>
      </c>
      <c r="D80" s="547">
        <f t="shared" si="2"/>
        <v>215.71428571428572</v>
      </c>
      <c r="E80" s="614">
        <f>E79*(1+IGPDI!D84/100)</f>
        <v>179.17911476766091</v>
      </c>
      <c r="F80" s="615">
        <f t="shared" si="3"/>
        <v>120.39030664595005</v>
      </c>
      <c r="G80" s="608"/>
      <c r="H80" s="616"/>
      <c r="I80" s="618"/>
      <c r="J80" s="369"/>
      <c r="K80" s="602"/>
      <c r="L80" s="602"/>
    </row>
    <row r="81" spans="1:12">
      <c r="A81" s="545">
        <v>2001</v>
      </c>
      <c r="B81" s="546" t="s">
        <v>57</v>
      </c>
      <c r="C81" s="547">
        <v>151</v>
      </c>
      <c r="D81" s="547">
        <f t="shared" si="2"/>
        <v>215.71428571428572</v>
      </c>
      <c r="E81" s="614">
        <f>E80*(1+IGPDI!D85/100)</f>
        <v>179.78581605919928</v>
      </c>
      <c r="F81" s="615">
        <f t="shared" si="3"/>
        <v>119.98404014433265</v>
      </c>
      <c r="G81" s="608"/>
      <c r="H81" s="616"/>
      <c r="I81" s="618"/>
      <c r="J81" s="369"/>
      <c r="K81" s="602"/>
      <c r="L81" s="602"/>
    </row>
    <row r="82" spans="1:12">
      <c r="A82" s="545">
        <v>2001</v>
      </c>
      <c r="B82" s="546" t="s">
        <v>58</v>
      </c>
      <c r="C82" s="547">
        <v>151</v>
      </c>
      <c r="D82" s="547">
        <f t="shared" si="2"/>
        <v>215.71428571428572</v>
      </c>
      <c r="E82" s="614">
        <f>E81*(1+IGPDI!D86/100)</f>
        <v>181.22994898193679</v>
      </c>
      <c r="F82" s="615">
        <f t="shared" si="3"/>
        <v>119.02794594716021</v>
      </c>
      <c r="G82" s="608"/>
      <c r="H82" s="616"/>
      <c r="I82" s="618"/>
      <c r="J82" s="369"/>
      <c r="K82" s="602"/>
      <c r="L82" s="602"/>
    </row>
    <row r="83" spans="1:12">
      <c r="A83" s="545">
        <v>2001</v>
      </c>
      <c r="B83" s="546" t="s">
        <v>59</v>
      </c>
      <c r="C83" s="547">
        <v>180</v>
      </c>
      <c r="D83" s="547">
        <f t="shared" si="2"/>
        <v>257.14285714285717</v>
      </c>
      <c r="E83" s="614">
        <f>E82*(1+IGPDI!D87/100)</f>
        <v>183.27342924116368</v>
      </c>
      <c r="F83" s="615">
        <f t="shared" si="3"/>
        <v>140.30558505264344</v>
      </c>
      <c r="G83" s="608"/>
      <c r="H83" s="616"/>
      <c r="I83" s="618"/>
      <c r="J83" s="369"/>
      <c r="K83" s="602"/>
      <c r="L83" s="602"/>
    </row>
    <row r="84" spans="1:12">
      <c r="A84" s="545">
        <v>2001</v>
      </c>
      <c r="B84" s="546" t="s">
        <v>60</v>
      </c>
      <c r="C84" s="547">
        <v>180</v>
      </c>
      <c r="D84" s="547">
        <f t="shared" si="2"/>
        <v>257.14285714285717</v>
      </c>
      <c r="E84" s="614">
        <f>E83*(1+IGPDI!D88/100)</f>
        <v>184.07960656340481</v>
      </c>
      <c r="F84" s="615">
        <f t="shared" si="3"/>
        <v>139.69111622057181</v>
      </c>
      <c r="G84" s="608"/>
      <c r="H84" s="616"/>
      <c r="I84" s="618"/>
      <c r="J84" s="369"/>
      <c r="K84" s="602"/>
      <c r="L84" s="602"/>
    </row>
    <row r="85" spans="1:12">
      <c r="A85" s="545">
        <v>2001</v>
      </c>
      <c r="B85" s="546" t="s">
        <v>61</v>
      </c>
      <c r="C85" s="547">
        <v>180</v>
      </c>
      <c r="D85" s="547">
        <f t="shared" si="2"/>
        <v>257.14285714285717</v>
      </c>
      <c r="E85" s="614">
        <f>E84*(1+IGPDI!D89/100)</f>
        <v>186.76012317874699</v>
      </c>
      <c r="F85" s="615">
        <f t="shared" si="3"/>
        <v>137.68616809957192</v>
      </c>
      <c r="G85" s="608"/>
      <c r="H85" s="616"/>
      <c r="I85" s="618"/>
      <c r="J85" s="369"/>
      <c r="K85" s="602"/>
      <c r="L85" s="602"/>
    </row>
    <row r="86" spans="1:12">
      <c r="A86" s="545">
        <v>2001</v>
      </c>
      <c r="B86" s="546" t="s">
        <v>62</v>
      </c>
      <c r="C86" s="547">
        <v>180</v>
      </c>
      <c r="D86" s="547">
        <f t="shared" si="2"/>
        <v>257.14285714285717</v>
      </c>
      <c r="E86" s="614">
        <f>E85*(1+IGPDI!D90/100)</f>
        <v>189.77800248195973</v>
      </c>
      <c r="F86" s="615">
        <f t="shared" si="3"/>
        <v>135.49666124623749</v>
      </c>
      <c r="G86" s="608"/>
      <c r="H86" s="616"/>
      <c r="I86" s="618"/>
      <c r="J86" s="369"/>
      <c r="K86" s="602"/>
      <c r="L86" s="602"/>
    </row>
    <row r="87" spans="1:12">
      <c r="A87" s="545">
        <v>2001</v>
      </c>
      <c r="B87" s="546" t="s">
        <v>63</v>
      </c>
      <c r="C87" s="547">
        <v>180</v>
      </c>
      <c r="D87" s="547">
        <f t="shared" si="2"/>
        <v>257.14285714285717</v>
      </c>
      <c r="E87" s="614">
        <f>E86*(1+IGPDI!D91/100)</f>
        <v>191.49239325274618</v>
      </c>
      <c r="F87" s="615">
        <f t="shared" si="3"/>
        <v>134.28358838434931</v>
      </c>
      <c r="G87" s="608"/>
      <c r="H87" s="616"/>
      <c r="I87" s="618"/>
      <c r="J87" s="369"/>
      <c r="K87" s="602"/>
      <c r="L87" s="602"/>
    </row>
    <row r="88" spans="1:12">
      <c r="A88" s="545">
        <v>2001</v>
      </c>
      <c r="B88" s="546" t="s">
        <v>64</v>
      </c>
      <c r="C88" s="547">
        <v>180</v>
      </c>
      <c r="D88" s="547">
        <f t="shared" si="2"/>
        <v>257.14285714285717</v>
      </c>
      <c r="E88" s="614">
        <f>E87*(1+IGPDI!D92/100)</f>
        <v>192.22411178011669</v>
      </c>
      <c r="F88" s="615">
        <f t="shared" si="3"/>
        <v>133.77242571785189</v>
      </c>
      <c r="G88" s="608"/>
      <c r="H88" s="616"/>
      <c r="I88" s="618"/>
      <c r="J88" s="369"/>
      <c r="K88" s="602"/>
      <c r="L88" s="602"/>
    </row>
    <row r="89" spans="1:12">
      <c r="A89" s="545">
        <v>2001</v>
      </c>
      <c r="B89" s="546" t="s">
        <v>65</v>
      </c>
      <c r="C89" s="547">
        <v>180</v>
      </c>
      <c r="D89" s="547">
        <f t="shared" si="2"/>
        <v>257.14285714285717</v>
      </c>
      <c r="E89" s="614">
        <f>E88*(1+IGPDI!D93/100)</f>
        <v>195.00390678861967</v>
      </c>
      <c r="F89" s="615">
        <f t="shared" si="3"/>
        <v>131.86548996764196</v>
      </c>
      <c r="G89" s="608"/>
      <c r="H89" s="616"/>
      <c r="I89" s="618"/>
      <c r="J89" s="369"/>
      <c r="K89" s="602"/>
      <c r="L89" s="602"/>
    </row>
    <row r="90" spans="1:12">
      <c r="A90" s="545">
        <v>2001</v>
      </c>
      <c r="B90" s="546" t="s">
        <v>66</v>
      </c>
      <c r="C90" s="547">
        <v>180</v>
      </c>
      <c r="D90" s="547">
        <f t="shared" si="2"/>
        <v>257.14285714285717</v>
      </c>
      <c r="E90" s="614">
        <f>E89*(1+IGPDI!D94/100)</f>
        <v>196.49400193041313</v>
      </c>
      <c r="F90" s="615">
        <f t="shared" si="3"/>
        <v>130.86549951480066</v>
      </c>
      <c r="G90" s="608"/>
      <c r="H90" s="616"/>
      <c r="I90" s="618"/>
      <c r="J90" s="369"/>
      <c r="K90" s="602"/>
      <c r="L90" s="602"/>
    </row>
    <row r="91" spans="1:12">
      <c r="A91" s="545">
        <v>2001</v>
      </c>
      <c r="B91" s="546" t="s">
        <v>55</v>
      </c>
      <c r="C91" s="547">
        <v>180</v>
      </c>
      <c r="D91" s="547">
        <f t="shared" si="2"/>
        <v>257.14285714285717</v>
      </c>
      <c r="E91" s="614">
        <f>E90*(1+IGPDI!D95/100)</f>
        <v>196.84423403961938</v>
      </c>
      <c r="F91" s="615">
        <f t="shared" si="3"/>
        <v>130.63265906539144</v>
      </c>
      <c r="G91" s="608"/>
      <c r="H91" s="616"/>
      <c r="I91" s="618"/>
      <c r="J91" s="369"/>
      <c r="K91" s="602"/>
      <c r="L91" s="602"/>
    </row>
    <row r="92" spans="1:12">
      <c r="A92" s="545">
        <v>2002</v>
      </c>
      <c r="B92" s="546" t="s">
        <v>56</v>
      </c>
      <c r="C92" s="547">
        <v>180</v>
      </c>
      <c r="D92" s="547">
        <f t="shared" si="2"/>
        <v>257.14285714285717</v>
      </c>
      <c r="E92" s="614">
        <f>E91*(1+IGPDI!D96/100)</f>
        <v>197.21009330330463</v>
      </c>
      <c r="F92" s="615">
        <f t="shared" si="3"/>
        <v>130.39031260300521</v>
      </c>
      <c r="G92" s="608"/>
      <c r="H92" s="616"/>
      <c r="I92" s="618"/>
      <c r="J92" s="369"/>
      <c r="K92" s="602"/>
      <c r="L92" s="602"/>
    </row>
    <row r="93" spans="1:12">
      <c r="A93" s="545">
        <v>2002</v>
      </c>
      <c r="B93" s="546" t="s">
        <v>57</v>
      </c>
      <c r="C93" s="547">
        <v>180</v>
      </c>
      <c r="D93" s="547">
        <f t="shared" si="2"/>
        <v>257.14285714285717</v>
      </c>
      <c r="E93" s="614">
        <f>E92*(1+IGPDI!D97/100)</f>
        <v>197.57043710070317</v>
      </c>
      <c r="F93" s="615">
        <f t="shared" si="3"/>
        <v>130.15249696076214</v>
      </c>
      <c r="G93" s="608"/>
      <c r="H93" s="616"/>
      <c r="I93" s="618"/>
      <c r="J93" s="369"/>
      <c r="K93" s="602"/>
      <c r="L93" s="602"/>
    </row>
    <row r="94" spans="1:12">
      <c r="A94" s="545">
        <v>2002</v>
      </c>
      <c r="B94" s="546" t="s">
        <v>58</v>
      </c>
      <c r="C94" s="547">
        <v>180</v>
      </c>
      <c r="D94" s="547">
        <f t="shared" si="2"/>
        <v>257.14285714285717</v>
      </c>
      <c r="E94" s="614">
        <f>E93*(1+IGPDI!D98/100)</f>
        <v>197.79381348531501</v>
      </c>
      <c r="F94" s="615">
        <f t="shared" si="3"/>
        <v>130.00551059295313</v>
      </c>
      <c r="G94" s="608"/>
      <c r="H94" s="616"/>
      <c r="I94" s="618"/>
      <c r="J94" s="369"/>
      <c r="K94" s="602"/>
      <c r="L94" s="602"/>
    </row>
    <row r="95" spans="1:12">
      <c r="A95" s="545">
        <v>2002</v>
      </c>
      <c r="B95" s="546" t="s">
        <v>59</v>
      </c>
      <c r="C95" s="547">
        <v>200</v>
      </c>
      <c r="D95" s="547">
        <f t="shared" si="2"/>
        <v>285.71428571428572</v>
      </c>
      <c r="E95" s="614">
        <f>E94*(1+IGPDI!D99/100)</f>
        <v>199.17543779013647</v>
      </c>
      <c r="F95" s="615">
        <f t="shared" si="3"/>
        <v>143.44855414116469</v>
      </c>
      <c r="G95" s="608"/>
      <c r="H95" s="616"/>
      <c r="I95" s="618"/>
      <c r="J95" s="369"/>
      <c r="K95" s="602"/>
      <c r="L95" s="602"/>
    </row>
    <row r="96" spans="1:12">
      <c r="A96" s="545">
        <v>2002</v>
      </c>
      <c r="B96" s="546" t="s">
        <v>60</v>
      </c>
      <c r="C96" s="547">
        <v>200</v>
      </c>
      <c r="D96" s="547">
        <f t="shared" si="2"/>
        <v>285.71428571428572</v>
      </c>
      <c r="E96" s="614">
        <f>E95*(1+IGPDI!D100/100)</f>
        <v>201.37886657167803</v>
      </c>
      <c r="F96" s="615">
        <f t="shared" si="3"/>
        <v>141.87898193010719</v>
      </c>
      <c r="G96" s="608"/>
      <c r="H96" s="616"/>
      <c r="I96" s="618"/>
      <c r="J96" s="369"/>
      <c r="K96" s="602"/>
      <c r="L96" s="602"/>
    </row>
    <row r="97" spans="1:12">
      <c r="A97" s="545">
        <v>2002</v>
      </c>
      <c r="B97" s="546" t="s">
        <v>61</v>
      </c>
      <c r="C97" s="547">
        <v>200</v>
      </c>
      <c r="D97" s="547">
        <f t="shared" si="2"/>
        <v>285.71428571428572</v>
      </c>
      <c r="E97" s="614">
        <f>E96*(1+IGPDI!D101/100)</f>
        <v>204.87383370869142</v>
      </c>
      <c r="F97" s="615">
        <f t="shared" si="3"/>
        <v>139.45865147451713</v>
      </c>
      <c r="G97" s="608"/>
      <c r="H97" s="616"/>
      <c r="I97" s="618"/>
      <c r="J97" s="369"/>
      <c r="K97" s="602"/>
      <c r="L97" s="602"/>
    </row>
    <row r="98" spans="1:12">
      <c r="A98" s="545">
        <v>2002</v>
      </c>
      <c r="B98" s="546" t="s">
        <v>62</v>
      </c>
      <c r="C98" s="547">
        <v>200</v>
      </c>
      <c r="D98" s="547">
        <f t="shared" si="2"/>
        <v>285.71428571428572</v>
      </c>
      <c r="E98" s="614">
        <f>E97*(1+IGPDI!D102/100)</f>
        <v>209.07386128602286</v>
      </c>
      <c r="F98" s="615">
        <f t="shared" si="3"/>
        <v>136.65710479389634</v>
      </c>
      <c r="G98" s="608"/>
      <c r="H98" s="616"/>
      <c r="I98" s="618"/>
      <c r="J98" s="369"/>
      <c r="K98" s="602"/>
      <c r="L98" s="602"/>
    </row>
    <row r="99" spans="1:12">
      <c r="A99" s="545">
        <v>2002</v>
      </c>
      <c r="B99" s="546" t="s">
        <v>63</v>
      </c>
      <c r="C99" s="547">
        <v>200</v>
      </c>
      <c r="D99" s="547">
        <f t="shared" si="2"/>
        <v>285.71428571428572</v>
      </c>
      <c r="E99" s="614">
        <f>E98*(1+IGPDI!D103/100)</f>
        <v>214.01663832329822</v>
      </c>
      <c r="F99" s="615">
        <f t="shared" si="3"/>
        <v>133.5009688745225</v>
      </c>
      <c r="G99" s="608"/>
      <c r="H99" s="616"/>
      <c r="I99" s="618"/>
      <c r="J99" s="369"/>
      <c r="K99" s="602"/>
      <c r="L99" s="602"/>
    </row>
    <row r="100" spans="1:12">
      <c r="A100" s="545">
        <v>2002</v>
      </c>
      <c r="B100" s="546" t="s">
        <v>64</v>
      </c>
      <c r="C100" s="547">
        <v>200</v>
      </c>
      <c r="D100" s="547">
        <f t="shared" si="2"/>
        <v>285.71428571428572</v>
      </c>
      <c r="E100" s="614">
        <f>E99*(1+IGPDI!D104/100)</f>
        <v>219.67458748908393</v>
      </c>
      <c r="F100" s="615">
        <f t="shared" si="3"/>
        <v>130.06251154493845</v>
      </c>
      <c r="G100" s="608"/>
      <c r="H100" s="616"/>
      <c r="I100" s="618"/>
      <c r="J100" s="369"/>
      <c r="K100" s="602"/>
      <c r="L100" s="602"/>
    </row>
    <row r="101" spans="1:12">
      <c r="A101" s="545">
        <v>2002</v>
      </c>
      <c r="B101" s="546" t="s">
        <v>65</v>
      </c>
      <c r="C101" s="547">
        <v>200</v>
      </c>
      <c r="D101" s="547">
        <f t="shared" si="2"/>
        <v>285.71428571428572</v>
      </c>
      <c r="E101" s="614">
        <f>E100*(1+IGPDI!D105/100)</f>
        <v>228.9304591625683</v>
      </c>
      <c r="F101" s="615">
        <f t="shared" si="3"/>
        <v>124.80396307220703</v>
      </c>
      <c r="G101" s="608"/>
      <c r="H101" s="616"/>
      <c r="I101" s="618"/>
      <c r="J101" s="369"/>
      <c r="K101" s="602"/>
      <c r="L101" s="602"/>
    </row>
    <row r="102" spans="1:12">
      <c r="A102" s="545">
        <v>2002</v>
      </c>
      <c r="B102" s="546" t="s">
        <v>66</v>
      </c>
      <c r="C102" s="547">
        <v>200</v>
      </c>
      <c r="D102" s="547">
        <f t="shared" si="2"/>
        <v>285.71428571428572</v>
      </c>
      <c r="E102" s="614">
        <f>E101*(1+IGPDI!D106/100)</f>
        <v>242.29443397527223</v>
      </c>
      <c r="F102" s="615">
        <f t="shared" si="3"/>
        <v>117.92028443519457</v>
      </c>
      <c r="G102" s="608"/>
      <c r="H102" s="616"/>
      <c r="I102" s="618"/>
      <c r="J102" s="369"/>
      <c r="K102" s="602"/>
      <c r="L102" s="602"/>
    </row>
    <row r="103" spans="1:12">
      <c r="A103" s="545">
        <v>2002</v>
      </c>
      <c r="B103" s="546" t="s">
        <v>55</v>
      </c>
      <c r="C103" s="547">
        <v>200</v>
      </c>
      <c r="D103" s="547">
        <f t="shared" si="2"/>
        <v>285.71428571428572</v>
      </c>
      <c r="E103" s="614">
        <f>E102*(1+IGPDI!D107/100)</f>
        <v>248.83210001378859</v>
      </c>
      <c r="F103" s="615">
        <f t="shared" si="3"/>
        <v>114.82211728247817</v>
      </c>
      <c r="G103" s="608"/>
      <c r="H103" s="616"/>
      <c r="I103" s="618"/>
      <c r="J103" s="369"/>
      <c r="K103" s="602"/>
      <c r="L103" s="602"/>
    </row>
    <row r="104" spans="1:12">
      <c r="A104" s="545">
        <v>2003</v>
      </c>
      <c r="B104" s="546" t="s">
        <v>56</v>
      </c>
      <c r="C104" s="547">
        <v>200</v>
      </c>
      <c r="D104" s="547">
        <f t="shared" si="2"/>
        <v>285.71428571428572</v>
      </c>
      <c r="E104" s="614">
        <f>E103*(1+IGPDI!D108/100)</f>
        <v>254.24277244105335</v>
      </c>
      <c r="F104" s="615">
        <f t="shared" si="3"/>
        <v>112.37852819612762</v>
      </c>
      <c r="G104" s="608"/>
      <c r="H104" s="616"/>
      <c r="I104" s="618"/>
      <c r="J104" s="369"/>
      <c r="K104" s="602"/>
      <c r="L104" s="602"/>
    </row>
    <row r="105" spans="1:12">
      <c r="A105" s="545">
        <v>2003</v>
      </c>
      <c r="B105" s="546" t="s">
        <v>57</v>
      </c>
      <c r="C105" s="547">
        <v>200</v>
      </c>
      <c r="D105" s="547">
        <f t="shared" si="2"/>
        <v>285.71428571428572</v>
      </c>
      <c r="E105" s="614">
        <f>E104*(1+IGPDI!D109/100)</f>
        <v>258.29296318426242</v>
      </c>
      <c r="F105" s="615">
        <f t="shared" si="3"/>
        <v>110.61636453117823</v>
      </c>
      <c r="G105" s="608"/>
      <c r="H105" s="616"/>
      <c r="I105" s="618"/>
      <c r="J105" s="369"/>
      <c r="K105" s="602"/>
      <c r="L105" s="602"/>
    </row>
    <row r="106" spans="1:12">
      <c r="A106" s="545">
        <v>2003</v>
      </c>
      <c r="B106" s="546" t="s">
        <v>58</v>
      </c>
      <c r="C106" s="547">
        <v>200</v>
      </c>
      <c r="D106" s="547">
        <f t="shared" si="2"/>
        <v>285.71428571428572</v>
      </c>
      <c r="E106" s="614">
        <f>E105*(1+IGPDI!D110/100)</f>
        <v>262.57296502275113</v>
      </c>
      <c r="F106" s="615">
        <f t="shared" si="3"/>
        <v>108.81329145577857</v>
      </c>
      <c r="G106" s="608"/>
      <c r="H106" s="616"/>
      <c r="I106" s="618"/>
      <c r="J106" s="369"/>
      <c r="K106" s="602"/>
      <c r="L106" s="602"/>
    </row>
    <row r="107" spans="1:12">
      <c r="A107" s="545">
        <v>2003</v>
      </c>
      <c r="B107" s="546" t="s">
        <v>59</v>
      </c>
      <c r="C107" s="547">
        <v>240</v>
      </c>
      <c r="D107" s="547">
        <f t="shared" si="2"/>
        <v>342.85714285714283</v>
      </c>
      <c r="E107" s="614">
        <f>E106*(1+IGPDI!D111/100)</f>
        <v>263.65307717056567</v>
      </c>
      <c r="F107" s="615">
        <f t="shared" si="3"/>
        <v>130.0410169820766</v>
      </c>
      <c r="G107" s="608"/>
      <c r="H107" s="616"/>
      <c r="I107" s="618"/>
      <c r="J107" s="369"/>
      <c r="K107" s="602"/>
      <c r="L107" s="602"/>
    </row>
    <row r="108" spans="1:12">
      <c r="A108" s="545">
        <v>2003</v>
      </c>
      <c r="B108" s="546" t="s">
        <v>60</v>
      </c>
      <c r="C108" s="547">
        <v>240</v>
      </c>
      <c r="D108" s="547">
        <f t="shared" si="2"/>
        <v>342.85714285714283</v>
      </c>
      <c r="E108" s="614">
        <f>E107*(1+IGPDI!D112/100)</f>
        <v>261.89272418072329</v>
      </c>
      <c r="F108" s="615">
        <f t="shared" si="3"/>
        <v>130.91510805796526</v>
      </c>
      <c r="G108" s="608"/>
      <c r="H108" s="616"/>
      <c r="I108" s="618"/>
      <c r="J108" s="369"/>
      <c r="K108" s="616"/>
      <c r="L108" s="602"/>
    </row>
    <row r="109" spans="1:12">
      <c r="A109" s="545">
        <v>2003</v>
      </c>
      <c r="B109" s="546" t="s">
        <v>61</v>
      </c>
      <c r="C109" s="547">
        <v>240</v>
      </c>
      <c r="D109" s="547">
        <f t="shared" si="2"/>
        <v>342.85714285714283</v>
      </c>
      <c r="E109" s="614">
        <f>E108*(1+IGPDI!D113/100)</f>
        <v>260.0661855954404</v>
      </c>
      <c r="F109" s="615">
        <f t="shared" si="3"/>
        <v>131.8345720617798</v>
      </c>
      <c r="G109" s="608"/>
      <c r="H109" s="616"/>
      <c r="I109" s="618"/>
      <c r="J109" s="369"/>
      <c r="K109" s="616"/>
      <c r="L109" s="602"/>
    </row>
    <row r="110" spans="1:12">
      <c r="A110" s="545">
        <v>2003</v>
      </c>
      <c r="B110" s="546" t="s">
        <v>62</v>
      </c>
      <c r="C110" s="547">
        <v>240</v>
      </c>
      <c r="D110" s="547">
        <f t="shared" si="2"/>
        <v>342.85714285714283</v>
      </c>
      <c r="E110" s="614">
        <f>E109*(1+IGPDI!D114/100)</f>
        <v>259.54773176448941</v>
      </c>
      <c r="F110" s="615">
        <f t="shared" si="3"/>
        <v>132.09791529530582</v>
      </c>
      <c r="G110" s="608"/>
      <c r="H110" s="616"/>
      <c r="I110" s="618"/>
      <c r="J110" s="369"/>
      <c r="K110" s="616"/>
      <c r="L110" s="602"/>
    </row>
    <row r="111" spans="1:12">
      <c r="A111" s="545">
        <v>2003</v>
      </c>
      <c r="B111" s="546" t="s">
        <v>63</v>
      </c>
      <c r="C111" s="547">
        <v>240</v>
      </c>
      <c r="D111" s="547">
        <f t="shared" si="2"/>
        <v>342.85714285714283</v>
      </c>
      <c r="E111" s="614">
        <f>E110*(1+IGPDI!D115/100)</f>
        <v>261.16192489773391</v>
      </c>
      <c r="F111" s="615">
        <f t="shared" si="3"/>
        <v>131.28144272615512</v>
      </c>
      <c r="G111" s="608"/>
      <c r="H111" s="616"/>
      <c r="I111" s="618"/>
      <c r="J111" s="369"/>
      <c r="K111" s="616"/>
      <c r="L111" s="602"/>
    </row>
    <row r="112" spans="1:12">
      <c r="A112" s="545">
        <v>2003</v>
      </c>
      <c r="B112" s="546" t="s">
        <v>64</v>
      </c>
      <c r="C112" s="547">
        <v>240</v>
      </c>
      <c r="D112" s="547">
        <f t="shared" si="2"/>
        <v>342.85714285714283</v>
      </c>
      <c r="E112" s="614">
        <f>E111*(1+IGPDI!D116/100)</f>
        <v>263.89759617594319</v>
      </c>
      <c r="F112" s="615">
        <f t="shared" si="3"/>
        <v>129.92052516785961</v>
      </c>
      <c r="G112" s="608"/>
      <c r="H112" s="616"/>
      <c r="I112" s="618"/>
      <c r="J112" s="369"/>
      <c r="K112" s="616"/>
      <c r="L112" s="602"/>
    </row>
    <row r="113" spans="1:12">
      <c r="A113" s="545">
        <v>2003</v>
      </c>
      <c r="B113" s="546" t="s">
        <v>65</v>
      </c>
      <c r="C113" s="547">
        <v>240</v>
      </c>
      <c r="D113" s="547">
        <f t="shared" si="2"/>
        <v>342.85714285714283</v>
      </c>
      <c r="E113" s="614">
        <f>E112*(1+IGPDI!D117/100)</f>
        <v>265.05216711862829</v>
      </c>
      <c r="F113" s="615">
        <f t="shared" si="3"/>
        <v>129.35458954526928</v>
      </c>
      <c r="G113" s="608"/>
      <c r="H113" s="616"/>
      <c r="I113" s="618"/>
      <c r="J113" s="369"/>
      <c r="K113" s="616"/>
      <c r="L113" s="602"/>
    </row>
    <row r="114" spans="1:12">
      <c r="A114" s="545">
        <v>2003</v>
      </c>
      <c r="B114" s="546" t="s">
        <v>66</v>
      </c>
      <c r="C114" s="547">
        <v>240</v>
      </c>
      <c r="D114" s="547">
        <f t="shared" si="2"/>
        <v>342.85714285714283</v>
      </c>
      <c r="E114" s="614">
        <f>E113*(1+IGPDI!D118/100)</f>
        <v>266.32164360895331</v>
      </c>
      <c r="F114" s="615">
        <f t="shared" si="3"/>
        <v>128.7379944833055</v>
      </c>
      <c r="G114" s="608"/>
      <c r="H114" s="616"/>
      <c r="I114" s="618"/>
      <c r="J114" s="369"/>
      <c r="K114" s="616"/>
      <c r="L114" s="602"/>
    </row>
    <row r="115" spans="1:12">
      <c r="A115" s="545">
        <v>2003</v>
      </c>
      <c r="B115" s="546" t="s">
        <v>55</v>
      </c>
      <c r="C115" s="547">
        <v>240</v>
      </c>
      <c r="D115" s="547">
        <f t="shared" si="2"/>
        <v>342.85714285714283</v>
      </c>
      <c r="E115" s="614">
        <f>E114*(1+IGPDI!D119/100)</f>
        <v>267.92480580962433</v>
      </c>
      <c r="F115" s="615">
        <f t="shared" si="3"/>
        <v>127.96767429618373</v>
      </c>
      <c r="G115" s="608"/>
      <c r="H115" s="616"/>
      <c r="I115" s="618"/>
      <c r="J115" s="369"/>
      <c r="K115" s="619"/>
    </row>
    <row r="116" spans="1:12">
      <c r="A116" s="545">
        <v>2004</v>
      </c>
      <c r="B116" s="546" t="s">
        <v>56</v>
      </c>
      <c r="C116" s="547">
        <v>240</v>
      </c>
      <c r="D116" s="547">
        <f t="shared" si="2"/>
        <v>342.85714285714283</v>
      </c>
      <c r="E116" s="614">
        <f>E115*(1+IGPDI!D120/100)</f>
        <v>270.06756446201206</v>
      </c>
      <c r="F116" s="615">
        <f t="shared" si="3"/>
        <v>126.95235858483458</v>
      </c>
      <c r="G116" s="608"/>
      <c r="H116" s="616"/>
      <c r="I116" s="618"/>
      <c r="J116" s="369"/>
      <c r="K116" s="619"/>
    </row>
    <row r="117" spans="1:12">
      <c r="A117" s="545">
        <v>2004</v>
      </c>
      <c r="B117" s="546" t="s">
        <v>57</v>
      </c>
      <c r="C117" s="547">
        <v>240</v>
      </c>
      <c r="D117" s="547">
        <f t="shared" si="2"/>
        <v>342.85714285714283</v>
      </c>
      <c r="E117" s="614">
        <f>E116*(1+IGPDI!D121/100)</f>
        <v>272.99351932711295</v>
      </c>
      <c r="F117" s="615">
        <f t="shared" si="3"/>
        <v>125.59167840402694</v>
      </c>
      <c r="G117" s="608"/>
      <c r="H117" s="616"/>
      <c r="I117" s="618"/>
      <c r="J117" s="369"/>
      <c r="K117" s="619"/>
    </row>
    <row r="118" spans="1:12">
      <c r="A118" s="545">
        <v>2004</v>
      </c>
      <c r="B118" s="546" t="s">
        <v>58</v>
      </c>
      <c r="C118" s="547">
        <v>240</v>
      </c>
      <c r="D118" s="547">
        <f t="shared" si="2"/>
        <v>342.85714285714283</v>
      </c>
      <c r="E118" s="614">
        <f>E117*(1+IGPDI!D122/100)</f>
        <v>275.5398262628118</v>
      </c>
      <c r="F118" s="615">
        <f t="shared" si="3"/>
        <v>124.43106592152792</v>
      </c>
      <c r="G118" s="608"/>
      <c r="H118" s="616"/>
      <c r="I118" s="618"/>
      <c r="J118" s="369"/>
      <c r="K118" s="619"/>
    </row>
    <row r="119" spans="1:12">
      <c r="A119" s="545">
        <v>2004</v>
      </c>
      <c r="B119" s="546" t="s">
        <v>59</v>
      </c>
      <c r="C119" s="547">
        <v>240</v>
      </c>
      <c r="D119" s="547">
        <f t="shared" si="2"/>
        <v>342.85714285714283</v>
      </c>
      <c r="E119" s="614">
        <f>E118*(1+IGPDI!D123/100)</f>
        <v>278.70018844509798</v>
      </c>
      <c r="F119" s="615">
        <f t="shared" si="3"/>
        <v>123.02006136773149</v>
      </c>
      <c r="G119" s="608"/>
      <c r="H119" s="616"/>
      <c r="I119" s="618"/>
      <c r="J119" s="369"/>
      <c r="K119" s="619"/>
    </row>
    <row r="120" spans="1:12">
      <c r="A120" s="545">
        <v>2004</v>
      </c>
      <c r="B120" s="546" t="s">
        <v>60</v>
      </c>
      <c r="C120" s="547">
        <v>260</v>
      </c>
      <c r="D120" s="547">
        <f t="shared" si="2"/>
        <v>371.42857142857144</v>
      </c>
      <c r="E120" s="614">
        <f>E119*(1+IGPDI!D124/100)</f>
        <v>282.77427954221611</v>
      </c>
      <c r="F120" s="615">
        <f t="shared" si="3"/>
        <v>131.35161091379243</v>
      </c>
      <c r="G120" s="608"/>
      <c r="H120" s="616"/>
      <c r="I120" s="618"/>
      <c r="J120" s="369"/>
      <c r="K120" s="619"/>
    </row>
    <row r="121" spans="1:12">
      <c r="A121" s="545">
        <v>2004</v>
      </c>
      <c r="B121" s="546" t="s">
        <v>61</v>
      </c>
      <c r="C121" s="547">
        <v>260</v>
      </c>
      <c r="D121" s="547">
        <f t="shared" si="2"/>
        <v>371.42857142857144</v>
      </c>
      <c r="E121" s="614">
        <f>E120*(1+IGPDI!D125/100)</f>
        <v>286.41448729144628</v>
      </c>
      <c r="F121" s="615">
        <f t="shared" si="3"/>
        <v>129.68218714810243</v>
      </c>
      <c r="G121" s="608"/>
      <c r="H121" s="616"/>
      <c r="I121" s="618"/>
      <c r="J121" s="369"/>
      <c r="K121" s="619"/>
    </row>
    <row r="122" spans="1:12">
      <c r="A122" s="545">
        <v>2004</v>
      </c>
      <c r="B122" s="546" t="s">
        <v>62</v>
      </c>
      <c r="C122" s="547">
        <v>260</v>
      </c>
      <c r="D122" s="547">
        <f t="shared" si="2"/>
        <v>371.42857142857144</v>
      </c>
      <c r="E122" s="614">
        <f>E121*(1+IGPDI!D126/100)</f>
        <v>289.66585466746318</v>
      </c>
      <c r="F122" s="615">
        <f t="shared" si="3"/>
        <v>128.22656362275492</v>
      </c>
      <c r="G122" s="608"/>
      <c r="H122" s="616"/>
      <c r="I122" s="618"/>
      <c r="J122" s="369"/>
      <c r="K122" s="619"/>
    </row>
    <row r="123" spans="1:12">
      <c r="A123" s="545">
        <v>2004</v>
      </c>
      <c r="B123" s="546" t="s">
        <v>63</v>
      </c>
      <c r="C123" s="547">
        <v>260</v>
      </c>
      <c r="D123" s="547">
        <f t="shared" si="2"/>
        <v>371.42857142857144</v>
      </c>
      <c r="E123" s="614">
        <f>E122*(1+IGPDI!D127/100)</f>
        <v>293.46325320586465</v>
      </c>
      <c r="F123" s="615">
        <f t="shared" si="3"/>
        <v>126.56731886224068</v>
      </c>
      <c r="G123" s="608"/>
      <c r="H123" s="616"/>
      <c r="I123" s="618"/>
      <c r="J123" s="369"/>
      <c r="K123" s="619"/>
    </row>
    <row r="124" spans="1:12">
      <c r="A124" s="545">
        <v>2004</v>
      </c>
      <c r="B124" s="546" t="s">
        <v>64</v>
      </c>
      <c r="C124" s="547">
        <v>260</v>
      </c>
      <c r="D124" s="547">
        <f t="shared" si="2"/>
        <v>371.42857142857144</v>
      </c>
      <c r="E124" s="614">
        <f>E123*(1+IGPDI!D128/100)</f>
        <v>294.88256653031192</v>
      </c>
      <c r="F124" s="615">
        <f t="shared" si="3"/>
        <v>125.95813167218589</v>
      </c>
      <c r="G124" s="608"/>
      <c r="H124" s="616"/>
      <c r="I124" s="616"/>
      <c r="J124" s="369"/>
      <c r="K124" s="619"/>
    </row>
    <row r="125" spans="1:12">
      <c r="A125" s="545">
        <v>2004</v>
      </c>
      <c r="B125" s="546" t="s">
        <v>65</v>
      </c>
      <c r="C125" s="547">
        <v>260</v>
      </c>
      <c r="D125" s="547">
        <f>100*C125/C$8</f>
        <v>371.42857142857144</v>
      </c>
      <c r="E125" s="614">
        <f>E124*(1+IGPDI!D129/100)</f>
        <v>296.44895895573819</v>
      </c>
      <c r="F125" s="615">
        <f t="shared" si="3"/>
        <v>125.29258754591484</v>
      </c>
      <c r="G125" s="608"/>
      <c r="H125" s="616"/>
      <c r="I125" s="616"/>
      <c r="J125" s="369"/>
      <c r="K125" s="619"/>
    </row>
    <row r="126" spans="1:12">
      <c r="A126" s="545">
        <v>2004</v>
      </c>
      <c r="B126" s="546" t="s">
        <v>66</v>
      </c>
      <c r="C126" s="547">
        <v>260</v>
      </c>
      <c r="D126" s="547">
        <f>100*C126/C$8</f>
        <v>371.42857142857144</v>
      </c>
      <c r="E126" s="614">
        <f>E125*(1+IGPDI!D130/100)</f>
        <v>298.89047203198953</v>
      </c>
      <c r="F126" s="615">
        <f t="shared" si="3"/>
        <v>124.26912403845992</v>
      </c>
      <c r="G126" s="608"/>
      <c r="H126" s="616"/>
      <c r="I126" s="616"/>
      <c r="J126" s="369"/>
      <c r="K126" s="619"/>
    </row>
    <row r="127" spans="1:12">
      <c r="A127" s="545">
        <v>2004</v>
      </c>
      <c r="B127" s="546" t="s">
        <v>55</v>
      </c>
      <c r="C127" s="547">
        <v>260</v>
      </c>
      <c r="D127" s="547">
        <f t="shared" si="2"/>
        <v>371.42857142857144</v>
      </c>
      <c r="E127" s="614">
        <f>E126*(1+IGPDI!D131/100)</f>
        <v>300.43939881417452</v>
      </c>
      <c r="F127" s="615">
        <f t="shared" si="3"/>
        <v>123.62844982868063</v>
      </c>
      <c r="G127" s="608"/>
      <c r="H127" s="616"/>
      <c r="I127" s="616"/>
      <c r="J127" s="369"/>
      <c r="K127" s="619"/>
    </row>
    <row r="128" spans="1:12">
      <c r="A128" s="545">
        <v>2005</v>
      </c>
      <c r="B128" s="546" t="s">
        <v>56</v>
      </c>
      <c r="C128" s="547">
        <v>260</v>
      </c>
      <c r="D128" s="547">
        <f t="shared" si="2"/>
        <v>371.42857142857144</v>
      </c>
      <c r="E128" s="614">
        <f>E127*(1+IGPDI!D132/100)</f>
        <v>301.43402123454496</v>
      </c>
      <c r="F128" s="615">
        <f t="shared" si="3"/>
        <v>123.22052099738401</v>
      </c>
      <c r="G128" s="608"/>
      <c r="H128" s="616"/>
      <c r="I128" s="616"/>
      <c r="J128" s="369"/>
      <c r="K128" s="619"/>
    </row>
    <row r="129" spans="1:11">
      <c r="A129" s="545">
        <v>2005</v>
      </c>
      <c r="B129" s="546" t="s">
        <v>57</v>
      </c>
      <c r="C129" s="547">
        <v>260</v>
      </c>
      <c r="D129" s="547">
        <f t="shared" si="2"/>
        <v>371.42857142857144</v>
      </c>
      <c r="E129" s="614">
        <f>E128*(1+IGPDI!D133/100)</f>
        <v>302.65293928390838</v>
      </c>
      <c r="F129" s="615">
        <f t="shared" si="3"/>
        <v>122.72425713339827</v>
      </c>
      <c r="G129" s="608"/>
      <c r="H129" s="616"/>
      <c r="I129" s="616"/>
      <c r="J129" s="369"/>
      <c r="K129" s="619"/>
    </row>
    <row r="130" spans="1:11">
      <c r="A130" s="545">
        <v>2005</v>
      </c>
      <c r="B130" s="546" t="s">
        <v>58</v>
      </c>
      <c r="C130" s="547">
        <v>260</v>
      </c>
      <c r="D130" s="547">
        <f t="shared" si="2"/>
        <v>371.42857142857144</v>
      </c>
      <c r="E130" s="614">
        <f>E129*(1+IGPDI!D134/100)</f>
        <v>305.63956427816316</v>
      </c>
      <c r="F130" s="615">
        <f t="shared" si="3"/>
        <v>121.52502975384874</v>
      </c>
      <c r="G130" s="608"/>
      <c r="H130" s="616"/>
      <c r="I130" s="616"/>
      <c r="J130" s="369"/>
      <c r="K130" s="619"/>
    </row>
    <row r="131" spans="1:11">
      <c r="A131" s="545">
        <v>2005</v>
      </c>
      <c r="B131" s="546" t="s">
        <v>59</v>
      </c>
      <c r="C131" s="547">
        <v>260</v>
      </c>
      <c r="D131" s="547">
        <f t="shared" si="2"/>
        <v>371.42857142857144</v>
      </c>
      <c r="E131" s="614">
        <f>E130*(1+IGPDI!D135/100)</f>
        <v>307.1838948384426</v>
      </c>
      <c r="F131" s="615">
        <f t="shared" si="3"/>
        <v>120.91407709506291</v>
      </c>
      <c r="G131" s="608"/>
      <c r="H131" s="616"/>
      <c r="I131" s="616"/>
      <c r="J131" s="369"/>
      <c r="K131" s="619"/>
    </row>
    <row r="132" spans="1:11">
      <c r="A132" s="545">
        <v>2005</v>
      </c>
      <c r="B132" s="546" t="s">
        <v>60</v>
      </c>
      <c r="C132" s="547">
        <v>300</v>
      </c>
      <c r="D132" s="547">
        <f t="shared" si="2"/>
        <v>428.57142857142856</v>
      </c>
      <c r="E132" s="614">
        <f>E131*(1+IGPDI!D136/100)</f>
        <v>306.4034563588728</v>
      </c>
      <c r="F132" s="615">
        <f t="shared" si="3"/>
        <v>139.87160382077002</v>
      </c>
      <c r="G132" s="608"/>
      <c r="H132" s="616"/>
      <c r="I132" s="616"/>
      <c r="J132" s="369"/>
      <c r="K132" s="619"/>
    </row>
    <row r="133" spans="1:11">
      <c r="A133" s="545">
        <v>2005</v>
      </c>
      <c r="B133" s="546" t="s">
        <v>61</v>
      </c>
      <c r="C133" s="547">
        <v>300</v>
      </c>
      <c r="D133" s="547">
        <f t="shared" si="2"/>
        <v>428.57142857142856</v>
      </c>
      <c r="E133" s="614">
        <f>E132*(1+IGPDI!D137/100)</f>
        <v>305.0264282759569</v>
      </c>
      <c r="F133" s="615">
        <f t="shared" si="3"/>
        <v>140.50304788137922</v>
      </c>
      <c r="G133" s="608"/>
      <c r="H133" s="616"/>
      <c r="I133" s="616"/>
      <c r="J133" s="369"/>
      <c r="K133" s="619"/>
    </row>
    <row r="134" spans="1:11">
      <c r="A134" s="545">
        <v>2005</v>
      </c>
      <c r="B134" s="546" t="s">
        <v>62</v>
      </c>
      <c r="C134" s="547">
        <v>300</v>
      </c>
      <c r="D134" s="547">
        <f t="shared" si="2"/>
        <v>428.57142857142856</v>
      </c>
      <c r="E134" s="614">
        <f>E133*(1+IGPDI!D138/100)</f>
        <v>303.79556004963894</v>
      </c>
      <c r="F134" s="615">
        <f t="shared" si="3"/>
        <v>141.07231471763504</v>
      </c>
      <c r="G134" s="608"/>
      <c r="H134" s="616"/>
      <c r="I134" s="616"/>
      <c r="J134" s="369"/>
      <c r="K134" s="619"/>
    </row>
    <row r="135" spans="1:11">
      <c r="A135" s="545">
        <v>2005</v>
      </c>
      <c r="B135" s="546" t="s">
        <v>63</v>
      </c>
      <c r="C135" s="547">
        <v>300</v>
      </c>
      <c r="D135" s="547">
        <f t="shared" si="2"/>
        <v>428.57142857142856</v>
      </c>
      <c r="E135" s="614">
        <f>E134*(1+IGPDI!D139/100)</f>
        <v>301.40828239187363</v>
      </c>
      <c r="F135" s="615">
        <f t="shared" si="3"/>
        <v>142.1896655162995</v>
      </c>
      <c r="G135" s="608"/>
      <c r="H135" s="616"/>
      <c r="I135" s="616"/>
      <c r="J135" s="369"/>
      <c r="K135" s="619"/>
    </row>
    <row r="136" spans="1:11">
      <c r="A136" s="545">
        <v>2005</v>
      </c>
      <c r="B136" s="546" t="s">
        <v>64</v>
      </c>
      <c r="C136" s="547">
        <v>300</v>
      </c>
      <c r="D136" s="547">
        <f t="shared" si="2"/>
        <v>428.57142857142856</v>
      </c>
      <c r="E136" s="614">
        <f>E135*(1+IGPDI!D140/100)</f>
        <v>301.01024957484924</v>
      </c>
      <c r="F136" s="615">
        <f t="shared" si="3"/>
        <v>142.37768620063548</v>
      </c>
      <c r="G136" s="608"/>
      <c r="H136" s="616"/>
      <c r="I136" s="616"/>
      <c r="J136" s="369"/>
      <c r="K136" s="619"/>
    </row>
    <row r="137" spans="1:11">
      <c r="A137" s="545">
        <v>2005</v>
      </c>
      <c r="B137" s="546" t="s">
        <v>65</v>
      </c>
      <c r="C137" s="547">
        <v>300</v>
      </c>
      <c r="D137" s="547">
        <f t="shared" ref="D137:D200" si="4">100*C137/C$8</f>
        <v>428.57142857142856</v>
      </c>
      <c r="E137" s="614">
        <f>E136*(1+IGPDI!D141/100)</f>
        <v>302.91768166567056</v>
      </c>
      <c r="F137" s="615">
        <f t="shared" si="3"/>
        <v>141.48115297027849</v>
      </c>
      <c r="G137" s="608"/>
      <c r="H137" s="616"/>
      <c r="I137" s="616"/>
      <c r="J137" s="369"/>
      <c r="K137" s="619"/>
    </row>
    <row r="138" spans="1:11">
      <c r="A138" s="545">
        <v>2005</v>
      </c>
      <c r="B138" s="546" t="s">
        <v>68</v>
      </c>
      <c r="C138" s="547">
        <v>300</v>
      </c>
      <c r="D138" s="547">
        <f t="shared" si="4"/>
        <v>428.57142857142856</v>
      </c>
      <c r="E138" s="614">
        <f>E137*(1+IGPDI!D142/100)</f>
        <v>303.91965804108997</v>
      </c>
      <c r="F138" s="615">
        <f t="shared" ref="F138:F201" si="5">+D138*E$8/E138</f>
        <v>141.01471136608268</v>
      </c>
      <c r="G138" s="608"/>
      <c r="H138" s="616"/>
      <c r="I138" s="616"/>
      <c r="J138" s="369"/>
      <c r="K138" s="619"/>
    </row>
    <row r="139" spans="1:11">
      <c r="A139" s="545">
        <v>2005</v>
      </c>
      <c r="B139" s="546" t="s">
        <v>69</v>
      </c>
      <c r="C139" s="547">
        <v>300</v>
      </c>
      <c r="D139" s="547">
        <f t="shared" si="4"/>
        <v>428.57142857142856</v>
      </c>
      <c r="E139" s="614">
        <f>E138*(1+IGPDI!D143/100)</f>
        <v>304.11821482741158</v>
      </c>
      <c r="F139" s="615">
        <f t="shared" si="5"/>
        <v>140.92264378660934</v>
      </c>
      <c r="G139" s="608"/>
      <c r="H139" s="616"/>
      <c r="I139" s="616"/>
      <c r="J139" s="369"/>
      <c r="K139" s="619"/>
    </row>
    <row r="140" spans="1:11">
      <c r="A140" s="545">
        <v>2006</v>
      </c>
      <c r="B140" s="546" t="s">
        <v>70</v>
      </c>
      <c r="C140" s="547">
        <v>300</v>
      </c>
      <c r="D140" s="547">
        <f t="shared" si="4"/>
        <v>428.57142857142856</v>
      </c>
      <c r="E140" s="614">
        <f>E139*(1+IGPDI!D144/100)</f>
        <v>306.31245116514191</v>
      </c>
      <c r="F140" s="615">
        <f t="shared" si="5"/>
        <v>139.913159566724</v>
      </c>
      <c r="G140" s="608"/>
      <c r="H140" s="616"/>
      <c r="I140" s="616"/>
      <c r="J140" s="369"/>
      <c r="K140" s="619"/>
    </row>
    <row r="141" spans="1:11">
      <c r="A141" s="545">
        <v>2006</v>
      </c>
      <c r="B141" s="546" t="s">
        <v>57</v>
      </c>
      <c r="C141" s="547">
        <v>300</v>
      </c>
      <c r="D141" s="547">
        <f t="shared" si="4"/>
        <v>428.57142857142856</v>
      </c>
      <c r="E141" s="614">
        <f>E140*(1+IGPDI!D145/100)</f>
        <v>306.13595624396709</v>
      </c>
      <c r="F141" s="615">
        <f t="shared" si="5"/>
        <v>139.99382295031353</v>
      </c>
      <c r="G141" s="608"/>
      <c r="H141" s="616"/>
      <c r="I141" s="616"/>
      <c r="J141" s="369"/>
      <c r="K141" s="619"/>
    </row>
    <row r="142" spans="1:11">
      <c r="A142" s="545">
        <v>2006</v>
      </c>
      <c r="B142" s="546" t="s">
        <v>58</v>
      </c>
      <c r="C142" s="547">
        <v>300</v>
      </c>
      <c r="D142" s="547">
        <f t="shared" si="4"/>
        <v>428.57142857142856</v>
      </c>
      <c r="E142" s="614">
        <f>E141*(1+IGPDI!D146/100)</f>
        <v>304.75800891667018</v>
      </c>
      <c r="F142" s="615">
        <f t="shared" si="5"/>
        <v>140.62679766641099</v>
      </c>
      <c r="G142" s="608"/>
      <c r="H142" s="616"/>
      <c r="I142" s="616"/>
      <c r="J142" s="369"/>
      <c r="K142" s="619"/>
    </row>
    <row r="143" spans="1:11">
      <c r="A143" s="545">
        <v>2006</v>
      </c>
      <c r="B143" s="546" t="s">
        <v>59</v>
      </c>
      <c r="C143" s="547">
        <v>350</v>
      </c>
      <c r="D143" s="547">
        <f t="shared" si="4"/>
        <v>500</v>
      </c>
      <c r="E143" s="614">
        <f>E142*(1+IGPDI!D147/100)</f>
        <v>304.82787148963519</v>
      </c>
      <c r="F143" s="615">
        <f t="shared" si="5"/>
        <v>164.02699581130693</v>
      </c>
      <c r="G143" s="608"/>
      <c r="H143" s="616"/>
      <c r="I143" s="616"/>
      <c r="J143" s="369"/>
      <c r="K143" s="619"/>
    </row>
    <row r="144" spans="1:11">
      <c r="A144" s="545">
        <v>2006</v>
      </c>
      <c r="B144" s="546" t="s">
        <v>60</v>
      </c>
      <c r="C144" s="547">
        <v>350</v>
      </c>
      <c r="D144" s="547">
        <f t="shared" si="4"/>
        <v>500</v>
      </c>
      <c r="E144" s="614">
        <f>E143*(1+IGPDI!D148/100)</f>
        <v>305.97141149974686</v>
      </c>
      <c r="F144" s="615">
        <f t="shared" si="5"/>
        <v>163.41396000012037</v>
      </c>
      <c r="G144" s="608"/>
      <c r="H144" s="616"/>
      <c r="I144" s="616"/>
      <c r="J144" s="369"/>
      <c r="K144" s="619"/>
    </row>
    <row r="145" spans="1:11">
      <c r="A145" s="545">
        <v>2006</v>
      </c>
      <c r="B145" s="546" t="s">
        <v>75</v>
      </c>
      <c r="C145" s="547">
        <v>350</v>
      </c>
      <c r="D145" s="547">
        <f t="shared" si="4"/>
        <v>500</v>
      </c>
      <c r="E145" s="614">
        <f>E144*(1+IGPDI!D149/100)</f>
        <v>308.0084570483059</v>
      </c>
      <c r="F145" s="615">
        <f t="shared" si="5"/>
        <v>162.33320500079108</v>
      </c>
      <c r="G145" s="608"/>
      <c r="H145" s="616"/>
      <c r="I145" s="616"/>
      <c r="J145" s="369"/>
      <c r="K145" s="619"/>
    </row>
    <row r="146" spans="1:11">
      <c r="A146" s="545">
        <v>2006</v>
      </c>
      <c r="B146" s="546" t="s">
        <v>76</v>
      </c>
      <c r="C146" s="547">
        <v>350</v>
      </c>
      <c r="D146" s="547">
        <f t="shared" si="4"/>
        <v>500</v>
      </c>
      <c r="E146" s="614">
        <f>E145*(1+IGPDI!D150/100)</f>
        <v>308.53242634554357</v>
      </c>
      <c r="F146" s="615">
        <f t="shared" si="5"/>
        <v>162.05752047599063</v>
      </c>
      <c r="G146" s="608"/>
      <c r="H146" s="616"/>
      <c r="I146" s="616"/>
      <c r="J146" s="369"/>
      <c r="K146" s="619"/>
    </row>
    <row r="147" spans="1:11">
      <c r="A147" s="545">
        <v>2006</v>
      </c>
      <c r="B147" s="546" t="s">
        <v>63</v>
      </c>
      <c r="C147" s="547">
        <v>350</v>
      </c>
      <c r="D147" s="547">
        <f t="shared" si="4"/>
        <v>500</v>
      </c>
      <c r="E147" s="614">
        <f>E146*(1+IGPDI!D151/100)</f>
        <v>309.79546812520073</v>
      </c>
      <c r="F147" s="615">
        <f t="shared" si="5"/>
        <v>161.39680900623441</v>
      </c>
      <c r="G147" s="608"/>
      <c r="H147" s="616"/>
      <c r="I147" s="616"/>
      <c r="J147" s="369"/>
      <c r="K147" s="619"/>
    </row>
    <row r="148" spans="1:11">
      <c r="A148" s="545">
        <v>2006</v>
      </c>
      <c r="B148" s="546" t="s">
        <v>64</v>
      </c>
      <c r="C148" s="547">
        <v>350</v>
      </c>
      <c r="D148" s="547">
        <f t="shared" si="4"/>
        <v>500</v>
      </c>
      <c r="E148" s="614">
        <f>E147*(1+IGPDI!D152/100)</f>
        <v>310.5363790963824</v>
      </c>
      <c r="F148" s="615">
        <f t="shared" si="5"/>
        <v>161.01173120358084</v>
      </c>
      <c r="G148" s="608"/>
      <c r="H148" s="616"/>
      <c r="I148" s="616"/>
      <c r="J148" s="369"/>
      <c r="K148" s="619"/>
    </row>
    <row r="149" spans="1:11">
      <c r="A149" s="545">
        <v>2006</v>
      </c>
      <c r="B149" s="546" t="s">
        <v>78</v>
      </c>
      <c r="C149" s="547">
        <v>350</v>
      </c>
      <c r="D149" s="547">
        <f t="shared" si="4"/>
        <v>500</v>
      </c>
      <c r="E149" s="614">
        <f>E148*(1+IGPDI!D153/100)</f>
        <v>313.04040079054982</v>
      </c>
      <c r="F149" s="615">
        <f t="shared" si="5"/>
        <v>159.72379243615325</v>
      </c>
      <c r="G149" s="608"/>
      <c r="H149" s="616"/>
      <c r="I149" s="616"/>
      <c r="J149" s="369"/>
      <c r="K149" s="619"/>
    </row>
    <row r="150" spans="1:11">
      <c r="A150" s="545">
        <v>2006</v>
      </c>
      <c r="B150" s="546" t="s">
        <v>68</v>
      </c>
      <c r="C150" s="547">
        <v>350</v>
      </c>
      <c r="D150" s="547">
        <f t="shared" si="4"/>
        <v>500</v>
      </c>
      <c r="E150" s="614">
        <f>E149*(1+IGPDI!D154/100)</f>
        <v>314.82465413430128</v>
      </c>
      <c r="F150" s="615">
        <f t="shared" si="5"/>
        <v>158.81856564724586</v>
      </c>
      <c r="G150" s="608"/>
      <c r="H150" s="616"/>
      <c r="I150" s="616"/>
      <c r="J150" s="369"/>
      <c r="K150" s="619"/>
    </row>
    <row r="151" spans="1:11">
      <c r="A151" s="545">
        <v>2006</v>
      </c>
      <c r="B151" s="546" t="s">
        <v>69</v>
      </c>
      <c r="C151" s="547">
        <v>350</v>
      </c>
      <c r="D151" s="547">
        <f>100*C151/C$8</f>
        <v>500</v>
      </c>
      <c r="E151" s="614">
        <f>E150*(1+IGPDI!D155/100)</f>
        <v>315.65381256607031</v>
      </c>
      <c r="F151" s="615">
        <f t="shared" si="5"/>
        <v>158.4013815436947</v>
      </c>
      <c r="G151" s="608"/>
      <c r="H151" s="616"/>
      <c r="I151" s="616"/>
      <c r="J151" s="369"/>
      <c r="K151" s="619"/>
    </row>
    <row r="152" spans="1:11">
      <c r="A152" s="545">
        <v>2007</v>
      </c>
      <c r="B152" s="546" t="s">
        <v>70</v>
      </c>
      <c r="C152" s="620">
        <v>350</v>
      </c>
      <c r="D152" s="620">
        <f t="shared" si="4"/>
        <v>500</v>
      </c>
      <c r="E152" s="614">
        <f>E151*(1+IGPDI!D156/100)</f>
        <v>317.00142482879039</v>
      </c>
      <c r="F152" s="615">
        <f t="shared" si="5"/>
        <v>157.72799768015096</v>
      </c>
      <c r="G152" s="608"/>
      <c r="H152" s="616"/>
      <c r="I152" s="616"/>
      <c r="J152" s="369"/>
      <c r="K152" s="619"/>
    </row>
    <row r="153" spans="1:11">
      <c r="A153" s="545">
        <v>2007</v>
      </c>
      <c r="B153" s="546" t="s">
        <v>71</v>
      </c>
      <c r="C153" s="620">
        <v>350</v>
      </c>
      <c r="D153" s="620">
        <f t="shared" si="4"/>
        <v>500</v>
      </c>
      <c r="E153" s="614">
        <f>E152*(1+IGPDI!D157/100)</f>
        <v>317.73865882244758</v>
      </c>
      <c r="F153" s="615">
        <f t="shared" si="5"/>
        <v>157.36202886139836</v>
      </c>
      <c r="G153" s="608"/>
      <c r="H153" s="616"/>
      <c r="I153" s="616"/>
      <c r="J153" s="369"/>
      <c r="K153" s="619"/>
    </row>
    <row r="154" spans="1:11">
      <c r="A154" s="545">
        <v>2007</v>
      </c>
      <c r="B154" s="546" t="s">
        <v>72</v>
      </c>
      <c r="C154" s="620">
        <v>350</v>
      </c>
      <c r="D154" s="620">
        <f t="shared" si="4"/>
        <v>500</v>
      </c>
      <c r="E154" s="614">
        <f>E153*(1+IGPDI!D158/100)</f>
        <v>318.43268833019221</v>
      </c>
      <c r="F154" s="615">
        <f t="shared" si="5"/>
        <v>157.01905561954598</v>
      </c>
      <c r="G154" s="608"/>
      <c r="H154" s="616"/>
      <c r="I154" s="616"/>
      <c r="J154" s="369"/>
      <c r="K154" s="619"/>
    </row>
    <row r="155" spans="1:11">
      <c r="A155" s="545">
        <v>2007</v>
      </c>
      <c r="B155" s="546" t="s">
        <v>59</v>
      </c>
      <c r="C155" s="620">
        <v>380</v>
      </c>
      <c r="D155" s="620">
        <f t="shared" si="4"/>
        <v>542.85714285714289</v>
      </c>
      <c r="E155" s="614">
        <f>E154*(1+IGPDI!D159/100)</f>
        <v>318.86565243369915</v>
      </c>
      <c r="F155" s="615">
        <f t="shared" si="5"/>
        <v>170.2463525669381</v>
      </c>
      <c r="G155" s="608"/>
      <c r="H155" s="616"/>
      <c r="I155" s="616"/>
      <c r="J155" s="369"/>
      <c r="K155" s="619"/>
    </row>
    <row r="156" spans="1:11">
      <c r="A156" s="545">
        <v>2007</v>
      </c>
      <c r="B156" s="546" t="s">
        <v>60</v>
      </c>
      <c r="C156" s="620">
        <v>380</v>
      </c>
      <c r="D156" s="620">
        <f t="shared" si="4"/>
        <v>542.85714285714289</v>
      </c>
      <c r="E156" s="614">
        <f>E155*(1+IGPDI!D160/100)</f>
        <v>319.36480213264662</v>
      </c>
      <c r="F156" s="615">
        <f t="shared" si="5"/>
        <v>169.98026683969695</v>
      </c>
      <c r="G156" s="608"/>
      <c r="H156" s="616"/>
      <c r="I156" s="616"/>
      <c r="J156" s="369"/>
      <c r="K156" s="619"/>
    </row>
    <row r="157" spans="1:11">
      <c r="A157" s="545">
        <v>2007</v>
      </c>
      <c r="B157" s="546" t="s">
        <v>61</v>
      </c>
      <c r="C157" s="620">
        <v>380</v>
      </c>
      <c r="D157" s="620">
        <f t="shared" si="4"/>
        <v>542.85714285714289</v>
      </c>
      <c r="E157" s="614">
        <f>E156*(1+IGPDI!D161/100)</f>
        <v>320.19855678632126</v>
      </c>
      <c r="F157" s="615">
        <f t="shared" si="5"/>
        <v>169.53766072699972</v>
      </c>
      <c r="G157" s="608"/>
      <c r="H157" s="616"/>
      <c r="I157" s="616"/>
      <c r="J157" s="369"/>
      <c r="K157" s="619"/>
    </row>
    <row r="158" spans="1:11">
      <c r="A158" s="545">
        <v>2007</v>
      </c>
      <c r="B158" s="546" t="s">
        <v>62</v>
      </c>
      <c r="C158" s="620">
        <v>380</v>
      </c>
      <c r="D158" s="620">
        <f t="shared" si="4"/>
        <v>542.85714285714289</v>
      </c>
      <c r="E158" s="614">
        <f>E157*(1+IGPDI!D162/100)</f>
        <v>321.39357448177566</v>
      </c>
      <c r="F158" s="615">
        <f t="shared" si="5"/>
        <v>168.90727941044295</v>
      </c>
      <c r="G158" s="608"/>
      <c r="H158" s="616"/>
      <c r="I158" s="616"/>
      <c r="J158" s="369"/>
      <c r="K158" s="619"/>
    </row>
    <row r="159" spans="1:11">
      <c r="A159" s="545">
        <v>2007</v>
      </c>
      <c r="B159" s="546" t="s">
        <v>63</v>
      </c>
      <c r="C159" s="620">
        <v>380</v>
      </c>
      <c r="D159" s="620">
        <f t="shared" si="4"/>
        <v>542.85714285714289</v>
      </c>
      <c r="E159" s="614">
        <f>E158*(1+IGPDI!D163/100)</f>
        <v>325.86753688468053</v>
      </c>
      <c r="F159" s="615">
        <f t="shared" si="5"/>
        <v>166.58828554906088</v>
      </c>
      <c r="G159" s="608"/>
      <c r="H159" s="616"/>
      <c r="I159" s="616"/>
      <c r="J159" s="369"/>
      <c r="K159" s="619"/>
    </row>
    <row r="160" spans="1:11">
      <c r="A160" s="545">
        <v>2007</v>
      </c>
      <c r="B160" s="546" t="s">
        <v>64</v>
      </c>
      <c r="C160" s="620">
        <v>380</v>
      </c>
      <c r="D160" s="620">
        <f t="shared" si="4"/>
        <v>542.85714285714289</v>
      </c>
      <c r="E160" s="614">
        <f>E159*(1+IGPDI!D164/100)</f>
        <v>329.67137013374975</v>
      </c>
      <c r="F160" s="615">
        <f t="shared" si="5"/>
        <v>164.66614696838926</v>
      </c>
      <c r="G160" s="621"/>
      <c r="H160" s="619"/>
      <c r="I160" s="622"/>
      <c r="J160" s="623"/>
      <c r="K160" s="619"/>
    </row>
    <row r="161" spans="1:11">
      <c r="A161" s="545">
        <v>2007</v>
      </c>
      <c r="B161" s="546" t="s">
        <v>65</v>
      </c>
      <c r="C161" s="620">
        <v>380</v>
      </c>
      <c r="D161" s="620">
        <f t="shared" si="4"/>
        <v>542.85714285714289</v>
      </c>
      <c r="E161" s="614">
        <f>E160*(1+IGPDI!D165/100)</f>
        <v>332.13034885324231</v>
      </c>
      <c r="F161" s="615">
        <f t="shared" si="5"/>
        <v>163.44701552612827</v>
      </c>
      <c r="G161" s="621"/>
      <c r="H161" s="619"/>
      <c r="I161" s="622"/>
      <c r="J161" s="623"/>
      <c r="K161" s="619"/>
    </row>
    <row r="162" spans="1:11">
      <c r="A162" s="545">
        <v>2007</v>
      </c>
      <c r="B162" s="546" t="s">
        <v>66</v>
      </c>
      <c r="C162" s="620">
        <v>380</v>
      </c>
      <c r="D162" s="620">
        <f t="shared" si="4"/>
        <v>542.85714285714289</v>
      </c>
      <c r="E162" s="614">
        <f>E161*(1+IGPDI!D166/100)</f>
        <v>335.61612354644456</v>
      </c>
      <c r="F162" s="615">
        <f t="shared" si="5"/>
        <v>161.74942285870813</v>
      </c>
      <c r="G162" s="621"/>
      <c r="H162" s="619"/>
      <c r="I162" s="622"/>
      <c r="J162" s="623"/>
      <c r="K162" s="619"/>
    </row>
    <row r="163" spans="1:11">
      <c r="A163" s="545">
        <v>2007</v>
      </c>
      <c r="B163" s="546" t="s">
        <v>55</v>
      </c>
      <c r="C163" s="620">
        <v>380</v>
      </c>
      <c r="D163" s="620">
        <f t="shared" si="4"/>
        <v>542.85714285714289</v>
      </c>
      <c r="E163" s="614">
        <f>E162*(1+IGPDI!D167/100)</f>
        <v>340.56625453876887</v>
      </c>
      <c r="F163" s="615">
        <f t="shared" si="5"/>
        <v>159.39839476824793</v>
      </c>
      <c r="G163" s="621"/>
      <c r="H163" s="619"/>
      <c r="I163" s="622"/>
      <c r="J163" s="623"/>
      <c r="K163" s="619"/>
    </row>
    <row r="164" spans="1:11">
      <c r="A164" s="545">
        <v>2008</v>
      </c>
      <c r="B164" s="546" t="s">
        <v>56</v>
      </c>
      <c r="C164" s="620">
        <v>380</v>
      </c>
      <c r="D164" s="620">
        <f>100*C164/C$8</f>
        <v>542.85714285714289</v>
      </c>
      <c r="E164" s="614">
        <f>E163*(1+IGPDI!D168/100)</f>
        <v>343.92517350737671</v>
      </c>
      <c r="F164" s="615">
        <f t="shared" si="5"/>
        <v>157.84164250643298</v>
      </c>
      <c r="G164" s="621"/>
      <c r="H164" s="619"/>
      <c r="I164" s="622"/>
      <c r="J164" s="623"/>
      <c r="K164" s="619"/>
    </row>
    <row r="165" spans="1:11">
      <c r="A165" s="545">
        <v>2008</v>
      </c>
      <c r="B165" s="546" t="s">
        <v>57</v>
      </c>
      <c r="C165" s="620">
        <v>380</v>
      </c>
      <c r="D165" s="620">
        <f t="shared" si="4"/>
        <v>542.85714285714289</v>
      </c>
      <c r="E165" s="614">
        <f>E164*(1+IGPDI!D169/100)</f>
        <v>345.22958128418418</v>
      </c>
      <c r="F165" s="615">
        <f t="shared" si="5"/>
        <v>157.24525715259514</v>
      </c>
      <c r="G165" s="621"/>
      <c r="H165" s="619"/>
      <c r="I165" s="622"/>
      <c r="J165" s="623"/>
      <c r="K165" s="619"/>
    </row>
    <row r="166" spans="1:11">
      <c r="A166" s="545">
        <v>2008</v>
      </c>
      <c r="B166" s="546" t="s">
        <v>58</v>
      </c>
      <c r="C166" s="620">
        <v>415</v>
      </c>
      <c r="D166" s="620">
        <f t="shared" si="4"/>
        <v>592.85714285714289</v>
      </c>
      <c r="E166" s="614">
        <f>E165*(1+IGPDI!D170/100)</f>
        <v>347.65270947281317</v>
      </c>
      <c r="F166" s="615">
        <f t="shared" si="5"/>
        <v>170.53143171418458</v>
      </c>
      <c r="G166" s="621"/>
      <c r="H166" s="619"/>
      <c r="I166" s="622"/>
      <c r="J166" s="623"/>
      <c r="K166" s="619"/>
    </row>
    <row r="167" spans="1:11">
      <c r="A167" s="545">
        <v>2008</v>
      </c>
      <c r="B167" s="546" t="s">
        <v>59</v>
      </c>
      <c r="C167" s="620">
        <v>415</v>
      </c>
      <c r="D167" s="620">
        <f t="shared" si="4"/>
        <v>592.85714285714289</v>
      </c>
      <c r="E167" s="614">
        <f>E166*(1+IGPDI!D171/100)</f>
        <v>351.53192076113413</v>
      </c>
      <c r="F167" s="615">
        <f t="shared" si="5"/>
        <v>168.64958993581388</v>
      </c>
      <c r="G167" s="621"/>
      <c r="H167" s="619"/>
      <c r="I167" s="622"/>
      <c r="J167" s="623"/>
      <c r="K167" s="619"/>
    </row>
    <row r="168" spans="1:11">
      <c r="A168" s="545">
        <v>2008</v>
      </c>
      <c r="B168" s="546" t="s">
        <v>60</v>
      </c>
      <c r="C168" s="620">
        <v>415</v>
      </c>
      <c r="D168" s="620">
        <f t="shared" si="4"/>
        <v>592.85714285714289</v>
      </c>
      <c r="E168" s="614">
        <f>E167*(1+IGPDI!D172/100)</f>
        <v>358.12382221813647</v>
      </c>
      <c r="F168" s="615">
        <f t="shared" si="5"/>
        <v>165.54529636848014</v>
      </c>
      <c r="G168" s="621"/>
      <c r="H168" s="619"/>
      <c r="I168" s="622"/>
      <c r="J168" s="623"/>
      <c r="K168" s="619"/>
    </row>
    <row r="169" spans="1:11">
      <c r="A169" s="545">
        <v>2008</v>
      </c>
      <c r="B169" s="546" t="s">
        <v>61</v>
      </c>
      <c r="C169" s="620">
        <v>415</v>
      </c>
      <c r="D169" s="620">
        <f t="shared" si="4"/>
        <v>592.85714285714289</v>
      </c>
      <c r="E169" s="614">
        <f>E168*(1+IGPDI!D173/100)</f>
        <v>364.89773406260031</v>
      </c>
      <c r="F169" s="615">
        <f t="shared" si="5"/>
        <v>162.47213603015547</v>
      </c>
      <c r="G169" s="621"/>
      <c r="H169" s="619"/>
      <c r="I169" s="622"/>
      <c r="J169" s="623"/>
      <c r="K169" s="619"/>
    </row>
    <row r="170" spans="1:11">
      <c r="A170" s="545">
        <v>2008</v>
      </c>
      <c r="B170" s="546" t="s">
        <v>76</v>
      </c>
      <c r="C170" s="620">
        <v>415</v>
      </c>
      <c r="D170" s="620">
        <f t="shared" si="4"/>
        <v>592.85714285714289</v>
      </c>
      <c r="E170" s="614">
        <f>E169*(1+IGPDI!D174/100)</f>
        <v>368.99021004734084</v>
      </c>
      <c r="F170" s="615">
        <f t="shared" si="5"/>
        <v>160.67015511904239</v>
      </c>
      <c r="G170" s="621"/>
      <c r="H170" s="619"/>
      <c r="I170" s="622"/>
      <c r="J170" s="623"/>
      <c r="K170" s="619"/>
    </row>
    <row r="171" spans="1:11">
      <c r="A171" s="545">
        <v>2008</v>
      </c>
      <c r="B171" s="546" t="s">
        <v>77</v>
      </c>
      <c r="C171" s="620">
        <v>415</v>
      </c>
      <c r="D171" s="620">
        <f t="shared" si="4"/>
        <v>592.85714285714289</v>
      </c>
      <c r="E171" s="614">
        <f>E170*(1+IGPDI!D175/100)</f>
        <v>367.57825067794249</v>
      </c>
      <c r="F171" s="615">
        <f t="shared" si="5"/>
        <v>161.2873290962421</v>
      </c>
      <c r="G171" s="621"/>
      <c r="H171" s="619"/>
      <c r="I171" s="622"/>
      <c r="J171" s="623"/>
      <c r="K171" s="619"/>
    </row>
    <row r="172" spans="1:11">
      <c r="A172" s="545">
        <v>2008</v>
      </c>
      <c r="B172" s="546" t="s">
        <v>79</v>
      </c>
      <c r="C172" s="620">
        <v>415</v>
      </c>
      <c r="D172" s="620">
        <f t="shared" si="4"/>
        <v>592.85714285714289</v>
      </c>
      <c r="E172" s="614">
        <f>E171*(1+IGPDI!D176/100)</f>
        <v>368.91758974123246</v>
      </c>
      <c r="F172" s="615">
        <f t="shared" si="5"/>
        <v>160.70178255067398</v>
      </c>
      <c r="G172" s="621"/>
      <c r="H172" s="619"/>
      <c r="I172" s="622"/>
      <c r="J172" s="623"/>
      <c r="K172" s="619"/>
    </row>
    <row r="173" spans="1:11">
      <c r="A173" s="545">
        <v>2008</v>
      </c>
      <c r="B173" s="546" t="s">
        <v>78</v>
      </c>
      <c r="C173" s="620">
        <v>415</v>
      </c>
      <c r="D173" s="620">
        <f t="shared" si="4"/>
        <v>592.85714285714289</v>
      </c>
      <c r="E173" s="614">
        <f>E172*(1+IGPDI!D177/100)</f>
        <v>372.94388013053248</v>
      </c>
      <c r="F173" s="615">
        <f t="shared" si="5"/>
        <v>158.96685116528511</v>
      </c>
      <c r="G173" s="621"/>
      <c r="H173" s="619"/>
      <c r="I173" s="622"/>
      <c r="J173" s="623"/>
      <c r="K173" s="619"/>
    </row>
    <row r="174" spans="1:11">
      <c r="A174" s="545">
        <v>2008</v>
      </c>
      <c r="B174" s="546" t="s">
        <v>68</v>
      </c>
      <c r="C174" s="620">
        <v>415</v>
      </c>
      <c r="D174" s="620">
        <f t="shared" si="4"/>
        <v>592.85714285714289</v>
      </c>
      <c r="E174" s="614">
        <f>E173*(1+IGPDI!D178/100)</f>
        <v>373.19667233534017</v>
      </c>
      <c r="F174" s="615">
        <f t="shared" si="5"/>
        <v>158.85917180001655</v>
      </c>
      <c r="G174" s="621"/>
      <c r="H174" s="619"/>
      <c r="I174" s="622"/>
      <c r="J174" s="623"/>
      <c r="K174" s="619"/>
    </row>
    <row r="175" spans="1:11">
      <c r="A175" s="545">
        <v>2008</v>
      </c>
      <c r="B175" s="546" t="s">
        <v>69</v>
      </c>
      <c r="C175" s="620">
        <v>415</v>
      </c>
      <c r="D175" s="620">
        <f t="shared" si="4"/>
        <v>592.85714285714289</v>
      </c>
      <c r="E175" s="614">
        <f>E174*(1+IGPDI!D179/100)</f>
        <v>371.5447901824698</v>
      </c>
      <c r="F175" s="615">
        <f t="shared" si="5"/>
        <v>159.56545711917644</v>
      </c>
      <c r="G175" s="621"/>
      <c r="H175" s="619"/>
      <c r="I175" s="622"/>
      <c r="J175" s="623"/>
      <c r="K175" s="619"/>
    </row>
    <row r="176" spans="1:11">
      <c r="A176" s="545">
        <v>2009</v>
      </c>
      <c r="B176" s="546" t="s">
        <v>70</v>
      </c>
      <c r="C176" s="620">
        <v>415</v>
      </c>
      <c r="D176" s="620">
        <f t="shared" si="4"/>
        <v>592.85714285714289</v>
      </c>
      <c r="E176" s="614">
        <f>E175*(1+IGPDI!D180/100)</f>
        <v>371.59902560095583</v>
      </c>
      <c r="F176" s="615">
        <f t="shared" si="5"/>
        <v>159.54216830853227</v>
      </c>
      <c r="G176" s="621"/>
      <c r="H176" s="619"/>
      <c r="I176" s="622"/>
      <c r="J176" s="623"/>
      <c r="K176" s="619"/>
    </row>
    <row r="177" spans="1:11">
      <c r="A177" s="545">
        <v>2009</v>
      </c>
      <c r="B177" s="546" t="s">
        <v>71</v>
      </c>
      <c r="C177" s="620">
        <v>465</v>
      </c>
      <c r="D177" s="620">
        <f t="shared" si="4"/>
        <v>664.28571428571433</v>
      </c>
      <c r="E177" s="614">
        <f>E176*(1+IGPDI!D181/100)</f>
        <v>371.13296869972862</v>
      </c>
      <c r="F177" s="615">
        <f t="shared" si="5"/>
        <v>178.98860255208584</v>
      </c>
      <c r="G177" s="621"/>
      <c r="H177" s="619"/>
      <c r="I177" s="622"/>
      <c r="J177" s="623"/>
      <c r="K177" s="619"/>
    </row>
    <row r="178" spans="1:11">
      <c r="A178" s="545">
        <v>2009</v>
      </c>
      <c r="B178" s="546" t="s">
        <v>72</v>
      </c>
      <c r="C178" s="620">
        <v>465</v>
      </c>
      <c r="D178" s="620">
        <f t="shared" si="4"/>
        <v>664.28571428571433</v>
      </c>
      <c r="E178" s="614">
        <f>E177*(1+IGPDI!D182/100)</f>
        <v>368.02224571402286</v>
      </c>
      <c r="F178" s="615">
        <f t="shared" si="5"/>
        <v>180.50151098798179</v>
      </c>
      <c r="G178" s="621"/>
      <c r="H178" s="619"/>
      <c r="I178" s="622"/>
      <c r="J178" s="623"/>
      <c r="K178" s="619"/>
    </row>
    <row r="179" spans="1:11">
      <c r="A179" s="545">
        <v>2009</v>
      </c>
      <c r="B179" s="546" t="s">
        <v>73</v>
      </c>
      <c r="C179" s="620">
        <v>465</v>
      </c>
      <c r="D179" s="620">
        <f t="shared" si="4"/>
        <v>664.28571428571433</v>
      </c>
      <c r="E179" s="614">
        <f>E178*(1+IGPDI!D183/100)</f>
        <v>368.18495196948084</v>
      </c>
      <c r="F179" s="615">
        <f t="shared" si="5"/>
        <v>180.42174475962221</v>
      </c>
      <c r="G179" s="621"/>
      <c r="H179" s="619"/>
      <c r="I179" s="622"/>
      <c r="J179" s="623"/>
      <c r="K179" s="619"/>
    </row>
    <row r="180" spans="1:11">
      <c r="A180" s="545">
        <v>2009</v>
      </c>
      <c r="B180" s="546" t="s">
        <v>74</v>
      </c>
      <c r="C180" s="620">
        <v>465</v>
      </c>
      <c r="D180" s="620">
        <f t="shared" si="4"/>
        <v>664.28571428571433</v>
      </c>
      <c r="E180" s="614">
        <f>E179*(1+IGPDI!D184/100)</f>
        <v>368.83026152502623</v>
      </c>
      <c r="F180" s="615">
        <f t="shared" si="5"/>
        <v>180.10607685471615</v>
      </c>
      <c r="G180" s="621"/>
      <c r="H180" s="619"/>
      <c r="I180" s="622"/>
      <c r="J180" s="623"/>
      <c r="K180" s="619"/>
    </row>
    <row r="181" spans="1:11">
      <c r="A181" s="545">
        <v>2009</v>
      </c>
      <c r="B181" s="546" t="s">
        <v>75</v>
      </c>
      <c r="C181" s="620">
        <v>465</v>
      </c>
      <c r="D181" s="620">
        <f t="shared" si="4"/>
        <v>664.28571428571433</v>
      </c>
      <c r="E181" s="614">
        <f>E180*(1+IGPDI!D185/100)</f>
        <v>367.6664981385299</v>
      </c>
      <c r="F181" s="615">
        <f t="shared" si="5"/>
        <v>180.67616104511754</v>
      </c>
      <c r="G181" s="621"/>
      <c r="H181" s="619"/>
      <c r="I181" s="622"/>
      <c r="J181" s="623"/>
      <c r="K181" s="619"/>
    </row>
    <row r="182" spans="1:11">
      <c r="A182" s="545">
        <v>2009</v>
      </c>
      <c r="B182" s="546" t="s">
        <v>76</v>
      </c>
      <c r="C182" s="620">
        <v>465</v>
      </c>
      <c r="D182" s="620">
        <f t="shared" si="4"/>
        <v>664.28571428571433</v>
      </c>
      <c r="E182" s="614">
        <f>E181*(1+IGPDI!D186/100)</f>
        <v>365.30128234591143</v>
      </c>
      <c r="F182" s="615">
        <f t="shared" si="5"/>
        <v>181.8459847772142</v>
      </c>
      <c r="G182" s="621"/>
      <c r="H182" s="619"/>
      <c r="I182" s="622"/>
      <c r="J182" s="623"/>
      <c r="K182" s="619"/>
    </row>
    <row r="183" spans="1:11">
      <c r="A183" s="545">
        <v>2009</v>
      </c>
      <c r="B183" s="546" t="s">
        <v>77</v>
      </c>
      <c r="C183" s="620">
        <v>465</v>
      </c>
      <c r="D183" s="620">
        <f t="shared" si="4"/>
        <v>664.28571428571433</v>
      </c>
      <c r="E183" s="614">
        <f>E182*(1+IGPDI!D187/100)</f>
        <v>365.63680654501979</v>
      </c>
      <c r="F183" s="615">
        <f t="shared" si="5"/>
        <v>181.6791150110657</v>
      </c>
      <c r="G183" s="621"/>
      <c r="H183" s="619"/>
      <c r="I183" s="622"/>
      <c r="J183" s="623"/>
      <c r="K183" s="619"/>
    </row>
    <row r="184" spans="1:11">
      <c r="A184" s="545">
        <v>2009</v>
      </c>
      <c r="B184" s="546" t="s">
        <v>79</v>
      </c>
      <c r="C184" s="620">
        <v>465</v>
      </c>
      <c r="D184" s="620">
        <f t="shared" si="4"/>
        <v>664.28571428571433</v>
      </c>
      <c r="E184" s="614">
        <f>E183*(1+IGPDI!D188/100)</f>
        <v>366.53766603851619</v>
      </c>
      <c r="F184" s="615">
        <f t="shared" si="5"/>
        <v>181.23259240045209</v>
      </c>
      <c r="G184" s="621"/>
      <c r="H184" s="619"/>
      <c r="I184" s="622"/>
      <c r="J184" s="623"/>
      <c r="K184" s="619"/>
    </row>
    <row r="185" spans="1:11">
      <c r="A185" s="545">
        <v>2009</v>
      </c>
      <c r="B185" s="546" t="s">
        <v>78</v>
      </c>
      <c r="C185" s="620">
        <v>465</v>
      </c>
      <c r="D185" s="620">
        <f t="shared" si="4"/>
        <v>664.28571428571433</v>
      </c>
      <c r="E185" s="614">
        <f>E184*(1+IGPDI!D189/100)</f>
        <v>366.38782920439382</v>
      </c>
      <c r="F185" s="615">
        <f t="shared" si="5"/>
        <v>181.30670872124813</v>
      </c>
      <c r="G185" s="621"/>
      <c r="H185" s="619"/>
      <c r="I185" s="622"/>
      <c r="J185" s="623"/>
      <c r="K185" s="619"/>
    </row>
    <row r="186" spans="1:11">
      <c r="A186" s="545">
        <v>2009</v>
      </c>
      <c r="B186" s="546" t="s">
        <v>68</v>
      </c>
      <c r="C186" s="620">
        <v>465</v>
      </c>
      <c r="D186" s="620">
        <f t="shared" si="4"/>
        <v>664.28571428571433</v>
      </c>
      <c r="E186" s="614">
        <f>E185*(1+IGPDI!D190/100)</f>
        <v>366.64705611986932</v>
      </c>
      <c r="F186" s="615">
        <f t="shared" si="5"/>
        <v>181.1785211957455</v>
      </c>
      <c r="G186" s="621"/>
      <c r="H186" s="619"/>
      <c r="I186" s="622"/>
      <c r="J186" s="623"/>
      <c r="K186" s="619"/>
    </row>
    <row r="187" spans="1:11">
      <c r="A187" s="545">
        <v>2009</v>
      </c>
      <c r="B187" s="546" t="s">
        <v>69</v>
      </c>
      <c r="C187" s="620">
        <v>465</v>
      </c>
      <c r="D187" s="620">
        <f t="shared" si="4"/>
        <v>664.28571428571433</v>
      </c>
      <c r="E187" s="614">
        <f>E186*(1+IGPDI!D191/100)</f>
        <v>366.2333961483659</v>
      </c>
      <c r="F187" s="615">
        <f t="shared" si="5"/>
        <v>181.38316201415</v>
      </c>
      <c r="G187" s="621"/>
      <c r="H187" s="619"/>
      <c r="I187" s="622"/>
      <c r="J187" s="623"/>
      <c r="K187" s="619"/>
    </row>
    <row r="188" spans="1:11">
      <c r="A188" s="545">
        <v>2010</v>
      </c>
      <c r="B188" s="546" t="s">
        <v>70</v>
      </c>
      <c r="C188" s="620">
        <v>510</v>
      </c>
      <c r="D188" s="620">
        <f t="shared" si="4"/>
        <v>728.57142857142856</v>
      </c>
      <c r="E188" s="614">
        <f>E187*(1+IGPDI!D192/100)</f>
        <v>369.92692007170092</v>
      </c>
      <c r="F188" s="615">
        <f t="shared" si="5"/>
        <v>196.95009717871127</v>
      </c>
      <c r="G188" s="621"/>
      <c r="H188" s="619"/>
      <c r="I188" s="622"/>
      <c r="J188" s="623"/>
      <c r="K188" s="619"/>
    </row>
    <row r="189" spans="1:11">
      <c r="A189" s="545">
        <v>2010</v>
      </c>
      <c r="B189" s="546" t="s">
        <v>71</v>
      </c>
      <c r="C189" s="620">
        <v>510</v>
      </c>
      <c r="D189" s="620">
        <f t="shared" si="4"/>
        <v>728.57142857142856</v>
      </c>
      <c r="E189" s="614">
        <f>E188*(1+IGPDI!D193/100)</f>
        <v>373.97251459300441</v>
      </c>
      <c r="F189" s="615">
        <f t="shared" si="5"/>
        <v>194.81951216771515</v>
      </c>
      <c r="G189" s="621"/>
      <c r="H189" s="619"/>
      <c r="I189" s="622"/>
      <c r="J189" s="623"/>
      <c r="K189" s="619"/>
    </row>
    <row r="190" spans="1:11">
      <c r="A190" s="545">
        <v>2010</v>
      </c>
      <c r="B190" s="546" t="s">
        <v>72</v>
      </c>
      <c r="C190" s="620">
        <v>510</v>
      </c>
      <c r="D190" s="620">
        <f t="shared" si="4"/>
        <v>728.57142857142856</v>
      </c>
      <c r="E190" s="614">
        <f>E189*(1+IGPDI!D194/100)</f>
        <v>376.33773038562288</v>
      </c>
      <c r="F190" s="615">
        <f t="shared" si="5"/>
        <v>193.59510613641675</v>
      </c>
      <c r="G190" s="621"/>
      <c r="H190" s="619"/>
      <c r="I190" s="622"/>
      <c r="J190" s="623"/>
      <c r="K190" s="619"/>
    </row>
    <row r="191" spans="1:11">
      <c r="A191" s="545">
        <v>2010</v>
      </c>
      <c r="B191" s="546" t="s">
        <v>59</v>
      </c>
      <c r="C191" s="620">
        <v>510</v>
      </c>
      <c r="D191" s="620">
        <f t="shared" si="4"/>
        <v>728.57142857142856</v>
      </c>
      <c r="E191" s="614">
        <f>E190*(1+IGPDI!D195/100)</f>
        <v>379.0421473548742</v>
      </c>
      <c r="F191" s="615">
        <f t="shared" si="5"/>
        <v>192.21382995419538</v>
      </c>
      <c r="G191" s="621"/>
      <c r="H191" s="619"/>
      <c r="I191" s="622"/>
      <c r="J191" s="623"/>
      <c r="K191" s="619"/>
    </row>
    <row r="192" spans="1:11">
      <c r="A192" s="545">
        <v>2010</v>
      </c>
      <c r="B192" s="546" t="s">
        <v>60</v>
      </c>
      <c r="C192" s="620">
        <v>510</v>
      </c>
      <c r="D192" s="620">
        <f t="shared" si="4"/>
        <v>728.57142857142856</v>
      </c>
      <c r="E192" s="614">
        <f>E191*(1+IGPDI!D196/100)</f>
        <v>384.98965850071232</v>
      </c>
      <c r="F192" s="615">
        <f t="shared" si="5"/>
        <v>189.24441539773997</v>
      </c>
      <c r="G192" s="621"/>
      <c r="H192" s="619"/>
      <c r="I192" s="622"/>
      <c r="J192" s="623"/>
      <c r="K192" s="619"/>
    </row>
    <row r="193" spans="1:11">
      <c r="A193" s="545">
        <v>2010</v>
      </c>
      <c r="B193" s="546" t="s">
        <v>61</v>
      </c>
      <c r="C193" s="620">
        <v>510</v>
      </c>
      <c r="D193" s="620">
        <f t="shared" si="4"/>
        <v>728.57142857142856</v>
      </c>
      <c r="E193" s="614">
        <f>E192*(1+IGPDI!D197/100)</f>
        <v>386.30417796571214</v>
      </c>
      <c r="F193" s="615">
        <f t="shared" si="5"/>
        <v>188.60045273341456</v>
      </c>
      <c r="G193" s="621"/>
      <c r="H193" s="619"/>
      <c r="I193" s="622"/>
      <c r="J193" s="623"/>
      <c r="K193" s="619"/>
    </row>
    <row r="194" spans="1:11">
      <c r="A194" s="545">
        <v>2010</v>
      </c>
      <c r="B194" s="546" t="s">
        <v>62</v>
      </c>
      <c r="C194" s="620">
        <v>510</v>
      </c>
      <c r="D194" s="620">
        <f t="shared" si="4"/>
        <v>728.57142857142856</v>
      </c>
      <c r="E194" s="614">
        <f>E193*(1+IGPDI!D198/100)</f>
        <v>387.14344808567353</v>
      </c>
      <c r="F194" s="615">
        <f t="shared" si="5"/>
        <v>188.19159465930008</v>
      </c>
      <c r="G194" s="621"/>
      <c r="H194" s="619"/>
      <c r="I194" s="622"/>
      <c r="J194" s="623"/>
      <c r="K194" s="619"/>
    </row>
    <row r="195" spans="1:11">
      <c r="A195" s="545">
        <v>2010</v>
      </c>
      <c r="B195" s="546" t="s">
        <v>63</v>
      </c>
      <c r="C195" s="620">
        <v>510</v>
      </c>
      <c r="D195" s="620">
        <f t="shared" si="4"/>
        <v>728.57142857142856</v>
      </c>
      <c r="E195" s="614">
        <f>E194*(1+IGPDI!D199/100)</f>
        <v>391.40322654777771</v>
      </c>
      <c r="F195" s="615">
        <f t="shared" si="5"/>
        <v>186.14343959233904</v>
      </c>
      <c r="G195" s="621"/>
      <c r="H195" s="619"/>
      <c r="I195" s="622"/>
      <c r="J195" s="623"/>
      <c r="K195" s="619"/>
    </row>
    <row r="196" spans="1:11">
      <c r="A196" s="545">
        <v>2010</v>
      </c>
      <c r="B196" s="546" t="s">
        <v>64</v>
      </c>
      <c r="C196" s="620">
        <v>510</v>
      </c>
      <c r="D196" s="620">
        <f t="shared" si="4"/>
        <v>728.57142857142856</v>
      </c>
      <c r="E196" s="614">
        <f>E195*(1+IGPDI!D200/100)</f>
        <v>395.69150158569653</v>
      </c>
      <c r="F196" s="615">
        <f t="shared" si="5"/>
        <v>184.12612493615532</v>
      </c>
      <c r="G196" s="621"/>
      <c r="H196" s="619"/>
      <c r="I196" s="622"/>
      <c r="J196" s="623"/>
      <c r="K196" s="619"/>
    </row>
    <row r="197" spans="1:11">
      <c r="A197" s="545">
        <v>2010</v>
      </c>
      <c r="B197" s="546" t="s">
        <v>65</v>
      </c>
      <c r="C197" s="620">
        <v>510</v>
      </c>
      <c r="D197" s="620">
        <f t="shared" si="4"/>
        <v>728.57142857142856</v>
      </c>
      <c r="E197" s="614">
        <f>E196*(1+IGPDI!D201/100)</f>
        <v>399.7628349496714</v>
      </c>
      <c r="F197" s="615">
        <f t="shared" si="5"/>
        <v>182.2509160120282</v>
      </c>
      <c r="G197" s="621"/>
      <c r="H197" s="619"/>
      <c r="I197" s="622"/>
      <c r="J197" s="623"/>
      <c r="K197" s="619"/>
    </row>
    <row r="198" spans="1:11">
      <c r="A198" s="545">
        <v>2010</v>
      </c>
      <c r="B198" s="546" t="s">
        <v>66</v>
      </c>
      <c r="C198" s="620">
        <v>510</v>
      </c>
      <c r="D198" s="620">
        <f t="shared" si="4"/>
        <v>728.57142857142856</v>
      </c>
      <c r="E198" s="614">
        <f>E197*(1+IGPDI!D202/100)</f>
        <v>406.07988233671927</v>
      </c>
      <c r="F198" s="615">
        <f t="shared" si="5"/>
        <v>179.41578991280858</v>
      </c>
      <c r="G198" s="621"/>
      <c r="H198" s="619"/>
      <c r="I198" s="622"/>
      <c r="J198" s="623"/>
      <c r="K198" s="619"/>
    </row>
    <row r="199" spans="1:11">
      <c r="A199" s="545">
        <v>2010</v>
      </c>
      <c r="B199" s="546" t="s">
        <v>55</v>
      </c>
      <c r="C199" s="620">
        <v>510</v>
      </c>
      <c r="D199" s="620">
        <f t="shared" si="4"/>
        <v>728.57142857142856</v>
      </c>
      <c r="E199" s="614">
        <f>E198*(1+IGPDI!D203/100)</f>
        <v>407.6177781863309</v>
      </c>
      <c r="F199" s="615">
        <f t="shared" si="5"/>
        <v>178.73887439678424</v>
      </c>
      <c r="G199" s="621"/>
      <c r="H199" s="619"/>
      <c r="I199" s="622"/>
      <c r="J199" s="623"/>
      <c r="K199" s="619"/>
    </row>
    <row r="200" spans="1:11">
      <c r="A200" s="545">
        <v>2011</v>
      </c>
      <c r="B200" s="546" t="s">
        <v>56</v>
      </c>
      <c r="C200" s="620">
        <v>540</v>
      </c>
      <c r="D200" s="620">
        <f t="shared" si="4"/>
        <v>771.42857142857144</v>
      </c>
      <c r="E200" s="614">
        <f>E199*(1+IGPDI!D204/100)</f>
        <v>411.60454106724274</v>
      </c>
      <c r="F200" s="615">
        <f t="shared" si="5"/>
        <v>187.4198397880516</v>
      </c>
      <c r="G200" s="621"/>
      <c r="H200" s="619"/>
      <c r="I200" s="622"/>
      <c r="J200" s="623"/>
      <c r="K200" s="619"/>
    </row>
    <row r="201" spans="1:11">
      <c r="A201" s="545">
        <v>2011</v>
      </c>
      <c r="B201" s="546" t="s">
        <v>57</v>
      </c>
      <c r="C201" s="620">
        <v>540</v>
      </c>
      <c r="D201" s="620">
        <f t="shared" ref="D201:D264" si="6">100*C201/C$8</f>
        <v>771.42857142857144</v>
      </c>
      <c r="E201" s="614">
        <f>E200*(1+IGPDI!D205/100)</f>
        <v>415.54166475157427</v>
      </c>
      <c r="F201" s="615">
        <f t="shared" si="5"/>
        <v>185.64409705817565</v>
      </c>
      <c r="G201" s="621"/>
      <c r="H201" s="619"/>
      <c r="I201" s="622"/>
      <c r="J201" s="623"/>
      <c r="K201" s="619"/>
    </row>
    <row r="202" spans="1:11" ht="15.75" customHeight="1">
      <c r="A202" s="545">
        <v>2011</v>
      </c>
      <c r="B202" s="546" t="s">
        <v>58</v>
      </c>
      <c r="C202" s="620">
        <v>545</v>
      </c>
      <c r="D202" s="620">
        <f t="shared" si="6"/>
        <v>778.57142857142856</v>
      </c>
      <c r="E202" s="614">
        <f>E201*(1+IGPDI!D206/100)</f>
        <v>418.07694075469965</v>
      </c>
      <c r="F202" s="615">
        <f t="shared" ref="F202:F265" si="7">+D202*E$8/E202</f>
        <v>186.22682876648861</v>
      </c>
      <c r="G202" s="621"/>
      <c r="H202" s="619"/>
      <c r="I202" s="622"/>
      <c r="J202" s="623"/>
      <c r="K202" s="619"/>
    </row>
    <row r="203" spans="1:11" ht="15.75" customHeight="1">
      <c r="A203" s="545">
        <v>2011</v>
      </c>
      <c r="B203" s="546" t="s">
        <v>59</v>
      </c>
      <c r="C203" s="620">
        <v>545</v>
      </c>
      <c r="D203" s="620">
        <f t="shared" si="6"/>
        <v>778.57142857142856</v>
      </c>
      <c r="E203" s="614">
        <f>E202*(1+IGPDI!D207/100)</f>
        <v>420.1489175897413</v>
      </c>
      <c r="F203" s="615">
        <f t="shared" si="7"/>
        <v>185.30844564299761</v>
      </c>
      <c r="G203" s="621"/>
      <c r="H203" s="619"/>
      <c r="I203" s="622"/>
      <c r="J203" s="623"/>
      <c r="K203" s="619"/>
    </row>
    <row r="204" spans="1:11" ht="15.75" customHeight="1">
      <c r="A204" s="545">
        <v>2011</v>
      </c>
      <c r="B204" s="546" t="s">
        <v>60</v>
      </c>
      <c r="C204" s="620">
        <v>545</v>
      </c>
      <c r="D204" s="620">
        <f t="shared" si="6"/>
        <v>778.57142857142856</v>
      </c>
      <c r="E204" s="614">
        <f>E203*(1+IGPDI!D208/100)</f>
        <v>420.17741416555594</v>
      </c>
      <c r="F204" s="615">
        <f t="shared" si="7"/>
        <v>185.29587796088921</v>
      </c>
      <c r="G204" s="621"/>
      <c r="H204" s="619"/>
      <c r="I204" s="622"/>
      <c r="J204" s="623"/>
      <c r="K204" s="619"/>
    </row>
    <row r="205" spans="1:11" ht="15.75" customHeight="1">
      <c r="A205" s="545">
        <v>2011</v>
      </c>
      <c r="B205" s="546" t="s">
        <v>61</v>
      </c>
      <c r="C205" s="620">
        <v>545</v>
      </c>
      <c r="D205" s="620">
        <f t="shared" si="6"/>
        <v>778.57142857142856</v>
      </c>
      <c r="E205" s="614">
        <f>E204*(1+IGPDI!D209/100)</f>
        <v>419.62586753688475</v>
      </c>
      <c r="F205" s="615">
        <f t="shared" si="7"/>
        <v>185.53942661863971</v>
      </c>
      <c r="G205" s="621"/>
      <c r="H205" s="619"/>
      <c r="I205" s="622"/>
      <c r="J205" s="623"/>
      <c r="K205" s="619"/>
    </row>
    <row r="206" spans="1:11" ht="15.75" customHeight="1">
      <c r="A206" s="545">
        <v>2011</v>
      </c>
      <c r="B206" s="546" t="s">
        <v>62</v>
      </c>
      <c r="C206" s="620">
        <v>545</v>
      </c>
      <c r="D206" s="620">
        <f t="shared" si="6"/>
        <v>778.57142857142856</v>
      </c>
      <c r="E206" s="614">
        <f>E205*(1+IGPDI!D210/100)</f>
        <v>419.41260284046518</v>
      </c>
      <c r="F206" s="615">
        <f t="shared" si="7"/>
        <v>185.63377049200858</v>
      </c>
      <c r="G206" s="621"/>
      <c r="H206" s="619"/>
      <c r="I206" s="622"/>
      <c r="J206" s="623"/>
      <c r="K206" s="619"/>
    </row>
    <row r="207" spans="1:11" ht="15.75" customHeight="1">
      <c r="A207" s="545">
        <v>2011</v>
      </c>
      <c r="B207" s="546" t="s">
        <v>63</v>
      </c>
      <c r="C207" s="620">
        <v>545</v>
      </c>
      <c r="D207" s="620">
        <f t="shared" si="6"/>
        <v>778.57142857142856</v>
      </c>
      <c r="E207" s="614">
        <f>E206*(1+IGPDI!D211/100)</f>
        <v>421.98372937445424</v>
      </c>
      <c r="F207" s="615">
        <f t="shared" si="7"/>
        <v>184.50271287131793</v>
      </c>
      <c r="G207" s="621"/>
      <c r="H207" s="619"/>
      <c r="I207" s="622"/>
      <c r="J207" s="623"/>
      <c r="K207" s="619"/>
    </row>
    <row r="208" spans="1:11" ht="15.75" customHeight="1">
      <c r="A208" s="545">
        <v>2011</v>
      </c>
      <c r="B208" s="546" t="s">
        <v>64</v>
      </c>
      <c r="C208" s="620">
        <v>545</v>
      </c>
      <c r="D208" s="620">
        <f t="shared" si="6"/>
        <v>778.57142857142856</v>
      </c>
      <c r="E208" s="614">
        <f>E207*(1+IGPDI!D212/100)</f>
        <v>425.15879946683833</v>
      </c>
      <c r="F208" s="615">
        <f t="shared" si="7"/>
        <v>183.12485347775467</v>
      </c>
      <c r="G208" s="621"/>
      <c r="H208" s="619"/>
      <c r="I208" s="622"/>
      <c r="J208" s="623"/>
      <c r="K208" s="619"/>
    </row>
    <row r="209" spans="1:11" ht="15.75" customHeight="1">
      <c r="A209" s="545">
        <v>2011</v>
      </c>
      <c r="B209" s="546" t="s">
        <v>65</v>
      </c>
      <c r="C209" s="620">
        <v>545</v>
      </c>
      <c r="D209" s="620">
        <f t="shared" si="6"/>
        <v>778.57142857142856</v>
      </c>
      <c r="E209" s="614">
        <f>E208*(1+IGPDI!D213/100)</f>
        <v>426.85020912809676</v>
      </c>
      <c r="F209" s="615">
        <f t="shared" si="7"/>
        <v>182.39921450706871</v>
      </c>
      <c r="G209" s="621"/>
      <c r="H209" s="619"/>
      <c r="I209" s="622"/>
      <c r="J209" s="623"/>
      <c r="K209" s="619"/>
    </row>
    <row r="210" spans="1:11" ht="15.75" customHeight="1">
      <c r="A210" s="545">
        <v>2011</v>
      </c>
      <c r="B210" s="546" t="s">
        <v>66</v>
      </c>
      <c r="C210" s="620">
        <v>545</v>
      </c>
      <c r="D210" s="620">
        <f t="shared" si="6"/>
        <v>778.57142857142856</v>
      </c>
      <c r="E210" s="614">
        <f>E209*(1+IGPDI!D214/100)</f>
        <v>428.67215149147415</v>
      </c>
      <c r="F210" s="615">
        <f t="shared" si="7"/>
        <v>181.62398137190715</v>
      </c>
      <c r="G210" s="621"/>
      <c r="H210" s="619"/>
      <c r="I210" s="622"/>
      <c r="J210" s="623"/>
      <c r="K210" s="619"/>
    </row>
    <row r="211" spans="1:11" ht="15.75" customHeight="1">
      <c r="A211" s="545">
        <v>2011</v>
      </c>
      <c r="B211" s="546" t="s">
        <v>55</v>
      </c>
      <c r="C211" s="620">
        <v>545</v>
      </c>
      <c r="D211" s="620">
        <f t="shared" si="6"/>
        <v>778.57142857142856</v>
      </c>
      <c r="E211" s="614">
        <f>E210*(1+IGPDI!D215/100)</f>
        <v>427.9873144275407</v>
      </c>
      <c r="F211" s="615">
        <f t="shared" si="7"/>
        <v>181.91460408419246</v>
      </c>
      <c r="G211" s="621"/>
      <c r="H211" s="619"/>
      <c r="I211" s="622"/>
      <c r="J211" s="623"/>
      <c r="K211" s="619"/>
    </row>
    <row r="212" spans="1:11" ht="15.75" customHeight="1">
      <c r="A212" s="545">
        <f>2012</f>
        <v>2012</v>
      </c>
      <c r="B212" s="546" t="s">
        <v>56</v>
      </c>
      <c r="C212" s="620">
        <v>622</v>
      </c>
      <c r="D212" s="620">
        <f t="shared" si="6"/>
        <v>888.57142857142856</v>
      </c>
      <c r="E212" s="614">
        <f>E211*(1+IGPDI!D216/100)</f>
        <v>429.26782185043902</v>
      </c>
      <c r="F212" s="615">
        <f t="shared" si="7"/>
        <v>206.99698028635729</v>
      </c>
      <c r="G212" s="621"/>
      <c r="H212" s="619"/>
      <c r="I212" s="622"/>
      <c r="J212" s="623"/>
      <c r="K212" s="619"/>
    </row>
    <row r="213" spans="1:11" ht="15.75" customHeight="1">
      <c r="A213" s="545">
        <f>2012</f>
        <v>2012</v>
      </c>
      <c r="B213" s="546" t="s">
        <v>57</v>
      </c>
      <c r="C213" s="620">
        <v>622</v>
      </c>
      <c r="D213" s="620">
        <f t="shared" si="6"/>
        <v>888.57142857142856</v>
      </c>
      <c r="E213" s="614">
        <f>E212*(1+IGPDI!D217/100)</f>
        <v>429.57025325182707</v>
      </c>
      <c r="F213" s="615">
        <f t="shared" si="7"/>
        <v>206.8512476934759</v>
      </c>
      <c r="G213" s="621"/>
      <c r="H213" s="619"/>
      <c r="I213" s="622"/>
      <c r="J213" s="623"/>
      <c r="K213" s="619"/>
    </row>
    <row r="214" spans="1:11" ht="15.75" customHeight="1">
      <c r="A214" s="545">
        <f>2012</f>
        <v>2012</v>
      </c>
      <c r="B214" s="546" t="s">
        <v>58</v>
      </c>
      <c r="C214" s="620">
        <v>622</v>
      </c>
      <c r="D214" s="620">
        <f t="shared" si="6"/>
        <v>888.57142857142856</v>
      </c>
      <c r="E214" s="614">
        <f>E213*(1+IGPDI!D218/100)</f>
        <v>431.96212713149799</v>
      </c>
      <c r="F214" s="615">
        <f t="shared" si="7"/>
        <v>205.70586464885369</v>
      </c>
      <c r="G214" s="621"/>
      <c r="H214" s="619"/>
      <c r="I214" s="622"/>
      <c r="J214" s="623"/>
      <c r="K214" s="619"/>
    </row>
    <row r="215" spans="1:11" ht="15.75" customHeight="1">
      <c r="A215" s="545">
        <f>2012</f>
        <v>2012</v>
      </c>
      <c r="B215" s="546" t="s">
        <v>59</v>
      </c>
      <c r="C215" s="620">
        <v>622</v>
      </c>
      <c r="D215" s="620">
        <f t="shared" si="6"/>
        <v>888.57142857142856</v>
      </c>
      <c r="E215" s="614">
        <f>E214*(1+IGPDI!D219/100)</f>
        <v>436.34968056257759</v>
      </c>
      <c r="F215" s="615">
        <f t="shared" si="7"/>
        <v>203.63746512334095</v>
      </c>
      <c r="G215" s="621"/>
      <c r="H215" s="619"/>
      <c r="I215" s="622"/>
      <c r="J215" s="623"/>
      <c r="K215" s="619"/>
    </row>
    <row r="216" spans="1:11" ht="15.75" customHeight="1">
      <c r="A216" s="545">
        <f>2012</f>
        <v>2012</v>
      </c>
      <c r="B216" s="546" t="s">
        <v>60</v>
      </c>
      <c r="C216" s="620">
        <v>622</v>
      </c>
      <c r="D216" s="620">
        <f t="shared" si="6"/>
        <v>888.57142857142856</v>
      </c>
      <c r="E216" s="614">
        <f>E215*(1+IGPDI!D220/100)</f>
        <v>440.33552419910836</v>
      </c>
      <c r="F216" s="615">
        <f t="shared" si="7"/>
        <v>201.79417279302669</v>
      </c>
      <c r="G216" s="621"/>
      <c r="H216" s="619"/>
      <c r="I216" s="622"/>
      <c r="J216" s="623"/>
      <c r="K216" s="619"/>
    </row>
    <row r="217" spans="1:11" ht="15.75" customHeight="1">
      <c r="A217" s="545">
        <f>2012</f>
        <v>2012</v>
      </c>
      <c r="B217" s="546" t="s">
        <v>61</v>
      </c>
      <c r="C217" s="620">
        <v>622</v>
      </c>
      <c r="D217" s="620">
        <f t="shared" si="6"/>
        <v>888.57142857142856</v>
      </c>
      <c r="E217" s="614">
        <f>E216*(1+IGPDI!D221/100)</f>
        <v>443.36167670175115</v>
      </c>
      <c r="F217" s="615">
        <f t="shared" si="7"/>
        <v>200.41683241133387</v>
      </c>
      <c r="G217" s="621"/>
      <c r="H217" s="619"/>
      <c r="I217" s="622"/>
      <c r="J217" s="623"/>
      <c r="K217" s="619"/>
    </row>
    <row r="218" spans="1:11" ht="15.75" customHeight="1">
      <c r="A218" s="545">
        <f>2012</f>
        <v>2012</v>
      </c>
      <c r="B218" s="546" t="s">
        <v>62</v>
      </c>
      <c r="C218" s="620">
        <v>622</v>
      </c>
      <c r="D218" s="620">
        <f t="shared" si="6"/>
        <v>888.57142857142856</v>
      </c>
      <c r="E218" s="614">
        <f>E217*(1+IGPDI!D222/100)</f>
        <v>450.08135312772896</v>
      </c>
      <c r="F218" s="615">
        <f t="shared" si="7"/>
        <v>197.42462610293035</v>
      </c>
      <c r="G218" s="621"/>
      <c r="H218" s="619"/>
      <c r="I218" s="622"/>
      <c r="J218" s="623"/>
      <c r="K218" s="619"/>
    </row>
    <row r="219" spans="1:11" ht="15.75" customHeight="1">
      <c r="A219" s="545">
        <f>2012</f>
        <v>2012</v>
      </c>
      <c r="B219" s="546" t="s">
        <v>63</v>
      </c>
      <c r="C219" s="620">
        <v>622</v>
      </c>
      <c r="D219" s="620">
        <f t="shared" si="6"/>
        <v>888.57142857142856</v>
      </c>
      <c r="E219" s="614">
        <f>E218*(1+IGPDI!D223/100)</f>
        <v>455.8983315714483</v>
      </c>
      <c r="F219" s="615">
        <f t="shared" si="7"/>
        <v>194.9056109744003</v>
      </c>
      <c r="G219" s="621"/>
      <c r="H219" s="619"/>
      <c r="I219" s="622"/>
      <c r="J219" s="623"/>
      <c r="K219" s="619"/>
    </row>
    <row r="220" spans="1:11" ht="15.75" customHeight="1">
      <c r="A220" s="545">
        <f>2012</f>
        <v>2012</v>
      </c>
      <c r="B220" s="546" t="s">
        <v>64</v>
      </c>
      <c r="C220" s="620">
        <v>622</v>
      </c>
      <c r="D220" s="620">
        <f t="shared" si="6"/>
        <v>888.57142857142856</v>
      </c>
      <c r="E220" s="614">
        <f>E219*(1+IGPDI!D224/100)</f>
        <v>459.91083329503152</v>
      </c>
      <c r="F220" s="615">
        <f t="shared" si="7"/>
        <v>193.20515287827814</v>
      </c>
      <c r="G220" s="621"/>
      <c r="H220" s="619"/>
      <c r="I220" s="622"/>
      <c r="J220" s="623"/>
      <c r="K220" s="619"/>
    </row>
    <row r="221" spans="1:11" ht="15.75" customHeight="1">
      <c r="A221" s="545">
        <f>2012</f>
        <v>2012</v>
      </c>
      <c r="B221" s="546" t="s">
        <v>65</v>
      </c>
      <c r="C221" s="620">
        <v>622</v>
      </c>
      <c r="D221" s="620">
        <f t="shared" si="6"/>
        <v>888.57142857142856</v>
      </c>
      <c r="E221" s="614">
        <f>E220*(1+IGPDI!D225/100)</f>
        <v>458.46302339476949</v>
      </c>
      <c r="F221" s="615">
        <f t="shared" si="7"/>
        <v>193.81528787029458</v>
      </c>
      <c r="G221" s="621"/>
      <c r="H221" s="619"/>
      <c r="I221" s="622"/>
      <c r="J221" s="623"/>
      <c r="K221" s="619"/>
    </row>
    <row r="222" spans="1:11" ht="15.75" customHeight="1">
      <c r="A222" s="545">
        <f>2012</f>
        <v>2012</v>
      </c>
      <c r="B222" s="546" t="s">
        <v>66</v>
      </c>
      <c r="C222" s="620">
        <v>622</v>
      </c>
      <c r="D222" s="620">
        <f t="shared" si="6"/>
        <v>888.57142857142856</v>
      </c>
      <c r="E222" s="614">
        <f>E221*(1+IGPDI!D226/100)</f>
        <v>459.61207887116791</v>
      </c>
      <c r="F222" s="615">
        <f t="shared" si="7"/>
        <v>193.33073899054349</v>
      </c>
      <c r="G222" s="621"/>
      <c r="H222" s="619"/>
      <c r="I222" s="622"/>
      <c r="J222" s="623"/>
      <c r="K222" s="619"/>
    </row>
    <row r="223" spans="1:11" ht="15.75" customHeight="1">
      <c r="A223" s="545">
        <f>2012</f>
        <v>2012</v>
      </c>
      <c r="B223" s="546" t="s">
        <v>55</v>
      </c>
      <c r="C223" s="620">
        <v>622</v>
      </c>
      <c r="D223" s="620">
        <f t="shared" si="6"/>
        <v>888.57142857142856</v>
      </c>
      <c r="E223" s="614">
        <f>E222*(1+IGPDI!D227/100)</f>
        <v>462.640069862573</v>
      </c>
      <c r="F223" s="615">
        <f t="shared" si="7"/>
        <v>192.06538440031323</v>
      </c>
      <c r="G223" s="621"/>
      <c r="H223" s="619"/>
      <c r="I223" s="622"/>
      <c r="J223" s="623"/>
      <c r="K223" s="619"/>
    </row>
    <row r="224" spans="1:11" ht="15.75" customHeight="1">
      <c r="A224" s="545">
        <f>2013</f>
        <v>2013</v>
      </c>
      <c r="B224" s="546" t="s">
        <v>56</v>
      </c>
      <c r="C224" s="620">
        <v>678</v>
      </c>
      <c r="D224" s="620">
        <f t="shared" si="6"/>
        <v>968.57142857142856</v>
      </c>
      <c r="E224" s="614">
        <f>E223*(1+IGPDI!D228/100)</f>
        <v>464.06214092016359</v>
      </c>
      <c r="F224" s="615">
        <f t="shared" si="7"/>
        <v>208.71589021481066</v>
      </c>
      <c r="G224" s="621"/>
      <c r="H224" s="619"/>
      <c r="I224" s="622"/>
      <c r="J224" s="623"/>
      <c r="K224" s="619"/>
    </row>
    <row r="225" spans="1:12" ht="15.75" customHeight="1">
      <c r="A225" s="545">
        <f>2013</f>
        <v>2013</v>
      </c>
      <c r="B225" s="546" t="s">
        <v>57</v>
      </c>
      <c r="C225" s="620">
        <v>678</v>
      </c>
      <c r="D225" s="620">
        <f t="shared" si="6"/>
        <v>968.57142857142856</v>
      </c>
      <c r="E225" s="614">
        <f>E224*(1+IGPDI!D229/100)</f>
        <v>464.98322379004458</v>
      </c>
      <c r="F225" s="615">
        <f t="shared" si="7"/>
        <v>208.30244598432455</v>
      </c>
      <c r="G225" s="621"/>
      <c r="H225" s="619"/>
      <c r="I225" s="622"/>
      <c r="J225" s="623"/>
      <c r="K225" s="619"/>
    </row>
    <row r="226" spans="1:12" ht="15.75" customHeight="1">
      <c r="A226" s="545">
        <f>2013</f>
        <v>2013</v>
      </c>
      <c r="B226" s="546" t="s">
        <v>58</v>
      </c>
      <c r="C226" s="620">
        <v>678</v>
      </c>
      <c r="D226" s="620">
        <f t="shared" si="6"/>
        <v>968.57142857142856</v>
      </c>
      <c r="E226" s="614">
        <f>E225*(1+IGPDI!D230/100)</f>
        <v>466.40161787011078</v>
      </c>
      <c r="F226" s="615">
        <f t="shared" si="7"/>
        <v>207.66896842994402</v>
      </c>
      <c r="G226" s="621"/>
      <c r="H226" s="619"/>
      <c r="I226" s="622"/>
      <c r="J226" s="623"/>
      <c r="K226" s="619"/>
    </row>
    <row r="227" spans="1:12" ht="15.75" customHeight="1">
      <c r="A227" s="545">
        <f>2013</f>
        <v>2013</v>
      </c>
      <c r="B227" s="546" t="s">
        <v>59</v>
      </c>
      <c r="C227" s="620">
        <v>678</v>
      </c>
      <c r="D227" s="620">
        <f t="shared" si="6"/>
        <v>968.57142857142856</v>
      </c>
      <c r="E227" s="614">
        <f>E226*(1+IGPDI!D231/100)</f>
        <v>466.13687548834855</v>
      </c>
      <c r="F227" s="615">
        <f t="shared" si="7"/>
        <v>207.7869139953161</v>
      </c>
      <c r="G227" s="621"/>
      <c r="H227" s="619"/>
      <c r="I227" s="622"/>
      <c r="J227" s="623"/>
      <c r="K227" s="619"/>
    </row>
    <row r="228" spans="1:12" ht="15.75" customHeight="1">
      <c r="A228" s="545">
        <f>2013</f>
        <v>2013</v>
      </c>
      <c r="B228" s="546" t="s">
        <v>60</v>
      </c>
      <c r="C228" s="620">
        <v>678</v>
      </c>
      <c r="D228" s="620">
        <f t="shared" si="6"/>
        <v>968.57142857142856</v>
      </c>
      <c r="E228" s="614">
        <f>E227*(1+IGPDI!D232/100)</f>
        <v>467.63340534080982</v>
      </c>
      <c r="F228" s="615">
        <f t="shared" si="7"/>
        <v>207.12195012363085</v>
      </c>
      <c r="G228" s="621"/>
      <c r="H228" s="619"/>
      <c r="I228" s="622"/>
      <c r="J228" s="623"/>
      <c r="K228" s="619"/>
    </row>
    <row r="229" spans="1:12" ht="15.75" customHeight="1">
      <c r="A229" s="545">
        <f>2013</f>
        <v>2013</v>
      </c>
      <c r="B229" s="546" t="s">
        <v>61</v>
      </c>
      <c r="C229" s="620">
        <v>678</v>
      </c>
      <c r="D229" s="620">
        <f t="shared" si="6"/>
        <v>968.57142857142856</v>
      </c>
      <c r="E229" s="614">
        <f>E228*(1+IGPDI!D233/100)</f>
        <v>471.20283127269374</v>
      </c>
      <c r="F229" s="615">
        <f t="shared" si="7"/>
        <v>205.5529730064161</v>
      </c>
      <c r="G229" s="621"/>
      <c r="H229" s="619"/>
      <c r="I229" s="622"/>
      <c r="J229" s="623"/>
      <c r="K229" s="619"/>
    </row>
    <row r="230" spans="1:12" ht="15.75" customHeight="1">
      <c r="A230" s="545">
        <f>2013</f>
        <v>2013</v>
      </c>
      <c r="B230" s="546" t="s">
        <v>62</v>
      </c>
      <c r="C230" s="620">
        <v>678</v>
      </c>
      <c r="D230" s="620">
        <f t="shared" si="6"/>
        <v>968.57142857142856</v>
      </c>
      <c r="E230" s="614">
        <f>E229*(1+IGPDI!D234/100)</f>
        <v>471.86009100519368</v>
      </c>
      <c r="F230" s="615">
        <f t="shared" si="7"/>
        <v>205.26665573859003</v>
      </c>
      <c r="G230" s="621"/>
      <c r="H230" s="619"/>
      <c r="I230" s="622"/>
      <c r="J230" s="623"/>
      <c r="K230" s="619"/>
    </row>
    <row r="231" spans="1:12" ht="15.75" customHeight="1">
      <c r="A231" s="545">
        <f>2013</f>
        <v>2013</v>
      </c>
      <c r="B231" s="546" t="s">
        <v>63</v>
      </c>
      <c r="C231" s="620">
        <v>678</v>
      </c>
      <c r="D231" s="620">
        <f t="shared" si="6"/>
        <v>968.57142857142856</v>
      </c>
      <c r="E231" s="614">
        <f>E230*(1+IGPDI!D235/100)</f>
        <v>474.04329641035071</v>
      </c>
      <c r="F231" s="615">
        <f t="shared" si="7"/>
        <v>204.32130058706593</v>
      </c>
      <c r="G231" s="621"/>
      <c r="H231" s="619"/>
      <c r="I231" s="622"/>
      <c r="J231" s="623"/>
      <c r="K231" s="619"/>
    </row>
    <row r="232" spans="1:12" ht="15.75" customHeight="1">
      <c r="A232" s="545">
        <f>2013</f>
        <v>2013</v>
      </c>
      <c r="B232" s="546" t="s">
        <v>64</v>
      </c>
      <c r="C232" s="620">
        <v>678</v>
      </c>
      <c r="D232" s="620">
        <f t="shared" si="6"/>
        <v>968.57142857142856</v>
      </c>
      <c r="E232" s="614">
        <f>E231*(1+IGPDI!D236/100)</f>
        <v>480.47984556694411</v>
      </c>
      <c r="F232" s="615">
        <f t="shared" si="7"/>
        <v>201.58419494756515</v>
      </c>
      <c r="G232" s="621"/>
      <c r="H232" s="619"/>
      <c r="I232" s="622"/>
      <c r="J232" s="623"/>
      <c r="K232" s="619"/>
    </row>
    <row r="233" spans="1:12" ht="15.75" customHeight="1">
      <c r="A233" s="545">
        <f>2013</f>
        <v>2013</v>
      </c>
      <c r="B233" s="546" t="s">
        <v>65</v>
      </c>
      <c r="C233" s="620">
        <v>678</v>
      </c>
      <c r="D233" s="620">
        <f t="shared" si="6"/>
        <v>968.57142857142856</v>
      </c>
      <c r="E233" s="614">
        <f>E232*(1+IGPDI!D237/100)</f>
        <v>483.49129015948898</v>
      </c>
      <c r="F233" s="615">
        <f t="shared" si="7"/>
        <v>200.32861982930996</v>
      </c>
      <c r="G233" s="621"/>
      <c r="H233" s="619"/>
      <c r="I233" s="622"/>
      <c r="J233" s="624"/>
      <c r="K233" s="624"/>
      <c r="L233" s="624"/>
    </row>
    <row r="234" spans="1:12" ht="15.75" customHeight="1">
      <c r="A234" s="545">
        <f>2013</f>
        <v>2013</v>
      </c>
      <c r="B234" s="546" t="s">
        <v>66</v>
      </c>
      <c r="C234" s="620">
        <v>678</v>
      </c>
      <c r="D234" s="620">
        <f t="shared" si="6"/>
        <v>968.57142857142856</v>
      </c>
      <c r="E234" s="614">
        <f>E233*(1+IGPDI!D238/100)</f>
        <v>484.82970997839789</v>
      </c>
      <c r="F234" s="615">
        <f t="shared" si="7"/>
        <v>199.77559308702106</v>
      </c>
      <c r="G234" s="621"/>
      <c r="H234" s="619"/>
      <c r="I234" s="622"/>
      <c r="J234" s="624"/>
      <c r="K234" s="624"/>
      <c r="L234" s="624"/>
    </row>
    <row r="235" spans="1:12" ht="15.75" customHeight="1">
      <c r="A235" s="545">
        <f>2013</f>
        <v>2013</v>
      </c>
      <c r="B235" s="546" t="s">
        <v>55</v>
      </c>
      <c r="C235" s="620">
        <v>678</v>
      </c>
      <c r="D235" s="620">
        <f t="shared" si="6"/>
        <v>968.57142857142856</v>
      </c>
      <c r="E235" s="614">
        <f>E234*(1+IGPDI!D239/100)</f>
        <v>488.17024405938332</v>
      </c>
      <c r="F235" s="615">
        <f t="shared" si="7"/>
        <v>198.40853480074196</v>
      </c>
      <c r="G235" s="621"/>
      <c r="H235" s="625"/>
      <c r="I235" s="622"/>
      <c r="J235" s="624"/>
      <c r="K235" s="624"/>
      <c r="L235" s="624"/>
    </row>
    <row r="236" spans="1:12" ht="15.75" customHeight="1">
      <c r="A236" s="545">
        <f>2014</f>
        <v>2014</v>
      </c>
      <c r="B236" s="546" t="s">
        <v>56</v>
      </c>
      <c r="C236" s="620">
        <v>724</v>
      </c>
      <c r="D236" s="620">
        <f t="shared" si="6"/>
        <v>1034.2857142857142</v>
      </c>
      <c r="E236" s="614">
        <f>E235*(1+IGPDI!D240/100)</f>
        <v>490.13834627935847</v>
      </c>
      <c r="F236" s="615">
        <f t="shared" si="7"/>
        <v>211.01913819577265</v>
      </c>
      <c r="G236" s="621"/>
      <c r="H236" s="626"/>
      <c r="I236" s="622"/>
      <c r="J236" s="624"/>
      <c r="K236" s="624"/>
      <c r="L236" s="624"/>
    </row>
    <row r="237" spans="1:12" ht="15.75" customHeight="1">
      <c r="A237" s="545">
        <f>2014</f>
        <v>2014</v>
      </c>
      <c r="B237" s="546" t="s">
        <v>57</v>
      </c>
      <c r="C237" s="620">
        <v>724</v>
      </c>
      <c r="D237" s="620">
        <f t="shared" si="6"/>
        <v>1034.2857142857142</v>
      </c>
      <c r="E237" s="614">
        <f>E236*(1+IGPDI!D241/100)</f>
        <v>494.28046146067936</v>
      </c>
      <c r="F237" s="615">
        <f t="shared" si="7"/>
        <v>209.25077864280357</v>
      </c>
      <c r="G237" s="621"/>
      <c r="H237" s="626"/>
      <c r="I237" s="622"/>
      <c r="J237" s="624"/>
      <c r="K237" s="624"/>
      <c r="L237" s="624"/>
    </row>
    <row r="238" spans="1:12" ht="15.75" customHeight="1">
      <c r="A238" s="545">
        <f>2014</f>
        <v>2014</v>
      </c>
      <c r="B238" s="546" t="s">
        <v>58</v>
      </c>
      <c r="C238" s="620">
        <v>724</v>
      </c>
      <c r="D238" s="620">
        <f t="shared" si="6"/>
        <v>1034.2857142857142</v>
      </c>
      <c r="E238" s="614">
        <f>E237*(1+IGPDI!D242/100)</f>
        <v>501.61695086638787</v>
      </c>
      <c r="F238" s="615">
        <f t="shared" si="7"/>
        <v>206.19034354786177</v>
      </c>
      <c r="G238" s="621"/>
      <c r="H238" s="626"/>
      <c r="I238" s="622"/>
      <c r="J238" s="624"/>
      <c r="K238" s="624"/>
      <c r="L238" s="624"/>
    </row>
    <row r="239" spans="1:12" ht="15.75" customHeight="1">
      <c r="A239" s="545">
        <f>2014</f>
        <v>2014</v>
      </c>
      <c r="B239" s="546" t="s">
        <v>59</v>
      </c>
      <c r="C239" s="620">
        <v>724</v>
      </c>
      <c r="D239" s="620">
        <f t="shared" si="6"/>
        <v>1034.2857142857142</v>
      </c>
      <c r="E239" s="614">
        <f>E238*(1+IGPDI!D243/100)</f>
        <v>503.87921128832107</v>
      </c>
      <c r="F239" s="615">
        <f t="shared" si="7"/>
        <v>205.26461324753743</v>
      </c>
      <c r="G239" s="621"/>
      <c r="H239" s="626"/>
      <c r="I239" s="622"/>
      <c r="J239" s="624"/>
      <c r="K239" s="624"/>
      <c r="L239" s="624"/>
    </row>
    <row r="240" spans="1:12" ht="15.75" customHeight="1">
      <c r="A240" s="545">
        <f>2014</f>
        <v>2014</v>
      </c>
      <c r="B240" s="546" t="s">
        <v>60</v>
      </c>
      <c r="C240" s="620">
        <v>724</v>
      </c>
      <c r="D240" s="620">
        <f t="shared" si="6"/>
        <v>1034.2857142857142</v>
      </c>
      <c r="E240" s="614">
        <f>E239*(1+IGPDI!D244/100)</f>
        <v>501.58753504619216</v>
      </c>
      <c r="F240" s="615">
        <f t="shared" si="7"/>
        <v>206.20243567066811</v>
      </c>
      <c r="G240" s="621"/>
      <c r="H240" s="626"/>
      <c r="I240" s="622"/>
      <c r="J240" s="624"/>
      <c r="K240" s="624"/>
      <c r="L240" s="624"/>
    </row>
    <row r="241" spans="1:12" ht="15.75" customHeight="1">
      <c r="A241" s="545">
        <f>2014</f>
        <v>2014</v>
      </c>
      <c r="B241" s="546" t="s">
        <v>61</v>
      </c>
      <c r="C241" s="620">
        <v>724</v>
      </c>
      <c r="D241" s="620">
        <f t="shared" si="6"/>
        <v>1034.2857142857142</v>
      </c>
      <c r="E241" s="614">
        <f>E240*(1+IGPDI!D245/100)</f>
        <v>498.40878797628358</v>
      </c>
      <c r="F241" s="615">
        <f t="shared" si="7"/>
        <v>207.51755170394989</v>
      </c>
      <c r="G241" s="621"/>
      <c r="H241" s="626"/>
      <c r="I241" s="622"/>
      <c r="J241" s="624"/>
      <c r="K241" s="624"/>
      <c r="L241" s="624"/>
    </row>
    <row r="242" spans="1:12" ht="15.75" customHeight="1">
      <c r="A242" s="545">
        <f>2014</f>
        <v>2014</v>
      </c>
      <c r="B242" s="546" t="s">
        <v>62</v>
      </c>
      <c r="C242" s="620">
        <v>724</v>
      </c>
      <c r="D242" s="620">
        <f t="shared" si="6"/>
        <v>1034.2857142857142</v>
      </c>
      <c r="E242" s="614">
        <f>E241*(1+IGPDI!D246/100)</f>
        <v>495.66576274302543</v>
      </c>
      <c r="F242" s="615">
        <f t="shared" si="7"/>
        <v>208.66595839945731</v>
      </c>
      <c r="G242" s="627"/>
      <c r="H242" s="626"/>
      <c r="I242" s="622"/>
      <c r="J242" s="624"/>
      <c r="K242" s="624"/>
      <c r="L242" s="624"/>
    </row>
    <row r="243" spans="1:12" ht="15.75" customHeight="1">
      <c r="A243" s="545">
        <f>2014</f>
        <v>2014</v>
      </c>
      <c r="B243" s="546" t="s">
        <v>63</v>
      </c>
      <c r="C243" s="620">
        <v>724</v>
      </c>
      <c r="D243" s="620">
        <f t="shared" si="6"/>
        <v>1034.2857142857142</v>
      </c>
      <c r="E243" s="614">
        <f>E242*(1+IGPDI!D247/100)</f>
        <v>495.97830583260566</v>
      </c>
      <c r="F243" s="615">
        <f t="shared" si="7"/>
        <v>208.53446655281513</v>
      </c>
      <c r="G243" s="627"/>
      <c r="H243" s="626"/>
      <c r="I243" s="622"/>
      <c r="J243" s="624"/>
      <c r="K243" s="624"/>
      <c r="L243" s="624"/>
    </row>
    <row r="244" spans="1:12" ht="15.75" customHeight="1">
      <c r="A244" s="545">
        <f>2014</f>
        <v>2014</v>
      </c>
      <c r="B244" s="546" t="s">
        <v>64</v>
      </c>
      <c r="C244" s="620">
        <v>724</v>
      </c>
      <c r="D244" s="620">
        <f t="shared" si="6"/>
        <v>1034.2857142857142</v>
      </c>
      <c r="E244" s="614">
        <f>E243*(1+IGPDI!D248/100)</f>
        <v>496.06931102633644</v>
      </c>
      <c r="F244" s="615">
        <f t="shared" si="7"/>
        <v>208.49621036742661</v>
      </c>
      <c r="G244" s="627"/>
      <c r="H244" s="626"/>
      <c r="I244" s="622"/>
      <c r="J244" s="624"/>
      <c r="K244" s="624"/>
      <c r="L244" s="624"/>
    </row>
    <row r="245" spans="1:12" ht="15.75" customHeight="1">
      <c r="A245" s="545">
        <f>2014</f>
        <v>2014</v>
      </c>
      <c r="B245" s="546" t="s">
        <v>65</v>
      </c>
      <c r="C245" s="620">
        <v>724</v>
      </c>
      <c r="D245" s="620">
        <f t="shared" si="6"/>
        <v>1034.2857142857142</v>
      </c>
      <c r="E245" s="614">
        <f>E244*(1+IGPDI!D249/100)</f>
        <v>499.01457002344074</v>
      </c>
      <c r="F245" s="615">
        <f t="shared" si="7"/>
        <v>207.26563439563088</v>
      </c>
      <c r="G245" s="627"/>
      <c r="H245" s="626"/>
      <c r="I245" s="622"/>
      <c r="J245" s="624"/>
      <c r="K245" s="624"/>
      <c r="L245" s="624"/>
    </row>
    <row r="246" spans="1:12" ht="15.75" customHeight="1">
      <c r="A246" s="545">
        <f>2014</f>
        <v>2014</v>
      </c>
      <c r="B246" s="546" t="s">
        <v>66</v>
      </c>
      <c r="C246" s="620">
        <v>724</v>
      </c>
      <c r="D246" s="620">
        <f t="shared" si="6"/>
        <v>1034.2857142857142</v>
      </c>
      <c r="E246" s="614">
        <f>E245*(1+IGPDI!D250/100)</f>
        <v>504.70193500942224</v>
      </c>
      <c r="F246" s="615">
        <f t="shared" si="7"/>
        <v>204.93000770175473</v>
      </c>
      <c r="G246" s="627"/>
      <c r="H246" s="626"/>
      <c r="I246" s="622"/>
      <c r="J246" s="624"/>
      <c r="K246" s="624"/>
      <c r="L246" s="624"/>
    </row>
    <row r="247" spans="1:12" ht="15.75" customHeight="1">
      <c r="A247" s="545">
        <f>2014</f>
        <v>2014</v>
      </c>
      <c r="B247" s="546" t="s">
        <v>55</v>
      </c>
      <c r="C247" s="620">
        <v>724</v>
      </c>
      <c r="D247" s="620">
        <f t="shared" si="6"/>
        <v>1034.2857142857142</v>
      </c>
      <c r="E247" s="614">
        <f>E246*(1+IGPDI!D251/100)</f>
        <v>506.64062140920163</v>
      </c>
      <c r="F247" s="615">
        <f t="shared" si="7"/>
        <v>204.14583248553734</v>
      </c>
      <c r="G247" s="627"/>
      <c r="H247" s="626"/>
      <c r="I247" s="622"/>
      <c r="J247" s="624"/>
      <c r="K247" s="624"/>
      <c r="L247" s="624"/>
    </row>
    <row r="248" spans="1:12" ht="15.75" customHeight="1">
      <c r="A248" s="545">
        <f>2015</f>
        <v>2015</v>
      </c>
      <c r="B248" s="546" t="s">
        <v>56</v>
      </c>
      <c r="C248" s="620">
        <v>788</v>
      </c>
      <c r="D248" s="620">
        <f t="shared" si="6"/>
        <v>1125.7142857142858</v>
      </c>
      <c r="E248" s="614">
        <f>E247*(1+IGPDI!D252/100)</f>
        <v>510.02895619800529</v>
      </c>
      <c r="F248" s="615">
        <f t="shared" si="7"/>
        <v>220.7157597689918</v>
      </c>
      <c r="G248" s="627"/>
      <c r="H248" s="626"/>
      <c r="I248" s="622"/>
      <c r="J248" s="624"/>
      <c r="K248" s="624"/>
      <c r="L248" s="624"/>
    </row>
    <row r="249" spans="1:12" ht="15.75" customHeight="1">
      <c r="A249" s="545">
        <f>2015</f>
        <v>2015</v>
      </c>
      <c r="B249" s="546" t="s">
        <v>57</v>
      </c>
      <c r="C249" s="620">
        <v>788</v>
      </c>
      <c r="D249" s="620">
        <f t="shared" si="6"/>
        <v>1125.7142857142858</v>
      </c>
      <c r="E249" s="614">
        <f>E248*(1+IGPDI!D253/100)</f>
        <v>512.75727352116564</v>
      </c>
      <c r="F249" s="615">
        <f t="shared" si="7"/>
        <v>219.54135881561874</v>
      </c>
      <c r="G249" s="627"/>
      <c r="H249" s="626"/>
      <c r="I249" s="622"/>
      <c r="J249" s="624"/>
      <c r="K249" s="624"/>
      <c r="L249" s="624"/>
    </row>
    <row r="250" spans="1:12" ht="15.75" customHeight="1">
      <c r="A250" s="545">
        <f>2015</f>
        <v>2015</v>
      </c>
      <c r="B250" s="546" t="s">
        <v>58</v>
      </c>
      <c r="C250" s="620">
        <v>788</v>
      </c>
      <c r="D250" s="620">
        <f t="shared" si="6"/>
        <v>1125.7142857142858</v>
      </c>
      <c r="E250" s="614">
        <f>E249*(1+IGPDI!D254/100)</f>
        <v>518.97596175943374</v>
      </c>
      <c r="F250" s="615">
        <f t="shared" si="7"/>
        <v>216.91067961951188</v>
      </c>
      <c r="G250" s="627"/>
      <c r="H250" s="626"/>
      <c r="I250" s="622"/>
      <c r="J250" s="624"/>
      <c r="K250" s="624"/>
      <c r="L250" s="624"/>
    </row>
    <row r="251" spans="1:12" ht="15.75" customHeight="1">
      <c r="A251" s="545">
        <f>2015</f>
        <v>2015</v>
      </c>
      <c r="B251" s="546" t="s">
        <v>59</v>
      </c>
      <c r="C251" s="620">
        <v>788</v>
      </c>
      <c r="D251" s="620">
        <f t="shared" si="6"/>
        <v>1125.7142857142858</v>
      </c>
      <c r="E251" s="614">
        <f>E250*(1+IGPDI!D255/100)</f>
        <v>523.72845520981753</v>
      </c>
      <c r="F251" s="615">
        <f t="shared" si="7"/>
        <v>214.94235696307527</v>
      </c>
      <c r="G251" s="627"/>
      <c r="H251" s="626"/>
      <c r="I251" s="622"/>
      <c r="J251" s="624"/>
      <c r="K251" s="624"/>
      <c r="L251" s="624"/>
    </row>
    <row r="252" spans="1:12" ht="15.75" customHeight="1">
      <c r="A252" s="545">
        <f>2015</f>
        <v>2015</v>
      </c>
      <c r="B252" s="546" t="s">
        <v>60</v>
      </c>
      <c r="C252" s="620">
        <v>788</v>
      </c>
      <c r="D252" s="620">
        <f t="shared" si="6"/>
        <v>1125.7142857142858</v>
      </c>
      <c r="E252" s="614">
        <f>E251*(1+IGPDI!D256/100)</f>
        <v>525.83904030886606</v>
      </c>
      <c r="F252" s="615">
        <f t="shared" si="7"/>
        <v>214.07963262922937</v>
      </c>
      <c r="G252" s="627"/>
      <c r="H252" s="626"/>
      <c r="I252" s="622"/>
      <c r="J252" s="624"/>
      <c r="K252" s="624"/>
      <c r="L252" s="624"/>
    </row>
    <row r="253" spans="1:12" ht="15.75" customHeight="1">
      <c r="A253" s="545">
        <f>2015</f>
        <v>2015</v>
      </c>
      <c r="B253" s="546" t="s">
        <v>61</v>
      </c>
      <c r="C253" s="620">
        <v>788</v>
      </c>
      <c r="D253" s="620">
        <f t="shared" si="6"/>
        <v>1125.7142857142858</v>
      </c>
      <c r="E253" s="614">
        <f>E252*(1+IGPDI!D257/100)</f>
        <v>529.42777037275346</v>
      </c>
      <c r="F253" s="615">
        <f t="shared" si="7"/>
        <v>212.62849225338252</v>
      </c>
      <c r="G253" s="627"/>
      <c r="H253" s="626"/>
      <c r="I253" s="622"/>
      <c r="J253" s="624"/>
      <c r="K253" s="624"/>
      <c r="L253" s="624"/>
    </row>
    <row r="254" spans="1:12" ht="15.75" customHeight="1">
      <c r="A254" s="545">
        <f>2015</f>
        <v>2015</v>
      </c>
      <c r="B254" s="546" t="s">
        <v>62</v>
      </c>
      <c r="C254" s="620">
        <v>788</v>
      </c>
      <c r="D254" s="620">
        <f t="shared" si="6"/>
        <v>1125.7142857142858</v>
      </c>
      <c r="E254" s="614">
        <f>E253*(1+IGPDI!D258/100)</f>
        <v>532.51183527140677</v>
      </c>
      <c r="F254" s="615">
        <f t="shared" si="7"/>
        <v>211.3970453145966</v>
      </c>
      <c r="G254" s="627"/>
      <c r="H254" s="626"/>
      <c r="I254" s="622"/>
      <c r="J254" s="624"/>
      <c r="K254" s="624"/>
      <c r="L254" s="624"/>
    </row>
    <row r="255" spans="1:12" ht="15.75" customHeight="1">
      <c r="A255" s="545">
        <f>2015</f>
        <v>2015</v>
      </c>
      <c r="B255" s="546" t="s">
        <v>63</v>
      </c>
      <c r="C255" s="620">
        <v>788</v>
      </c>
      <c r="D255" s="620">
        <f t="shared" si="6"/>
        <v>1125.7142857142858</v>
      </c>
      <c r="E255" s="614">
        <f>E254*(1+IGPDI!D259/100)</f>
        <v>534.64907845750781</v>
      </c>
      <c r="F255" s="615">
        <f t="shared" si="7"/>
        <v>210.5519921519427</v>
      </c>
      <c r="G255" s="627"/>
      <c r="H255" s="626"/>
      <c r="I255" s="622"/>
      <c r="J255" s="624"/>
      <c r="K255" s="624"/>
      <c r="L255" s="624"/>
    </row>
    <row r="256" spans="1:12" ht="15.75" customHeight="1">
      <c r="A256" s="545">
        <f>2015</f>
        <v>2015</v>
      </c>
      <c r="B256" s="546" t="s">
        <v>64</v>
      </c>
      <c r="C256" s="620">
        <v>788</v>
      </c>
      <c r="D256" s="620">
        <f t="shared" si="6"/>
        <v>1125.7142857142858</v>
      </c>
      <c r="E256" s="614">
        <f>E255*(1+IGPDI!D260/100)</f>
        <v>542.25950268878978</v>
      </c>
      <c r="F256" s="615">
        <f t="shared" si="7"/>
        <v>207.59696789681689</v>
      </c>
      <c r="G256" s="627"/>
      <c r="H256" s="626"/>
      <c r="I256" s="622"/>
      <c r="J256" s="624"/>
      <c r="K256" s="624"/>
      <c r="L256" s="624"/>
    </row>
    <row r="257" spans="1:12" ht="15.75" customHeight="1">
      <c r="A257" s="545">
        <f>2015</f>
        <v>2015</v>
      </c>
      <c r="B257" s="546" t="s">
        <v>65</v>
      </c>
      <c r="C257" s="620">
        <v>788</v>
      </c>
      <c r="D257" s="620">
        <f t="shared" si="6"/>
        <v>1125.7142857142858</v>
      </c>
      <c r="E257" s="614">
        <f>E256*(1+IGPDI!D261/100)</f>
        <v>551.79390540975317</v>
      </c>
      <c r="F257" s="615">
        <f t="shared" si="7"/>
        <v>204.00991650648058</v>
      </c>
      <c r="G257" s="627"/>
      <c r="H257" s="626"/>
      <c r="I257" s="622"/>
      <c r="J257" s="624"/>
      <c r="K257" s="624"/>
      <c r="L257" s="624"/>
    </row>
    <row r="258" spans="1:12" ht="15.75" customHeight="1">
      <c r="A258" s="545">
        <f>2015</f>
        <v>2015</v>
      </c>
      <c r="B258" s="546" t="s">
        <v>66</v>
      </c>
      <c r="C258" s="620">
        <v>788</v>
      </c>
      <c r="D258" s="620">
        <f t="shared" si="6"/>
        <v>1125.7142857142858</v>
      </c>
      <c r="E258" s="614">
        <f>E257*(1+IGPDI!D262/100)</f>
        <v>558.38672611113657</v>
      </c>
      <c r="F258" s="615">
        <f t="shared" si="7"/>
        <v>201.60119019201633</v>
      </c>
      <c r="G258" s="627"/>
      <c r="H258" s="626"/>
      <c r="I258" s="622"/>
      <c r="J258" s="624"/>
      <c r="K258" s="624"/>
      <c r="L258" s="624"/>
    </row>
    <row r="259" spans="1:12" ht="15.75" customHeight="1">
      <c r="A259" s="545">
        <f>2015</f>
        <v>2015</v>
      </c>
      <c r="B259" s="546" t="s">
        <v>55</v>
      </c>
      <c r="C259" s="620">
        <v>788</v>
      </c>
      <c r="D259" s="620">
        <f t="shared" si="6"/>
        <v>1125.7142857142858</v>
      </c>
      <c r="E259" s="614">
        <f>E258*(1+IGPDI!D263/100)</f>
        <v>560.85673576320255</v>
      </c>
      <c r="F259" s="615">
        <f t="shared" si="7"/>
        <v>200.71333977694616</v>
      </c>
      <c r="G259" s="627"/>
      <c r="H259" s="626"/>
      <c r="I259" s="622"/>
      <c r="J259" s="624"/>
      <c r="K259" s="624"/>
      <c r="L259" s="624"/>
    </row>
    <row r="260" spans="1:12" ht="15.75" customHeight="1">
      <c r="A260" s="545">
        <f>2016</f>
        <v>2016</v>
      </c>
      <c r="B260" s="546" t="s">
        <v>56</v>
      </c>
      <c r="C260" s="620">
        <v>880</v>
      </c>
      <c r="D260" s="620">
        <f t="shared" si="6"/>
        <v>1257.1428571428571</v>
      </c>
      <c r="E260" s="614">
        <f>E259*(1+IGPDI!D264/100)</f>
        <v>569.4498322379003</v>
      </c>
      <c r="F260" s="615">
        <f t="shared" si="7"/>
        <v>220.76446176169173</v>
      </c>
      <c r="G260" s="627"/>
      <c r="H260" s="626"/>
      <c r="I260" s="622"/>
      <c r="J260" s="624"/>
      <c r="K260" s="624"/>
      <c r="L260" s="624"/>
    </row>
    <row r="261" spans="1:12" ht="15.75" customHeight="1">
      <c r="A261" s="545">
        <f>2016</f>
        <v>2016</v>
      </c>
      <c r="B261" s="546" t="s">
        <v>57</v>
      </c>
      <c r="C261" s="620">
        <v>880</v>
      </c>
      <c r="D261" s="620">
        <f t="shared" si="6"/>
        <v>1257.1428571428571</v>
      </c>
      <c r="E261" s="614">
        <f>E260*(1+IGPDI!D265/100)</f>
        <v>573.94493726157077</v>
      </c>
      <c r="F261" s="615">
        <f t="shared" si="7"/>
        <v>219.03544669998968</v>
      </c>
      <c r="G261" s="627"/>
      <c r="H261" s="626"/>
      <c r="I261" s="622"/>
      <c r="J261" s="624"/>
      <c r="K261" s="624"/>
      <c r="L261" s="624"/>
    </row>
    <row r="262" spans="1:12" ht="15.75" customHeight="1">
      <c r="A262" s="545">
        <f>2016</f>
        <v>2016</v>
      </c>
      <c r="B262" s="546" t="s">
        <v>58</v>
      </c>
      <c r="C262" s="620">
        <v>880</v>
      </c>
      <c r="D262" s="620">
        <f t="shared" si="6"/>
        <v>1257.1428571428571</v>
      </c>
      <c r="E262" s="614">
        <f>E261*(1+IGPDI!D266/100)</f>
        <v>576.42138162430456</v>
      </c>
      <c r="F262" s="615">
        <f t="shared" si="7"/>
        <v>218.09441794132263</v>
      </c>
      <c r="G262" s="627"/>
      <c r="H262" s="626"/>
      <c r="I262" s="622"/>
      <c r="J262" s="624"/>
      <c r="K262" s="624"/>
      <c r="L262" s="624"/>
    </row>
    <row r="263" spans="1:12" ht="15.75" customHeight="1">
      <c r="A263" s="545">
        <f>2016</f>
        <v>2016</v>
      </c>
      <c r="B263" s="546" t="s">
        <v>59</v>
      </c>
      <c r="C263" s="620">
        <v>880</v>
      </c>
      <c r="D263" s="620">
        <f t="shared" si="6"/>
        <v>1257.1428571428571</v>
      </c>
      <c r="E263" s="614">
        <f>E262*(1+IGPDI!D267/100)</f>
        <v>578.52185503516091</v>
      </c>
      <c r="F263" s="615">
        <f t="shared" si="7"/>
        <v>217.30256967845261</v>
      </c>
      <c r="G263" s="627"/>
      <c r="H263" s="626"/>
      <c r="I263" s="622"/>
      <c r="J263" s="624"/>
      <c r="K263" s="624"/>
      <c r="L263" s="624"/>
    </row>
    <row r="264" spans="1:12" ht="15.75" customHeight="1">
      <c r="A264" s="545">
        <f>2016</f>
        <v>2016</v>
      </c>
      <c r="B264" s="546" t="s">
        <v>60</v>
      </c>
      <c r="C264" s="620">
        <v>880</v>
      </c>
      <c r="D264" s="620">
        <f t="shared" si="6"/>
        <v>1257.1428571428571</v>
      </c>
      <c r="E264" s="614">
        <f>E263*(1+IGPDI!D268/100)</f>
        <v>585.06963276186957</v>
      </c>
      <c r="F264" s="615">
        <f t="shared" si="7"/>
        <v>214.8706387662628</v>
      </c>
      <c r="G264" s="627"/>
      <c r="H264" s="626"/>
      <c r="I264" s="622"/>
      <c r="J264" s="624"/>
      <c r="K264" s="624"/>
      <c r="L264" s="624"/>
    </row>
    <row r="265" spans="1:12" ht="15.75" customHeight="1">
      <c r="A265" s="545">
        <f>2016</f>
        <v>2016</v>
      </c>
      <c r="B265" s="546" t="s">
        <v>61</v>
      </c>
      <c r="C265" s="620">
        <v>880</v>
      </c>
      <c r="D265" s="620">
        <f t="shared" ref="D265:D328" si="8">100*C265/C$8</f>
        <v>1257.1428571428571</v>
      </c>
      <c r="E265" s="614">
        <f>E264*(1+IGPDI!D269/100)</f>
        <v>594.62977432550429</v>
      </c>
      <c r="F265" s="615">
        <f t="shared" si="7"/>
        <v>211.41606280459962</v>
      </c>
      <c r="G265" s="627"/>
      <c r="H265" s="626"/>
      <c r="I265" s="622"/>
      <c r="J265" s="624"/>
      <c r="K265" s="624"/>
      <c r="L265" s="624"/>
    </row>
    <row r="266" spans="1:12" ht="15.75" customHeight="1">
      <c r="A266" s="545">
        <f>2016</f>
        <v>2016</v>
      </c>
      <c r="B266" s="546" t="s">
        <v>62</v>
      </c>
      <c r="C266" s="620">
        <v>880</v>
      </c>
      <c r="D266" s="620">
        <f t="shared" si="8"/>
        <v>1257.1428571428571</v>
      </c>
      <c r="E266" s="614">
        <f>E265*(1+IGPDI!D270/100)</f>
        <v>592.32063244013398</v>
      </c>
      <c r="F266" s="615">
        <f t="shared" ref="F266:F329" si="9">+D266*E$8/E266</f>
        <v>212.24026115111175</v>
      </c>
      <c r="G266" s="627"/>
      <c r="H266" s="626"/>
      <c r="I266" s="622"/>
      <c r="J266" s="624"/>
      <c r="K266" s="624"/>
      <c r="L266" s="624"/>
    </row>
    <row r="267" spans="1:12" ht="15.75" customHeight="1">
      <c r="A267" s="545">
        <f>2016</f>
        <v>2016</v>
      </c>
      <c r="B267" s="546" t="s">
        <v>63</v>
      </c>
      <c r="C267" s="620">
        <v>880</v>
      </c>
      <c r="D267" s="620">
        <f t="shared" si="8"/>
        <v>1257.1428571428571</v>
      </c>
      <c r="E267" s="614">
        <f>E266*(1+IGPDI!D271/100)</f>
        <v>594.89175897412304</v>
      </c>
      <c r="F267" s="615">
        <f t="shared" si="9"/>
        <v>211.32295718985426</v>
      </c>
      <c r="G267" s="627"/>
      <c r="H267" s="626"/>
      <c r="I267" s="622"/>
      <c r="J267" s="624"/>
      <c r="K267" s="624"/>
      <c r="L267" s="624"/>
    </row>
    <row r="268" spans="1:12" ht="15.75" customHeight="1">
      <c r="A268" s="545">
        <f>2016</f>
        <v>2016</v>
      </c>
      <c r="B268" s="546" t="s">
        <v>64</v>
      </c>
      <c r="C268" s="620">
        <v>880</v>
      </c>
      <c r="D268" s="620">
        <f t="shared" si="8"/>
        <v>1257.1428571428571</v>
      </c>
      <c r="E268" s="614">
        <f>E267*(1+IGPDI!D272/100)</f>
        <v>595.08204256101453</v>
      </c>
      <c r="F268" s="615">
        <f t="shared" si="9"/>
        <v>211.25538450674398</v>
      </c>
      <c r="G268" s="627"/>
      <c r="H268" s="626"/>
      <c r="I268" s="622"/>
      <c r="J268" s="624"/>
      <c r="K268" s="624"/>
      <c r="L268" s="624"/>
    </row>
    <row r="269" spans="1:12" ht="15.75" customHeight="1">
      <c r="A269" s="545">
        <f>2016</f>
        <v>2016</v>
      </c>
      <c r="B269" s="546" t="s">
        <v>65</v>
      </c>
      <c r="C269" s="620">
        <v>880</v>
      </c>
      <c r="D269" s="620">
        <f t="shared" si="8"/>
        <v>1257.1428571428571</v>
      </c>
      <c r="E269" s="614">
        <f>E268*(1+IGPDI!D273/100)</f>
        <v>595.86615801810865</v>
      </c>
      <c r="F269" s="615">
        <f t="shared" si="9"/>
        <v>210.97738816451664</v>
      </c>
      <c r="G269" s="627"/>
      <c r="H269" s="626"/>
      <c r="I269" s="622"/>
      <c r="J269" s="624"/>
      <c r="K269" s="624"/>
      <c r="L269" s="624"/>
    </row>
    <row r="270" spans="1:12" ht="15.75" customHeight="1">
      <c r="A270" s="545">
        <f>2016</f>
        <v>2016</v>
      </c>
      <c r="B270" s="546" t="s">
        <v>66</v>
      </c>
      <c r="C270" s="620">
        <v>880</v>
      </c>
      <c r="D270" s="620">
        <f t="shared" si="8"/>
        <v>1257.1428571428571</v>
      </c>
      <c r="E270" s="614">
        <f>E269*(1+IGPDI!D274/100)</f>
        <v>596.18605506273798</v>
      </c>
      <c r="F270" s="615">
        <f t="shared" si="9"/>
        <v>210.86418349898594</v>
      </c>
      <c r="G270" s="627"/>
      <c r="H270" s="626"/>
      <c r="I270" s="622"/>
      <c r="J270" s="624"/>
      <c r="K270" s="624"/>
      <c r="L270" s="624"/>
    </row>
    <row r="271" spans="1:12" ht="15.75" customHeight="1">
      <c r="A271" s="545">
        <f>2016</f>
        <v>2016</v>
      </c>
      <c r="B271" s="546" t="s">
        <v>55</v>
      </c>
      <c r="C271" s="620">
        <v>880</v>
      </c>
      <c r="D271" s="620">
        <f t="shared" si="8"/>
        <v>1257.1428571428571</v>
      </c>
      <c r="E271" s="614">
        <f>E270*(1+IGPDI!D275/100)</f>
        <v>601.14078227696791</v>
      </c>
      <c r="F271" s="615">
        <f t="shared" si="9"/>
        <v>209.12619709165642</v>
      </c>
      <c r="G271" s="627"/>
      <c r="H271" s="626"/>
      <c r="I271" s="622"/>
      <c r="J271" s="624"/>
      <c r="K271" s="624"/>
      <c r="L271" s="624"/>
    </row>
    <row r="272" spans="1:12" ht="15.75" customHeight="1">
      <c r="A272" s="545">
        <f>2017</f>
        <v>2017</v>
      </c>
      <c r="B272" s="546" t="s">
        <v>56</v>
      </c>
      <c r="C272" s="620">
        <v>937</v>
      </c>
      <c r="D272" s="620">
        <f t="shared" si="8"/>
        <v>1338.5714285714287</v>
      </c>
      <c r="E272" s="614">
        <f>E271*(1+IGPDI!D276/100)</f>
        <v>603.73948614239055</v>
      </c>
      <c r="F272" s="615">
        <f t="shared" si="9"/>
        <v>221.71341436093013</v>
      </c>
      <c r="G272" s="627"/>
      <c r="H272" s="626"/>
      <c r="I272" s="622"/>
      <c r="J272" s="624"/>
      <c r="K272" s="624"/>
      <c r="L272" s="624"/>
    </row>
    <row r="273" spans="1:12" ht="15.75" customHeight="1">
      <c r="A273" s="545">
        <f>2017</f>
        <v>2017</v>
      </c>
      <c r="B273" s="546" t="s">
        <v>57</v>
      </c>
      <c r="C273" s="620">
        <v>937</v>
      </c>
      <c r="D273" s="620">
        <f t="shared" si="8"/>
        <v>1338.5714285714287</v>
      </c>
      <c r="E273" s="614">
        <f>E272*(1+IGPDI!D277/100)</f>
        <v>604.1191340717927</v>
      </c>
      <c r="F273" s="615">
        <f t="shared" si="9"/>
        <v>221.57408250743381</v>
      </c>
      <c r="G273" s="627"/>
      <c r="H273" s="626"/>
      <c r="I273" s="622"/>
      <c r="J273" s="624"/>
      <c r="K273" s="624"/>
      <c r="L273" s="624"/>
    </row>
    <row r="274" spans="1:12" ht="15.75" customHeight="1">
      <c r="A274" s="545">
        <f>2017</f>
        <v>2017</v>
      </c>
      <c r="B274" s="546" t="s">
        <v>58</v>
      </c>
      <c r="C274" s="620">
        <v>937</v>
      </c>
      <c r="D274" s="620">
        <f t="shared" si="8"/>
        <v>1338.5714285714287</v>
      </c>
      <c r="E274" s="614">
        <f>E273*(1+IGPDI!D278/100)</f>
        <v>601.83756951785597</v>
      </c>
      <c r="F274" s="615">
        <f t="shared" si="9"/>
        <v>222.41406923861283</v>
      </c>
      <c r="G274" s="627"/>
      <c r="H274" s="626"/>
      <c r="I274" s="622"/>
      <c r="J274" s="624"/>
      <c r="K274" s="624"/>
      <c r="L274" s="624"/>
    </row>
    <row r="275" spans="1:12" ht="15.75" customHeight="1">
      <c r="A275" s="545">
        <f>2017</f>
        <v>2017</v>
      </c>
      <c r="B275" s="546" t="s">
        <v>59</v>
      </c>
      <c r="C275" s="620">
        <v>937</v>
      </c>
      <c r="D275" s="620">
        <f t="shared" si="8"/>
        <v>1338.5714285714287</v>
      </c>
      <c r="E275" s="614">
        <f>E274*(1+IGPDI!D279/100)</f>
        <v>594.35859723307408</v>
      </c>
      <c r="F275" s="615">
        <f t="shared" si="9"/>
        <v>225.2127646176734</v>
      </c>
      <c r="G275" s="627"/>
      <c r="H275" s="626"/>
      <c r="I275" s="622"/>
      <c r="J275" s="624"/>
      <c r="K275" s="624"/>
      <c r="L275" s="624"/>
    </row>
    <row r="276" spans="1:12" ht="15.75" customHeight="1">
      <c r="A276" s="545">
        <f>2017</f>
        <v>2017</v>
      </c>
      <c r="B276" s="546" t="s">
        <v>60</v>
      </c>
      <c r="C276" s="620">
        <v>937</v>
      </c>
      <c r="D276" s="620">
        <f t="shared" si="8"/>
        <v>1338.5714285714287</v>
      </c>
      <c r="E276" s="614">
        <f>E275*(1+IGPDI!D280/100)</f>
        <v>591.31314059842782</v>
      </c>
      <c r="F276" s="615">
        <f t="shared" si="9"/>
        <v>226.37268422899439</v>
      </c>
      <c r="G276" s="627"/>
      <c r="H276" s="626"/>
      <c r="I276" s="622"/>
      <c r="J276" s="624"/>
      <c r="K276" s="624"/>
      <c r="L276" s="624"/>
    </row>
    <row r="277" spans="1:12" ht="15.75" customHeight="1">
      <c r="A277" s="545">
        <f>2017</f>
        <v>2017</v>
      </c>
      <c r="B277" s="546" t="s">
        <v>61</v>
      </c>
      <c r="C277" s="620">
        <v>937</v>
      </c>
      <c r="D277" s="620">
        <f t="shared" si="8"/>
        <v>1338.5714285714287</v>
      </c>
      <c r="E277" s="614">
        <f>E276*(1+IGPDI!D281/100)</f>
        <v>585.63129107873294</v>
      </c>
      <c r="F277" s="615">
        <f t="shared" si="9"/>
        <v>228.5689731683872</v>
      </c>
      <c r="G277" s="627"/>
      <c r="H277" s="626"/>
      <c r="I277" s="622"/>
      <c r="J277" s="624"/>
      <c r="K277" s="624"/>
      <c r="L277" s="624"/>
    </row>
    <row r="278" spans="1:12" ht="15.75" customHeight="1">
      <c r="A278" s="545">
        <f>2017</f>
        <v>2017</v>
      </c>
      <c r="B278" s="546" t="s">
        <v>62</v>
      </c>
      <c r="C278" s="620">
        <v>937</v>
      </c>
      <c r="D278" s="620">
        <f t="shared" si="8"/>
        <v>1338.5714285714287</v>
      </c>
      <c r="E278" s="614">
        <f>E277*(1+IGPDI!D282/100)</f>
        <v>583.90219239784869</v>
      </c>
      <c r="F278" s="615">
        <f t="shared" si="9"/>
        <v>229.24583020907329</v>
      </c>
      <c r="G278" s="627"/>
      <c r="H278" s="626"/>
      <c r="I278" s="622"/>
      <c r="J278" s="624"/>
      <c r="K278" s="624"/>
      <c r="L278" s="624"/>
    </row>
    <row r="279" spans="1:12" ht="15.75" customHeight="1">
      <c r="A279" s="545">
        <f>2017</f>
        <v>2017</v>
      </c>
      <c r="B279" s="546" t="s">
        <v>63</v>
      </c>
      <c r="C279" s="620">
        <v>937</v>
      </c>
      <c r="D279" s="620">
        <f t="shared" si="8"/>
        <v>1338.5714285714287</v>
      </c>
      <c r="E279" s="614">
        <f>E278*(1+IGPDI!D283/100)</f>
        <v>585.29576687962481</v>
      </c>
      <c r="F279" s="615">
        <f t="shared" si="9"/>
        <v>228.70000166031045</v>
      </c>
      <c r="G279" s="627"/>
      <c r="H279" s="626"/>
      <c r="I279" s="622"/>
      <c r="J279" s="624"/>
      <c r="K279" s="624"/>
      <c r="L279" s="624"/>
    </row>
    <row r="280" spans="1:12" ht="15.75" customHeight="1">
      <c r="A280" s="545">
        <f>2017</f>
        <v>2017</v>
      </c>
      <c r="B280" s="546" t="s">
        <v>64</v>
      </c>
      <c r="C280" s="620">
        <v>937</v>
      </c>
      <c r="D280" s="620">
        <f t="shared" si="8"/>
        <v>1338.5714285714287</v>
      </c>
      <c r="E280" s="614">
        <f>E279*(1+IGPDI!D284/100)</f>
        <v>588.91758974123252</v>
      </c>
      <c r="F280" s="615">
        <f t="shared" si="9"/>
        <v>227.29350453933466</v>
      </c>
      <c r="G280" s="627"/>
      <c r="H280" s="626"/>
      <c r="I280" s="622"/>
      <c r="J280" s="624"/>
      <c r="K280" s="624"/>
      <c r="L280" s="624"/>
    </row>
    <row r="281" spans="1:12" ht="15.75" customHeight="1">
      <c r="A281" s="545">
        <f>2017</f>
        <v>2017</v>
      </c>
      <c r="B281" s="546" t="s">
        <v>65</v>
      </c>
      <c r="C281" s="620">
        <v>937</v>
      </c>
      <c r="D281" s="620">
        <f t="shared" si="8"/>
        <v>1338.5714285714287</v>
      </c>
      <c r="E281" s="614">
        <f>E280*(1+IGPDI!D285/100)</f>
        <v>589.49211747943173</v>
      </c>
      <c r="F281" s="615">
        <f t="shared" si="9"/>
        <v>227.0719809274012</v>
      </c>
      <c r="G281" s="627"/>
      <c r="H281" s="626"/>
      <c r="I281" s="622"/>
      <c r="J281" s="624"/>
      <c r="K281" s="624"/>
      <c r="L281" s="624"/>
    </row>
    <row r="282" spans="1:12" ht="15.75" customHeight="1">
      <c r="A282" s="545">
        <f>2017</f>
        <v>2017</v>
      </c>
      <c r="B282" s="546" t="s">
        <v>66</v>
      </c>
      <c r="C282" s="620">
        <v>937</v>
      </c>
      <c r="D282" s="620">
        <f t="shared" si="8"/>
        <v>1338.5714285714287</v>
      </c>
      <c r="E282" s="614">
        <f>E281*(1+IGPDI!D286/100)</f>
        <v>594.21979133152536</v>
      </c>
      <c r="F282" s="615">
        <f t="shared" si="9"/>
        <v>225.26537286345902</v>
      </c>
      <c r="G282" s="627"/>
      <c r="H282" s="626"/>
      <c r="I282" s="622"/>
      <c r="J282" s="624"/>
      <c r="K282" s="624"/>
      <c r="L282" s="624"/>
    </row>
    <row r="283" spans="1:12" ht="15.75" customHeight="1">
      <c r="A283" s="545">
        <f>2017</f>
        <v>2017</v>
      </c>
      <c r="B283" s="546" t="s">
        <v>55</v>
      </c>
      <c r="C283" s="620">
        <v>937</v>
      </c>
      <c r="D283" s="620">
        <f t="shared" si="8"/>
        <v>1338.5714285714287</v>
      </c>
      <c r="E283" s="614">
        <f>E282*(1+IGPDI!D287/100)</f>
        <v>598.62481040584623</v>
      </c>
      <c r="F283" s="615">
        <f t="shared" si="9"/>
        <v>223.60774316452489</v>
      </c>
      <c r="G283" s="627"/>
      <c r="H283" s="626"/>
      <c r="I283" s="622"/>
      <c r="J283" s="624"/>
      <c r="K283" s="624"/>
      <c r="L283" s="624"/>
    </row>
    <row r="284" spans="1:12" ht="15.75" customHeight="1">
      <c r="A284" s="545">
        <f>2018</f>
        <v>2018</v>
      </c>
      <c r="B284" s="546" t="s">
        <v>56</v>
      </c>
      <c r="C284" s="620">
        <v>954</v>
      </c>
      <c r="D284" s="620">
        <f t="shared" si="8"/>
        <v>1362.8571428571429</v>
      </c>
      <c r="E284" s="614">
        <f>E283*(1+IGPDI!D288/100)</f>
        <v>602.07565381256586</v>
      </c>
      <c r="F284" s="615">
        <f t="shared" si="9"/>
        <v>226.35978289888106</v>
      </c>
      <c r="G284" s="627"/>
      <c r="H284" s="626"/>
      <c r="I284" s="622"/>
      <c r="J284" s="624"/>
      <c r="K284" s="624"/>
      <c r="L284" s="624"/>
    </row>
    <row r="285" spans="1:12" ht="15.75" customHeight="1">
      <c r="A285" s="545">
        <f>2018</f>
        <v>2018</v>
      </c>
      <c r="B285" s="546" t="s">
        <v>57</v>
      </c>
      <c r="C285" s="620">
        <v>954</v>
      </c>
      <c r="D285" s="620">
        <f t="shared" si="8"/>
        <v>1362.8571428571429</v>
      </c>
      <c r="E285" s="614">
        <f>E284*(1+IGPDI!D289/100)</f>
        <v>603.00133290435247</v>
      </c>
      <c r="F285" s="615">
        <f t="shared" si="9"/>
        <v>226.01229358697256</v>
      </c>
      <c r="G285" s="627"/>
      <c r="H285" s="626"/>
      <c r="I285" s="622"/>
      <c r="J285" s="624"/>
      <c r="K285" s="624"/>
      <c r="L285" s="624"/>
    </row>
    <row r="286" spans="1:12" ht="15.75" customHeight="1">
      <c r="A286" s="545">
        <f>2018</f>
        <v>2018</v>
      </c>
      <c r="B286" s="546" t="s">
        <v>58</v>
      </c>
      <c r="C286" s="620">
        <v>954</v>
      </c>
      <c r="D286" s="620">
        <f t="shared" si="8"/>
        <v>1362.8571428571429</v>
      </c>
      <c r="E286" s="614">
        <f>E285*(1+IGPDI!D290/100)</f>
        <v>606.39334467068045</v>
      </c>
      <c r="F286" s="615">
        <f t="shared" si="9"/>
        <v>224.74803769445757</v>
      </c>
      <c r="G286" s="627"/>
      <c r="H286" s="626"/>
      <c r="I286" s="622"/>
      <c r="J286" s="624"/>
      <c r="K286" s="624"/>
      <c r="L286" s="624"/>
    </row>
    <row r="287" spans="1:12" ht="15.75" customHeight="1">
      <c r="A287" s="545">
        <f>2018</f>
        <v>2018</v>
      </c>
      <c r="B287" s="546" t="s">
        <v>59</v>
      </c>
      <c r="C287" s="620">
        <v>954</v>
      </c>
      <c r="D287" s="620">
        <f t="shared" si="8"/>
        <v>1362.8571428571429</v>
      </c>
      <c r="E287" s="614">
        <f>E286*(1+IGPDI!D291/100)</f>
        <v>612.00533161741021</v>
      </c>
      <c r="F287" s="615">
        <f t="shared" si="9"/>
        <v>222.6871356259885</v>
      </c>
      <c r="G287" s="627"/>
      <c r="H287" s="626"/>
      <c r="I287" s="622"/>
      <c r="J287" s="624"/>
      <c r="K287" s="624"/>
      <c r="L287" s="624"/>
    </row>
    <row r="288" spans="1:12" ht="15.75" customHeight="1">
      <c r="A288" s="545">
        <f>2018</f>
        <v>2018</v>
      </c>
      <c r="B288" s="546" t="s">
        <v>60</v>
      </c>
      <c r="C288" s="620">
        <v>954</v>
      </c>
      <c r="D288" s="620">
        <f t="shared" si="8"/>
        <v>1362.8571428571429</v>
      </c>
      <c r="E288" s="614">
        <f>E287*(1+IGPDI!D292/100)</f>
        <v>622.04807648113228</v>
      </c>
      <c r="F288" s="615">
        <f t="shared" si="9"/>
        <v>219.09193105566666</v>
      </c>
      <c r="G288" s="627"/>
      <c r="H288" s="626"/>
      <c r="I288" s="622"/>
      <c r="J288" s="624"/>
      <c r="K288" s="624"/>
      <c r="L288" s="624"/>
    </row>
    <row r="289" spans="1:12" ht="15.75" customHeight="1">
      <c r="A289" s="545">
        <f>2018</f>
        <v>2018</v>
      </c>
      <c r="B289" s="546" t="s">
        <v>61</v>
      </c>
      <c r="C289" s="620">
        <v>954</v>
      </c>
      <c r="D289" s="620">
        <f t="shared" si="8"/>
        <v>1362.8571428571429</v>
      </c>
      <c r="E289" s="614">
        <f>E288*(1+IGPDI!D293/100)</f>
        <v>631.24143953670057</v>
      </c>
      <c r="F289" s="615">
        <f t="shared" si="9"/>
        <v>215.90108910742796</v>
      </c>
      <c r="G289" s="627"/>
      <c r="H289" s="626"/>
      <c r="I289" s="622"/>
      <c r="J289" s="624"/>
      <c r="K289" s="624"/>
      <c r="L289" s="624"/>
    </row>
    <row r="290" spans="1:12" ht="15.75" customHeight="1">
      <c r="A290" s="545">
        <f>2018</f>
        <v>2018</v>
      </c>
      <c r="B290" s="546" t="s">
        <v>62</v>
      </c>
      <c r="C290" s="620">
        <v>954</v>
      </c>
      <c r="D290" s="620">
        <f t="shared" si="8"/>
        <v>1362.8571428571429</v>
      </c>
      <c r="E290" s="614">
        <f>E289*(1+IGPDI!D294/100)</f>
        <v>634.04513489911255</v>
      </c>
      <c r="F290" s="615">
        <f t="shared" si="9"/>
        <v>214.94639227442332</v>
      </c>
      <c r="G290" s="627"/>
      <c r="H290" s="626"/>
      <c r="I290" s="622"/>
      <c r="J290" s="624"/>
      <c r="K290" s="624"/>
      <c r="L290" s="624"/>
    </row>
    <row r="291" spans="1:12" ht="15.75" customHeight="1">
      <c r="A291" s="545">
        <f>2018</f>
        <v>2018</v>
      </c>
      <c r="B291" s="546" t="s">
        <v>63</v>
      </c>
      <c r="C291" s="620">
        <v>954</v>
      </c>
      <c r="D291" s="620">
        <f t="shared" si="8"/>
        <v>1362.8571428571429</v>
      </c>
      <c r="E291" s="614">
        <f>E290*(1+IGPDI!D295/100)</f>
        <v>638.33616767017475</v>
      </c>
      <c r="F291" s="615">
        <f t="shared" si="9"/>
        <v>213.50147647615742</v>
      </c>
      <c r="G291" s="627"/>
      <c r="H291" s="626"/>
      <c r="I291" s="622"/>
      <c r="J291" s="624"/>
      <c r="K291" s="624"/>
      <c r="L291" s="624"/>
    </row>
    <row r="292" spans="1:12" ht="15.75" customHeight="1">
      <c r="A292" s="545">
        <f>2018</f>
        <v>2018</v>
      </c>
      <c r="B292" s="546" t="s">
        <v>64</v>
      </c>
      <c r="C292" s="620">
        <v>954</v>
      </c>
      <c r="D292" s="620">
        <f t="shared" si="8"/>
        <v>1362.8571428571429</v>
      </c>
      <c r="E292" s="614">
        <f>E291*(1+IGPDI!D296/100)</f>
        <v>649.75318288366918</v>
      </c>
      <c r="F292" s="615">
        <f t="shared" si="9"/>
        <v>209.74997564592874</v>
      </c>
      <c r="G292" s="627"/>
      <c r="H292" s="626"/>
      <c r="I292" s="622"/>
      <c r="J292" s="624"/>
      <c r="K292" s="624"/>
      <c r="L292" s="624"/>
    </row>
    <row r="293" spans="1:12" ht="15.75" customHeight="1">
      <c r="A293" s="545">
        <f>2018</f>
        <v>2018</v>
      </c>
      <c r="B293" s="546" t="s">
        <v>65</v>
      </c>
      <c r="C293" s="620">
        <v>954</v>
      </c>
      <c r="D293" s="620">
        <f t="shared" si="8"/>
        <v>1362.8571428571429</v>
      </c>
      <c r="E293" s="614">
        <f>E292*(1+IGPDI!D297/100)</f>
        <v>651.46297743255002</v>
      </c>
      <c r="F293" s="615">
        <f t="shared" si="9"/>
        <v>209.19947718721252</v>
      </c>
      <c r="G293" s="627"/>
      <c r="H293" s="626"/>
      <c r="I293" s="622"/>
      <c r="J293" s="624"/>
      <c r="K293" s="624"/>
      <c r="L293" s="624"/>
    </row>
    <row r="294" spans="1:12" ht="15.75" customHeight="1">
      <c r="A294" s="545">
        <f>2018</f>
        <v>2018</v>
      </c>
      <c r="B294" s="546" t="s">
        <v>66</v>
      </c>
      <c r="C294" s="620">
        <v>954</v>
      </c>
      <c r="D294" s="620">
        <f t="shared" si="8"/>
        <v>1362.8571428571429</v>
      </c>
      <c r="E294" s="614">
        <f>E293*(1+IGPDI!D298/100)</f>
        <v>644.02353265615625</v>
      </c>
      <c r="F294" s="615">
        <f t="shared" si="9"/>
        <v>211.6160472019229</v>
      </c>
      <c r="G294" s="627"/>
      <c r="H294" s="626"/>
      <c r="I294" s="622"/>
      <c r="J294" s="624"/>
      <c r="K294" s="624"/>
      <c r="L294" s="624"/>
    </row>
    <row r="295" spans="1:12" ht="15.75" customHeight="1">
      <c r="A295" s="545">
        <f>2018</f>
        <v>2018</v>
      </c>
      <c r="B295" s="546" t="s">
        <v>55</v>
      </c>
      <c r="C295" s="620">
        <v>954</v>
      </c>
      <c r="D295" s="620">
        <f t="shared" si="8"/>
        <v>1362.8571428571429</v>
      </c>
      <c r="E295" s="614">
        <f>E294*(1+IGPDI!D299/100)</f>
        <v>641.12331663372674</v>
      </c>
      <c r="F295" s="615">
        <f t="shared" si="9"/>
        <v>212.57332364901995</v>
      </c>
      <c r="G295" s="627"/>
      <c r="H295" s="626"/>
      <c r="I295" s="622"/>
      <c r="J295" s="624"/>
      <c r="K295" s="624"/>
      <c r="L295" s="624"/>
    </row>
    <row r="296" spans="1:12" ht="15.75" customHeight="1">
      <c r="A296" s="545">
        <f>2019</f>
        <v>2019</v>
      </c>
      <c r="B296" s="546" t="s">
        <v>56</v>
      </c>
      <c r="C296" s="620">
        <v>998</v>
      </c>
      <c r="D296" s="620">
        <f t="shared" si="8"/>
        <v>1425.7142857142858</v>
      </c>
      <c r="E296" s="614">
        <f>E295*(1+IGPDI!D300/100)</f>
        <v>641.56179620352032</v>
      </c>
      <c r="F296" s="615">
        <f t="shared" si="9"/>
        <v>222.22555865249987</v>
      </c>
      <c r="G296" s="627"/>
      <c r="H296" s="626"/>
      <c r="I296" s="622"/>
      <c r="J296" s="624"/>
      <c r="K296" s="624"/>
      <c r="L296" s="624"/>
    </row>
    <row r="297" spans="1:12" ht="15.75" customHeight="1">
      <c r="A297" s="545">
        <f>2019</f>
        <v>2019</v>
      </c>
      <c r="B297" s="546" t="s">
        <v>57</v>
      </c>
      <c r="C297" s="620">
        <v>998</v>
      </c>
      <c r="D297" s="620">
        <f t="shared" si="8"/>
        <v>1425.7142857142858</v>
      </c>
      <c r="E297" s="614">
        <f>E296*(1+IGPDI!D301/100)</f>
        <v>649.59323436135446</v>
      </c>
      <c r="F297" s="615">
        <f t="shared" si="9"/>
        <v>219.47800720491992</v>
      </c>
      <c r="G297" s="627"/>
      <c r="H297" s="626"/>
      <c r="I297" s="622"/>
      <c r="J297" s="624"/>
      <c r="K297" s="624"/>
      <c r="L297" s="624"/>
    </row>
    <row r="298" spans="1:12" ht="15.75" customHeight="1">
      <c r="A298" s="545">
        <f>2019</f>
        <v>2019</v>
      </c>
      <c r="B298" s="546" t="s">
        <v>58</v>
      </c>
      <c r="C298" s="620">
        <v>998</v>
      </c>
      <c r="D298" s="620">
        <f t="shared" si="8"/>
        <v>1425.7142857142858</v>
      </c>
      <c r="E298" s="614">
        <f>E297*(1+IGPDI!D302/100)</f>
        <v>656.56386450337777</v>
      </c>
      <c r="F298" s="615">
        <f t="shared" si="9"/>
        <v>217.14784544115756</v>
      </c>
      <c r="G298" s="627"/>
      <c r="H298" s="626"/>
      <c r="I298" s="622"/>
      <c r="J298" s="624"/>
      <c r="K298" s="624"/>
      <c r="L298" s="624"/>
    </row>
    <row r="299" spans="1:12" ht="15.75" customHeight="1">
      <c r="A299" s="545">
        <f>2019</f>
        <v>2019</v>
      </c>
      <c r="B299" s="546" t="s">
        <v>59</v>
      </c>
      <c r="C299" s="620">
        <v>998</v>
      </c>
      <c r="D299" s="620">
        <f t="shared" si="8"/>
        <v>1425.7142857142858</v>
      </c>
      <c r="E299" s="614">
        <f>E298*(1+IGPDI!D303/100)</f>
        <v>662.49482925035579</v>
      </c>
      <c r="F299" s="615">
        <f t="shared" si="9"/>
        <v>215.20383597975382</v>
      </c>
      <c r="G299" s="627"/>
      <c r="H299" s="626"/>
      <c r="I299" s="622"/>
      <c r="J299" s="624"/>
      <c r="K299" s="624"/>
      <c r="L299" s="624"/>
    </row>
    <row r="300" spans="1:12" ht="15.75" customHeight="1">
      <c r="A300" s="545">
        <f>2019</f>
        <v>2019</v>
      </c>
      <c r="B300" s="546" t="s">
        <v>60</v>
      </c>
      <c r="C300" s="620">
        <v>998</v>
      </c>
      <c r="D300" s="620">
        <f t="shared" si="8"/>
        <v>1425.7142857142858</v>
      </c>
      <c r="E300" s="614">
        <f>E299*(1+IGPDI!D304/100)</f>
        <v>665.14409155673991</v>
      </c>
      <c r="F300" s="615">
        <f t="shared" si="9"/>
        <v>214.34668123976948</v>
      </c>
      <c r="G300" s="627"/>
      <c r="H300" s="626"/>
      <c r="I300" s="622"/>
      <c r="J300" s="624"/>
      <c r="K300" s="624"/>
      <c r="L300" s="624"/>
    </row>
    <row r="301" spans="1:12" ht="15.75" customHeight="1">
      <c r="A301" s="545">
        <f>2019</f>
        <v>2019</v>
      </c>
      <c r="B301" s="546" t="s">
        <v>61</v>
      </c>
      <c r="C301" s="620">
        <v>998</v>
      </c>
      <c r="D301" s="620">
        <f t="shared" si="8"/>
        <v>1425.7142857142858</v>
      </c>
      <c r="E301" s="614">
        <f>E300*(1+IGPDI!D305/100)</f>
        <v>669.34044215654694</v>
      </c>
      <c r="F301" s="615">
        <f t="shared" si="9"/>
        <v>213.00286011715937</v>
      </c>
      <c r="G301" s="627"/>
      <c r="H301" s="626"/>
      <c r="I301" s="622"/>
      <c r="J301" s="624"/>
      <c r="K301" s="624"/>
      <c r="L301" s="624"/>
    </row>
    <row r="302" spans="1:12" ht="15.75" customHeight="1">
      <c r="A302" s="545">
        <f>2019</f>
        <v>2019</v>
      </c>
      <c r="B302" s="546" t="s">
        <v>62</v>
      </c>
      <c r="C302" s="620">
        <v>998</v>
      </c>
      <c r="D302" s="620">
        <f t="shared" si="8"/>
        <v>1425.7142857142858</v>
      </c>
      <c r="E302" s="614">
        <f>E301*(1+IGPDI!D306/100)</f>
        <v>669.28712598244192</v>
      </c>
      <c r="F302" s="615">
        <f t="shared" si="9"/>
        <v>213.01982816739374</v>
      </c>
      <c r="G302" s="627"/>
      <c r="H302" s="626"/>
      <c r="I302" s="622"/>
      <c r="J302" s="624"/>
      <c r="K302" s="624"/>
      <c r="L302" s="624"/>
    </row>
    <row r="303" spans="1:12" ht="15.75" customHeight="1">
      <c r="A303" s="545">
        <f>2019</f>
        <v>2019</v>
      </c>
      <c r="B303" s="546" t="s">
        <v>63</v>
      </c>
      <c r="C303" s="620">
        <v>998</v>
      </c>
      <c r="D303" s="620">
        <f t="shared" si="8"/>
        <v>1425.7142857142858</v>
      </c>
      <c r="E303" s="614">
        <f>E302*(1+IGPDI!D307/100)</f>
        <v>665.896033460495</v>
      </c>
      <c r="F303" s="615">
        <f t="shared" si="9"/>
        <v>214.10463707152684</v>
      </c>
      <c r="G303" s="627"/>
      <c r="H303" s="626"/>
      <c r="I303" s="622"/>
      <c r="J303" s="624"/>
      <c r="K303" s="624"/>
      <c r="L303" s="624"/>
    </row>
    <row r="304" spans="1:12" ht="15.75" customHeight="1">
      <c r="A304" s="545">
        <f>2019</f>
        <v>2019</v>
      </c>
      <c r="B304" s="546" t="s">
        <v>64</v>
      </c>
      <c r="C304" s="620">
        <v>998</v>
      </c>
      <c r="D304" s="620">
        <f t="shared" si="8"/>
        <v>1425.7142857142858</v>
      </c>
      <c r="E304" s="614">
        <f>E303*(1+IGPDI!D308/100)</f>
        <v>669.24667922967274</v>
      </c>
      <c r="F304" s="615">
        <f t="shared" si="9"/>
        <v>213.03270228480397</v>
      </c>
      <c r="G304" s="627"/>
      <c r="H304" s="626"/>
      <c r="I304" s="622"/>
      <c r="J304" s="624"/>
      <c r="K304" s="624"/>
      <c r="L304" s="624"/>
    </row>
    <row r="305" spans="1:12" ht="15.75" customHeight="1">
      <c r="A305" s="545">
        <f>2019</f>
        <v>2019</v>
      </c>
      <c r="B305" s="546" t="s">
        <v>65</v>
      </c>
      <c r="C305" s="620">
        <v>998</v>
      </c>
      <c r="D305" s="620">
        <f t="shared" si="8"/>
        <v>1425.7142857142858</v>
      </c>
      <c r="E305" s="614">
        <f>E304*(1+IGPDI!D309/100)</f>
        <v>672.92457599852878</v>
      </c>
      <c r="F305" s="615">
        <f t="shared" si="9"/>
        <v>211.86836334498844</v>
      </c>
      <c r="G305" s="627"/>
      <c r="H305" s="626"/>
      <c r="I305" s="622"/>
      <c r="J305" s="624"/>
      <c r="K305" s="624"/>
      <c r="L305" s="624"/>
    </row>
    <row r="306" spans="1:12" ht="15.75" customHeight="1">
      <c r="A306" s="545">
        <f>2019</f>
        <v>2019</v>
      </c>
      <c r="B306" s="546" t="s">
        <v>66</v>
      </c>
      <c r="C306" s="620">
        <v>998</v>
      </c>
      <c r="D306" s="620">
        <f t="shared" si="8"/>
        <v>1425.7142857142858</v>
      </c>
      <c r="E306" s="614">
        <f>E305*(1+IGPDI!D310/100)</f>
        <v>678.6450337822306</v>
      </c>
      <c r="F306" s="615">
        <f t="shared" si="9"/>
        <v>210.08247533596204</v>
      </c>
      <c r="G306" s="627"/>
      <c r="H306" s="626"/>
      <c r="I306" s="622"/>
      <c r="J306" s="624"/>
      <c r="K306" s="624"/>
      <c r="L306" s="624"/>
    </row>
    <row r="307" spans="1:12" ht="15.75" customHeight="1">
      <c r="A307" s="545">
        <f>2019</f>
        <v>2019</v>
      </c>
      <c r="B307" s="546" t="s">
        <v>55</v>
      </c>
      <c r="C307" s="620">
        <v>998</v>
      </c>
      <c r="D307" s="620">
        <f t="shared" si="8"/>
        <v>1425.7142857142858</v>
      </c>
      <c r="E307" s="614">
        <f>E306*(1+IGPDI!D311/100)</f>
        <v>690.46375879027391</v>
      </c>
      <c r="F307" s="615">
        <f t="shared" si="9"/>
        <v>206.48647630864892</v>
      </c>
      <c r="G307" s="627"/>
      <c r="H307" s="626"/>
      <c r="I307" s="622"/>
      <c r="J307" s="624"/>
      <c r="K307" s="624"/>
      <c r="L307" s="624"/>
    </row>
    <row r="308" spans="1:12" ht="15.75" customHeight="1">
      <c r="A308" s="545">
        <f>2020</f>
        <v>2020</v>
      </c>
      <c r="B308" s="546" t="s">
        <v>56</v>
      </c>
      <c r="C308" s="620">
        <v>1039</v>
      </c>
      <c r="D308" s="620">
        <f t="shared" si="8"/>
        <v>1484.2857142857142</v>
      </c>
      <c r="E308" s="614">
        <f>E307*(1+IGPDI!D312/100)</f>
        <v>691.106310612676</v>
      </c>
      <c r="F308" s="615">
        <f t="shared" si="9"/>
        <v>214.76952119998339</v>
      </c>
      <c r="G308" s="627"/>
      <c r="H308" s="626"/>
      <c r="I308" s="622"/>
      <c r="J308" s="624"/>
      <c r="K308" s="624"/>
      <c r="L308" s="624"/>
    </row>
    <row r="309" spans="1:12" ht="15.75" customHeight="1">
      <c r="A309" s="545">
        <f>2020</f>
        <v>2020</v>
      </c>
      <c r="B309" s="546" t="s">
        <v>57</v>
      </c>
      <c r="C309" s="620">
        <v>1045</v>
      </c>
      <c r="D309" s="620">
        <f t="shared" si="8"/>
        <v>1492.8571428571429</v>
      </c>
      <c r="E309" s="614">
        <f>E308*(1+IGPDI!D313/100)</f>
        <v>691.18904260697661</v>
      </c>
      <c r="F309" s="615">
        <f t="shared" si="9"/>
        <v>215.98391334829222</v>
      </c>
      <c r="G309" s="627"/>
      <c r="H309" s="626"/>
      <c r="I309" s="622"/>
      <c r="J309" s="624"/>
      <c r="K309" s="624"/>
      <c r="L309" s="624"/>
    </row>
    <row r="310" spans="1:12" ht="15.75" customHeight="1">
      <c r="A310" s="545">
        <f>2020</f>
        <v>2020</v>
      </c>
      <c r="B310" s="546" t="s">
        <v>58</v>
      </c>
      <c r="C310" s="620">
        <v>1045</v>
      </c>
      <c r="D310" s="620">
        <f t="shared" si="8"/>
        <v>1492.8571428571429</v>
      </c>
      <c r="E310" s="614">
        <f>E309*(1+IGPDI!D314/100)</f>
        <v>702.55641862389075</v>
      </c>
      <c r="F310" s="615">
        <f t="shared" si="9"/>
        <v>212.4892895834939</v>
      </c>
      <c r="G310" s="627"/>
      <c r="H310" s="626"/>
      <c r="I310" s="622"/>
      <c r="J310" s="624"/>
      <c r="K310" s="624"/>
      <c r="L310" s="624"/>
    </row>
    <row r="311" spans="1:12" ht="15.75" customHeight="1">
      <c r="A311" s="545">
        <f>2020</f>
        <v>2020</v>
      </c>
      <c r="B311" s="546" t="s">
        <v>59</v>
      </c>
      <c r="C311" s="620">
        <v>1045</v>
      </c>
      <c r="D311" s="620">
        <f t="shared" si="8"/>
        <v>1492.8571428571429</v>
      </c>
      <c r="E311" s="614">
        <f>E310*(1+IGPDI!D315/100)</f>
        <v>702.90573148871579</v>
      </c>
      <c r="F311" s="615">
        <f t="shared" si="9"/>
        <v>212.38369186368041</v>
      </c>
      <c r="G311" s="627"/>
      <c r="H311" s="626"/>
      <c r="I311" s="622"/>
      <c r="J311" s="624"/>
      <c r="K311" s="624"/>
      <c r="L311" s="624"/>
    </row>
    <row r="312" spans="1:12" ht="15.75" customHeight="1">
      <c r="A312" s="545">
        <f>2020</f>
        <v>2020</v>
      </c>
      <c r="B312" s="546" t="s">
        <v>60</v>
      </c>
      <c r="C312" s="620">
        <v>1045</v>
      </c>
      <c r="D312" s="620">
        <f t="shared" si="8"/>
        <v>1492.8571428571429</v>
      </c>
      <c r="E312" s="614">
        <f>E311*(1+IGPDI!D316/100)</f>
        <v>710.43158523693478</v>
      </c>
      <c r="F312" s="615">
        <f t="shared" si="9"/>
        <v>210.13383609053119</v>
      </c>
      <c r="G312" s="627"/>
      <c r="H312" s="626"/>
      <c r="I312" s="622"/>
      <c r="J312" s="624"/>
      <c r="K312" s="624"/>
      <c r="L312" s="624"/>
    </row>
    <row r="313" spans="1:12" ht="15.75" customHeight="1">
      <c r="A313" s="545">
        <f>2020</f>
        <v>2020</v>
      </c>
      <c r="B313" s="546" t="s">
        <v>61</v>
      </c>
      <c r="C313" s="620">
        <v>1045</v>
      </c>
      <c r="D313" s="620">
        <f t="shared" si="8"/>
        <v>1492.8571428571429</v>
      </c>
      <c r="E313" s="614">
        <f>E312*(1+IGPDI!D317/100)</f>
        <v>721.80999218642228</v>
      </c>
      <c r="F313" s="615">
        <f t="shared" si="9"/>
        <v>206.82134620153357</v>
      </c>
      <c r="G313" s="627"/>
      <c r="H313" s="626"/>
      <c r="I313" s="622"/>
      <c r="J313" s="624"/>
      <c r="K313" s="624"/>
      <c r="L313" s="624"/>
    </row>
    <row r="314" spans="1:12" ht="15.75" customHeight="1">
      <c r="A314" s="545">
        <f>2020</f>
        <v>2020</v>
      </c>
      <c r="B314" s="546" t="s">
        <v>62</v>
      </c>
      <c r="C314" s="620">
        <v>1045</v>
      </c>
      <c r="D314" s="620">
        <f t="shared" si="8"/>
        <v>1492.8571428571429</v>
      </c>
      <c r="E314" s="614">
        <f>E313*(1+IGPDI!D318/100)</f>
        <v>738.69007675690534</v>
      </c>
      <c r="F314" s="615">
        <f t="shared" si="9"/>
        <v>202.0951938885224</v>
      </c>
      <c r="G314" s="627"/>
      <c r="H314" s="626"/>
      <c r="I314" s="622"/>
      <c r="J314" s="624"/>
      <c r="K314" s="624"/>
      <c r="L314" s="624"/>
    </row>
    <row r="315" spans="1:12" ht="15.75" customHeight="1">
      <c r="A315" s="545">
        <f>2020</f>
        <v>2020</v>
      </c>
      <c r="B315" s="546" t="s">
        <v>63</v>
      </c>
      <c r="C315" s="620">
        <v>1045</v>
      </c>
      <c r="D315" s="620">
        <f t="shared" si="8"/>
        <v>1492.8571428571429</v>
      </c>
      <c r="E315" s="614">
        <f>E314*(1+IGPDI!D319/100)</f>
        <v>767.30523509675004</v>
      </c>
      <c r="F315" s="615">
        <f t="shared" si="9"/>
        <v>194.5584461793627</v>
      </c>
      <c r="G315" s="627"/>
      <c r="H315" s="626"/>
      <c r="I315" s="622"/>
      <c r="J315" s="624"/>
      <c r="K315" s="624"/>
      <c r="L315" s="624"/>
    </row>
    <row r="316" spans="1:12" ht="15.75" customHeight="1">
      <c r="A316" s="545">
        <f>2020</f>
        <v>2020</v>
      </c>
      <c r="B316" s="546" t="s">
        <v>64</v>
      </c>
      <c r="C316" s="620">
        <v>1045</v>
      </c>
      <c r="D316" s="620">
        <f t="shared" si="8"/>
        <v>1492.8571428571429</v>
      </c>
      <c r="E316" s="614">
        <f>E315*(1+IGPDI!D320/100)</f>
        <v>792.62674081904629</v>
      </c>
      <c r="F316" s="615">
        <f t="shared" si="9"/>
        <v>188.34302023604786</v>
      </c>
      <c r="G316" s="627"/>
      <c r="H316" s="626"/>
      <c r="I316" s="622"/>
      <c r="J316" s="624"/>
      <c r="K316" s="624"/>
      <c r="L316" s="624"/>
    </row>
    <row r="317" spans="1:12" ht="15.75" customHeight="1">
      <c r="A317" s="545">
        <f>2020</f>
        <v>2020</v>
      </c>
      <c r="B317" s="546" t="s">
        <v>65</v>
      </c>
      <c r="C317" s="620">
        <v>1045</v>
      </c>
      <c r="D317" s="620">
        <f t="shared" si="8"/>
        <v>1492.8571428571429</v>
      </c>
      <c r="E317" s="614">
        <f>E316*(1+IGPDI!D321/100)</f>
        <v>821.78333409936988</v>
      </c>
      <c r="F317" s="615">
        <f t="shared" si="9"/>
        <v>181.66067391634726</v>
      </c>
      <c r="G317" s="627"/>
      <c r="H317" s="626"/>
      <c r="I317" s="622"/>
      <c r="J317" s="624"/>
      <c r="K317" s="624"/>
      <c r="L317" s="624"/>
    </row>
    <row r="318" spans="1:12" ht="15.75" customHeight="1">
      <c r="A318" s="545">
        <f>2020</f>
        <v>2020</v>
      </c>
      <c r="B318" s="546" t="s">
        <v>66</v>
      </c>
      <c r="C318" s="620">
        <v>1045</v>
      </c>
      <c r="D318" s="620">
        <f t="shared" si="8"/>
        <v>1492.8571428571429</v>
      </c>
      <c r="E318" s="614">
        <f>E317*(1+IGPDI!D322/100)</f>
        <v>843.44165096290794</v>
      </c>
      <c r="F318" s="615">
        <f t="shared" si="9"/>
        <v>176.9959002087264</v>
      </c>
      <c r="G318" s="627"/>
      <c r="H318" s="626"/>
      <c r="I318" s="622"/>
      <c r="J318" s="624"/>
      <c r="K318" s="624"/>
      <c r="L318" s="624"/>
    </row>
    <row r="319" spans="1:12" ht="15.75" customHeight="1">
      <c r="A319" s="545">
        <f>2020</f>
        <v>2020</v>
      </c>
      <c r="B319" s="546" t="s">
        <v>55</v>
      </c>
      <c r="C319" s="620">
        <v>1045</v>
      </c>
      <c r="D319" s="620">
        <f t="shared" si="8"/>
        <v>1492.8571428571429</v>
      </c>
      <c r="E319" s="614">
        <f>E318*(1+IGPDI!D323/100)</f>
        <v>849.84510732178103</v>
      </c>
      <c r="F319" s="615">
        <f t="shared" si="9"/>
        <v>175.66226245177347</v>
      </c>
      <c r="G319" s="627"/>
      <c r="H319" s="626"/>
      <c r="I319" s="622"/>
      <c r="J319" s="624"/>
      <c r="K319" s="624"/>
      <c r="L319" s="624"/>
    </row>
    <row r="320" spans="1:12" ht="15.75" customHeight="1">
      <c r="A320" s="545">
        <f>2021</f>
        <v>2021</v>
      </c>
      <c r="B320" s="546" t="s">
        <v>56</v>
      </c>
      <c r="C320" s="620">
        <v>1100</v>
      </c>
      <c r="D320" s="620">
        <f t="shared" si="8"/>
        <v>1571.4285714285713</v>
      </c>
      <c r="E320" s="614">
        <f>E319*(1+IGPDI!D324/100)</f>
        <v>874.56450797444438</v>
      </c>
      <c r="F320" s="615">
        <f t="shared" si="9"/>
        <v>179.68126502962204</v>
      </c>
      <c r="G320" s="627"/>
      <c r="H320" s="626"/>
      <c r="I320" s="622"/>
      <c r="J320" s="624"/>
      <c r="K320" s="624"/>
      <c r="L320" s="624"/>
    </row>
    <row r="321" spans="1:12" ht="15.75" customHeight="1">
      <c r="A321" s="545">
        <f>2021</f>
        <v>2021</v>
      </c>
      <c r="B321" s="546" t="s">
        <v>57</v>
      </c>
      <c r="C321" s="620">
        <v>1100</v>
      </c>
      <c r="D321" s="620">
        <f t="shared" si="8"/>
        <v>1571.4285714285713</v>
      </c>
      <c r="E321" s="614">
        <f>E320*(1+IGPDI!D325/100)</f>
        <v>898.22401985567808</v>
      </c>
      <c r="F321" s="615">
        <f t="shared" si="9"/>
        <v>174.94840225727432</v>
      </c>
      <c r="G321" s="627"/>
      <c r="H321" s="626"/>
      <c r="I321" s="622"/>
      <c r="J321" s="624"/>
      <c r="K321" s="624"/>
      <c r="L321" s="624"/>
    </row>
    <row r="322" spans="1:12" ht="15.75" customHeight="1">
      <c r="A322" s="545">
        <f>2021</f>
        <v>2021</v>
      </c>
      <c r="B322" s="546" t="s">
        <v>58</v>
      </c>
      <c r="C322" s="620">
        <v>1100</v>
      </c>
      <c r="D322" s="620">
        <f t="shared" si="8"/>
        <v>1571.4285714285713</v>
      </c>
      <c r="E322" s="614">
        <f>E321*(1+IGPDI!D326/100)</f>
        <v>917.7221124235873</v>
      </c>
      <c r="F322" s="615">
        <f t="shared" si="9"/>
        <v>171.23141636836323</v>
      </c>
      <c r="G322" s="627"/>
      <c r="H322" s="626"/>
      <c r="I322" s="622"/>
      <c r="J322" s="624"/>
      <c r="K322" s="624"/>
      <c r="L322" s="624"/>
    </row>
    <row r="323" spans="1:12" ht="15.75" customHeight="1">
      <c r="A323" s="545">
        <f>2021</f>
        <v>2021</v>
      </c>
      <c r="B323" s="546" t="s">
        <v>59</v>
      </c>
      <c r="C323" s="620">
        <v>1100</v>
      </c>
      <c r="D323" s="620">
        <f t="shared" si="8"/>
        <v>1571.4285714285713</v>
      </c>
      <c r="E323" s="614">
        <f>E322*(1+IGPDI!D327/100)</f>
        <v>938.08429470974806</v>
      </c>
      <c r="F323" s="615">
        <f t="shared" si="9"/>
        <v>167.51464450375281</v>
      </c>
      <c r="G323" s="627"/>
      <c r="H323" s="626"/>
      <c r="I323" s="622"/>
      <c r="J323" s="624"/>
      <c r="K323" s="624"/>
      <c r="L323" s="624"/>
    </row>
    <row r="324" spans="1:12" ht="15.75" customHeight="1">
      <c r="A324" s="545">
        <f>2021</f>
        <v>2021</v>
      </c>
      <c r="B324" s="546" t="s">
        <v>60</v>
      </c>
      <c r="C324" s="620">
        <v>1100</v>
      </c>
      <c r="D324" s="620">
        <f t="shared" si="8"/>
        <v>1571.4285714285713</v>
      </c>
      <c r="E324" s="614">
        <f>E323*(1+IGPDI!D328/100)</f>
        <v>969.95633589189629</v>
      </c>
      <c r="F324" s="615">
        <f t="shared" si="9"/>
        <v>162.01023832517245</v>
      </c>
      <c r="G324" s="627"/>
      <c r="H324" s="626"/>
      <c r="I324" s="622"/>
      <c r="J324" s="624"/>
      <c r="K324" s="624"/>
      <c r="L324" s="624"/>
    </row>
    <row r="325" spans="1:12" ht="15.75" customHeight="1">
      <c r="A325" s="545">
        <f>2021</f>
        <v>2021</v>
      </c>
      <c r="B325" s="546" t="s">
        <v>61</v>
      </c>
      <c r="C325" s="620">
        <v>1100</v>
      </c>
      <c r="D325" s="620">
        <f t="shared" si="8"/>
        <v>1571.4285714285713</v>
      </c>
      <c r="E325" s="614">
        <f>E324*(1+IGPDI!D329/100)</f>
        <v>971.03736728409206</v>
      </c>
      <c r="F325" s="615">
        <f t="shared" si="9"/>
        <v>161.82987641595315</v>
      </c>
      <c r="G325" s="627"/>
      <c r="H325" s="626"/>
      <c r="I325" s="622"/>
      <c r="J325" s="624"/>
      <c r="K325" s="624"/>
      <c r="L325" s="624"/>
    </row>
    <row r="326" spans="1:12" ht="15.75" customHeight="1">
      <c r="A326" s="545">
        <f>2021</f>
        <v>2021</v>
      </c>
      <c r="B326" s="546" t="s">
        <v>62</v>
      </c>
      <c r="C326" s="620">
        <v>1100</v>
      </c>
      <c r="D326" s="620">
        <f t="shared" si="8"/>
        <v>1571.4285714285713</v>
      </c>
      <c r="E326" s="614">
        <f>E325*(1+IGPDI!D330/100)</f>
        <v>985.07606747253703</v>
      </c>
      <c r="F326" s="615">
        <f t="shared" si="9"/>
        <v>159.5235762310692</v>
      </c>
      <c r="G326" s="627"/>
      <c r="H326" s="626"/>
      <c r="I326" s="622"/>
      <c r="J326" s="624"/>
      <c r="K326" s="624"/>
      <c r="L326" s="624"/>
    </row>
    <row r="327" spans="1:12" ht="15.75" customHeight="1">
      <c r="A327" s="545">
        <f>2021</f>
        <v>2021</v>
      </c>
      <c r="B327" s="546" t="s">
        <v>63</v>
      </c>
      <c r="C327" s="620">
        <v>1100</v>
      </c>
      <c r="D327" s="620">
        <f t="shared" si="8"/>
        <v>1571.4285714285713</v>
      </c>
      <c r="E327" s="614">
        <f>E326*(1+IGPDI!D331/100)</f>
        <v>983.72661672105471</v>
      </c>
      <c r="F327" s="615">
        <f t="shared" si="9"/>
        <v>159.74240655055542</v>
      </c>
      <c r="G327" s="627"/>
      <c r="H327" s="626"/>
      <c r="I327" s="622"/>
      <c r="J327" s="624"/>
      <c r="K327" s="624"/>
      <c r="L327" s="624"/>
    </row>
    <row r="328" spans="1:12" ht="15.75" customHeight="1">
      <c r="A328" s="545">
        <f>2021</f>
        <v>2021</v>
      </c>
      <c r="B328" s="546" t="s">
        <v>64</v>
      </c>
      <c r="C328" s="620">
        <v>1100</v>
      </c>
      <c r="D328" s="620">
        <f t="shared" si="8"/>
        <v>1571.4285714285713</v>
      </c>
      <c r="E328" s="614">
        <f>E327*(1+IGPDI!D332/100)</f>
        <v>978.36098726846478</v>
      </c>
      <c r="F328" s="615">
        <f t="shared" si="9"/>
        <v>160.61848253127118</v>
      </c>
      <c r="G328" s="627"/>
      <c r="H328" s="626"/>
      <c r="I328" s="622"/>
      <c r="J328" s="624"/>
      <c r="K328" s="624"/>
      <c r="L328" s="624"/>
    </row>
    <row r="329" spans="1:12" ht="15.75" customHeight="1">
      <c r="A329" s="545">
        <f>2021</f>
        <v>2021</v>
      </c>
      <c r="B329" s="546" t="s">
        <v>65</v>
      </c>
      <c r="C329" s="620">
        <v>1100</v>
      </c>
      <c r="D329" s="620">
        <f t="shared" ref="D329:D368" si="10">100*C329/C$8</f>
        <v>1571.4285714285713</v>
      </c>
      <c r="E329" s="614">
        <f>E328*(1+IGPDI!D333/100)</f>
        <v>993.97986854805299</v>
      </c>
      <c r="F329" s="615">
        <f t="shared" si="9"/>
        <v>158.09460746162006</v>
      </c>
      <c r="G329" s="627"/>
      <c r="H329" s="626"/>
      <c r="I329" s="622"/>
      <c r="J329" s="624"/>
      <c r="K329" s="624"/>
      <c r="L329" s="624"/>
    </row>
    <row r="330" spans="1:12" ht="15.75" customHeight="1">
      <c r="A330" s="545">
        <f>2021</f>
        <v>2021</v>
      </c>
      <c r="B330" s="546" t="s">
        <v>66</v>
      </c>
      <c r="C330" s="620">
        <v>1100</v>
      </c>
      <c r="D330" s="620">
        <f t="shared" si="10"/>
        <v>1571.4285714285713</v>
      </c>
      <c r="E330" s="614">
        <f>E329*(1+IGPDI!D334/100)</f>
        <v>988.20793307900851</v>
      </c>
      <c r="F330" s="615">
        <f t="shared" ref="F330:F368" si="11">+D330*E$8/E330</f>
        <v>159.01800813644485</v>
      </c>
      <c r="G330" s="627"/>
      <c r="H330" s="626"/>
      <c r="I330" s="622"/>
      <c r="J330" s="624"/>
      <c r="K330" s="624"/>
      <c r="L330" s="624"/>
    </row>
    <row r="331" spans="1:12" ht="15.75" customHeight="1">
      <c r="A331" s="545">
        <f>2021</f>
        <v>2021</v>
      </c>
      <c r="B331" s="546" t="s">
        <v>55</v>
      </c>
      <c r="C331" s="620">
        <v>1100</v>
      </c>
      <c r="D331" s="620">
        <f t="shared" si="10"/>
        <v>1571.4285714285713</v>
      </c>
      <c r="E331" s="614">
        <f>E330*(1+IGPDI!D335/100)</f>
        <v>1000.5873971595344</v>
      </c>
      <c r="F331" s="615">
        <f t="shared" si="11"/>
        <v>157.0506060629526</v>
      </c>
      <c r="G331" s="627"/>
      <c r="H331" s="626"/>
      <c r="I331" s="622"/>
      <c r="J331" s="624"/>
      <c r="K331" s="624"/>
      <c r="L331" s="624"/>
    </row>
    <row r="332" spans="1:12" ht="15.75" customHeight="1">
      <c r="A332" s="545">
        <f>2022</f>
        <v>2022</v>
      </c>
      <c r="B332" s="546" t="s">
        <v>56</v>
      </c>
      <c r="C332" s="620">
        <v>1212</v>
      </c>
      <c r="D332" s="620">
        <f t="shared" si="10"/>
        <v>1731.4285714285713</v>
      </c>
      <c r="E332" s="614">
        <f>E331*(1+IGPDI!D336/100)</f>
        <v>1020.7271223054643</v>
      </c>
      <c r="F332" s="615">
        <f t="shared" si="11"/>
        <v>169.62697802306673</v>
      </c>
      <c r="G332" s="627"/>
      <c r="H332" s="626"/>
      <c r="I332" s="622"/>
      <c r="J332" s="624"/>
      <c r="K332" s="624"/>
      <c r="L332" s="624"/>
    </row>
    <row r="333" spans="1:12" ht="15.75" customHeight="1">
      <c r="A333" s="545">
        <f>2022</f>
        <v>2022</v>
      </c>
      <c r="B333" s="546" t="s">
        <v>57</v>
      </c>
      <c r="C333" s="620">
        <v>1212</v>
      </c>
      <c r="D333" s="620">
        <f t="shared" si="10"/>
        <v>1731.4285714285713</v>
      </c>
      <c r="E333" s="614">
        <f>E332*(1+IGPDI!D337/100)</f>
        <v>1036.0591993381436</v>
      </c>
      <c r="F333" s="615">
        <f t="shared" si="11"/>
        <v>167.11676056104173</v>
      </c>
      <c r="G333" s="627"/>
      <c r="H333" s="626"/>
      <c r="I333" s="622"/>
      <c r="J333" s="624"/>
      <c r="K333" s="624"/>
      <c r="L333" s="624"/>
    </row>
    <row r="334" spans="1:12" ht="15.75" customHeight="1">
      <c r="A334" s="545">
        <f>2022</f>
        <v>2022</v>
      </c>
      <c r="B334" s="546" t="s">
        <v>58</v>
      </c>
      <c r="C334" s="620">
        <v>1212</v>
      </c>
      <c r="D334" s="620">
        <f t="shared" si="10"/>
        <v>1731.4285714285713</v>
      </c>
      <c r="E334" s="614">
        <f>E333*(1+IGPDI!D338/100)</f>
        <v>1060.6030243140135</v>
      </c>
      <c r="F334" s="615">
        <f t="shared" si="11"/>
        <v>163.24944694066289</v>
      </c>
      <c r="G334" s="627"/>
      <c r="H334" s="626"/>
      <c r="I334" s="622"/>
      <c r="J334" s="624"/>
      <c r="K334" s="624"/>
      <c r="L334" s="624"/>
    </row>
    <row r="335" spans="1:12" ht="15.75" customHeight="1">
      <c r="A335" s="545">
        <f>2022</f>
        <v>2022</v>
      </c>
      <c r="B335" s="546" t="s">
        <v>59</v>
      </c>
      <c r="C335" s="620">
        <v>1212</v>
      </c>
      <c r="D335" s="620">
        <f t="shared" si="10"/>
        <v>1731.4285714285713</v>
      </c>
      <c r="E335" s="614">
        <f>E334*(1+IGPDI!D339/100)</f>
        <v>1064.9869007675688</v>
      </c>
      <c r="F335" s="615">
        <f t="shared" si="11"/>
        <v>162.57745237811633</v>
      </c>
      <c r="G335" s="627"/>
      <c r="H335" s="626"/>
      <c r="I335" s="622"/>
      <c r="J335" s="624"/>
      <c r="K335" s="624"/>
      <c r="L335" s="624"/>
    </row>
    <row r="336" spans="1:12" ht="15.75" customHeight="1">
      <c r="A336" s="545">
        <f>2022</f>
        <v>2022</v>
      </c>
      <c r="B336" s="546" t="s">
        <v>60</v>
      </c>
      <c r="C336" s="620">
        <v>1212</v>
      </c>
      <c r="D336" s="620">
        <f t="shared" si="10"/>
        <v>1731.4285714285713</v>
      </c>
      <c r="E336" s="614">
        <f>E335*(1+IGPDI!D340/100)</f>
        <v>1072.3371788389941</v>
      </c>
      <c r="F336" s="615">
        <f t="shared" si="11"/>
        <v>161.46307389091621</v>
      </c>
      <c r="G336" s="627"/>
      <c r="H336" s="626"/>
      <c r="I336" s="622"/>
      <c r="J336" s="624"/>
      <c r="K336" s="624"/>
      <c r="L336" s="624"/>
    </row>
    <row r="337" spans="1:12" ht="15.75" customHeight="1">
      <c r="A337" s="545">
        <f>2022</f>
        <v>2022</v>
      </c>
      <c r="B337" s="546" t="s">
        <v>61</v>
      </c>
      <c r="C337" s="620">
        <v>1212</v>
      </c>
      <c r="D337" s="620">
        <f t="shared" si="10"/>
        <v>1731.4285714285713</v>
      </c>
      <c r="E337" s="614">
        <f>E336*(1+IGPDI!D341/100)</f>
        <v>1079.0375511329685</v>
      </c>
      <c r="F337" s="615">
        <f t="shared" si="11"/>
        <v>160.46045567279887</v>
      </c>
      <c r="G337" s="627"/>
      <c r="H337" s="626"/>
      <c r="I337" s="622"/>
      <c r="J337" s="624"/>
      <c r="K337" s="624"/>
      <c r="L337" s="624"/>
    </row>
    <row r="338" spans="1:12" ht="15.75" customHeight="1">
      <c r="A338" s="545">
        <f>2022</f>
        <v>2022</v>
      </c>
      <c r="B338" s="546" t="s">
        <v>62</v>
      </c>
      <c r="C338" s="620">
        <v>1212</v>
      </c>
      <c r="D338" s="620">
        <f t="shared" si="10"/>
        <v>1731.4285714285713</v>
      </c>
      <c r="E338" s="614">
        <f>E337*(1+IGPDI!D342/100)</f>
        <v>1074.9882796341406</v>
      </c>
      <c r="F338" s="615">
        <f t="shared" si="11"/>
        <v>161.06487896015409</v>
      </c>
      <c r="G338" s="627"/>
      <c r="H338" s="626"/>
      <c r="I338" s="622"/>
      <c r="J338" s="624"/>
      <c r="K338" s="624"/>
      <c r="L338" s="624"/>
    </row>
    <row r="339" spans="1:12" ht="15.75" customHeight="1">
      <c r="A339" s="545">
        <f>2022</f>
        <v>2022</v>
      </c>
      <c r="B339" s="546" t="s">
        <v>63</v>
      </c>
      <c r="C339" s="620">
        <v>1212</v>
      </c>
      <c r="D339" s="620">
        <f t="shared" si="10"/>
        <v>1731.4285714285713</v>
      </c>
      <c r="E339" s="614">
        <f>E338*(1+IGPDI!D343/100)</f>
        <v>1069.0407684883023</v>
      </c>
      <c r="F339" s="615">
        <f t="shared" si="11"/>
        <v>161.9609487743794</v>
      </c>
      <c r="G339" s="627"/>
      <c r="H339" s="626"/>
      <c r="I339" s="622"/>
      <c r="J339" s="624"/>
      <c r="K339" s="624"/>
      <c r="L339" s="624"/>
    </row>
    <row r="340" spans="1:12" ht="15.75" customHeight="1">
      <c r="A340" s="545">
        <f>2022</f>
        <v>2022</v>
      </c>
      <c r="B340" s="546" t="s">
        <v>64</v>
      </c>
      <c r="C340" s="620">
        <v>1212</v>
      </c>
      <c r="D340" s="620">
        <f t="shared" si="10"/>
        <v>1731.4285714285713</v>
      </c>
      <c r="E340" s="614">
        <f>E339*(1+IGPDI!D344/100)</f>
        <v>1056.0380567173781</v>
      </c>
      <c r="F340" s="615">
        <f t="shared" si="11"/>
        <v>163.95513025454767</v>
      </c>
      <c r="G340" s="627"/>
      <c r="H340" s="626"/>
      <c r="I340" s="622"/>
      <c r="J340" s="624"/>
      <c r="K340" s="624"/>
      <c r="L340" s="624"/>
    </row>
    <row r="341" spans="1:12" ht="15.75" customHeight="1">
      <c r="A341" s="545">
        <f>2022</f>
        <v>2022</v>
      </c>
      <c r="B341" s="546" t="s">
        <v>65</v>
      </c>
      <c r="C341" s="620">
        <v>1212</v>
      </c>
      <c r="D341" s="620">
        <f t="shared" si="10"/>
        <v>1731.4285714285713</v>
      </c>
      <c r="E341" s="614">
        <f>E340*(1+IGPDI!D345/100)</f>
        <v>1049.5316449878198</v>
      </c>
      <c r="F341" s="615">
        <f t="shared" si="11"/>
        <v>164.9715451360845</v>
      </c>
      <c r="G341" s="627"/>
      <c r="H341" s="626"/>
      <c r="I341" s="622"/>
      <c r="J341" s="624"/>
      <c r="K341" s="624"/>
      <c r="L341" s="624"/>
    </row>
    <row r="342" spans="1:12" ht="15.75" customHeight="1">
      <c r="A342" s="545">
        <f>2022</f>
        <v>2022</v>
      </c>
      <c r="B342" s="546" t="s">
        <v>66</v>
      </c>
      <c r="C342" s="620">
        <v>1212</v>
      </c>
      <c r="D342" s="620">
        <f t="shared" si="10"/>
        <v>1731.4285714285713</v>
      </c>
      <c r="E342" s="614">
        <f>E341*(1+IGPDI!D346/100)</f>
        <v>1047.6940754699635</v>
      </c>
      <c r="F342" s="615">
        <f t="shared" si="11"/>
        <v>165.2608917017981</v>
      </c>
      <c r="G342" s="627"/>
      <c r="H342" s="626"/>
      <c r="I342" s="622"/>
      <c r="J342" s="624"/>
      <c r="K342" s="624"/>
      <c r="L342" s="624"/>
    </row>
    <row r="343" spans="1:12" ht="15.75" customHeight="1">
      <c r="A343" s="545">
        <f>2022</f>
        <v>2022</v>
      </c>
      <c r="B343" s="546" t="s">
        <v>55</v>
      </c>
      <c r="C343" s="620">
        <v>1212</v>
      </c>
      <c r="D343" s="620">
        <f t="shared" si="10"/>
        <v>1731.4285714285713</v>
      </c>
      <c r="E343" s="614">
        <f>E342*(1+IGPDI!D347/100)</f>
        <v>1050.9031576044488</v>
      </c>
      <c r="F343" s="615">
        <f t="shared" si="11"/>
        <v>164.75624408393554</v>
      </c>
      <c r="G343" s="627"/>
      <c r="H343" s="626"/>
      <c r="I343" s="622"/>
      <c r="J343" s="624"/>
      <c r="K343" s="624"/>
      <c r="L343" s="624"/>
    </row>
    <row r="344" spans="1:12" ht="15.75" customHeight="1">
      <c r="A344" s="545">
        <f>2023</f>
        <v>2023</v>
      </c>
      <c r="B344" s="546" t="s">
        <v>56</v>
      </c>
      <c r="C344" s="620">
        <v>1302</v>
      </c>
      <c r="D344" s="620">
        <f t="shared" si="10"/>
        <v>1860</v>
      </c>
      <c r="E344" s="614">
        <f>E343*(1+IGPDI!D348/100)</f>
        <v>1051.4877970308405</v>
      </c>
      <c r="F344" s="615">
        <f t="shared" si="11"/>
        <v>176.89220980521236</v>
      </c>
      <c r="G344" s="627"/>
      <c r="H344" s="626"/>
      <c r="I344" s="622"/>
      <c r="J344" s="624"/>
      <c r="K344" s="624"/>
      <c r="L344" s="624"/>
    </row>
    <row r="345" spans="1:12" ht="15.75" customHeight="1">
      <c r="A345" s="549">
        <f>2023</f>
        <v>2023</v>
      </c>
      <c r="B345" s="550" t="s">
        <v>57</v>
      </c>
      <c r="C345" s="628">
        <v>1302</v>
      </c>
      <c r="D345" s="628">
        <f t="shared" si="10"/>
        <v>1860</v>
      </c>
      <c r="E345" s="629">
        <f>E344*(1+IGPDI!D349/100)</f>
        <v>1051.8646872270992</v>
      </c>
      <c r="F345" s="630">
        <f t="shared" si="11"/>
        <v>176.82882813599227</v>
      </c>
      <c r="G345" s="627"/>
      <c r="H345" s="626"/>
      <c r="I345" s="622"/>
      <c r="J345" s="624"/>
      <c r="K345" s="624"/>
      <c r="L345" s="624"/>
    </row>
    <row r="346" spans="1:12" ht="15.75" customHeight="1">
      <c r="A346" s="549">
        <f>2023</f>
        <v>2023</v>
      </c>
      <c r="B346" s="550" t="s">
        <v>58</v>
      </c>
      <c r="C346" s="628">
        <v>1302</v>
      </c>
      <c r="D346" s="628">
        <f t="shared" si="10"/>
        <v>1860</v>
      </c>
      <c r="E346" s="628">
        <f>E345*(1+IGPDI!D350/100)</f>
        <v>1048.2667647194005</v>
      </c>
      <c r="F346" s="630">
        <f t="shared" si="11"/>
        <v>177.43575038343258</v>
      </c>
      <c r="G346" s="627"/>
      <c r="H346" s="626"/>
      <c r="I346" s="622"/>
      <c r="J346" s="624"/>
      <c r="K346" s="624"/>
      <c r="L346" s="624"/>
    </row>
    <row r="347" spans="1:12" ht="15.75" customHeight="1">
      <c r="A347" s="549">
        <f>2023</f>
        <v>2023</v>
      </c>
      <c r="B347" s="550" t="s">
        <v>59</v>
      </c>
      <c r="C347" s="628">
        <v>1302</v>
      </c>
      <c r="D347" s="628">
        <f t="shared" si="10"/>
        <v>1860</v>
      </c>
      <c r="E347" s="628">
        <f>E346*(1+IGPDI!D351/100)</f>
        <v>1037.6476536287171</v>
      </c>
      <c r="F347" s="630">
        <f t="shared" si="11"/>
        <v>179.25159792878313</v>
      </c>
      <c r="G347" s="627"/>
      <c r="H347" s="626"/>
      <c r="I347" s="622"/>
      <c r="J347" s="624"/>
      <c r="K347" s="624"/>
      <c r="L347" s="624"/>
    </row>
    <row r="348" spans="1:12" ht="15.75" customHeight="1">
      <c r="A348" s="549">
        <f>2023</f>
        <v>2023</v>
      </c>
      <c r="B348" s="550" t="s">
        <v>60</v>
      </c>
      <c r="C348" s="628">
        <v>1320</v>
      </c>
      <c r="D348" s="628">
        <f t="shared" si="10"/>
        <v>1885.7142857142858</v>
      </c>
      <c r="E348" s="628">
        <f>E347*(1+IGPDI!D352/100)</f>
        <v>1013.4724456496759</v>
      </c>
      <c r="F348" s="630">
        <f t="shared" si="11"/>
        <v>186.06468225245811</v>
      </c>
      <c r="G348" s="627"/>
      <c r="H348" s="626"/>
      <c r="I348" s="622"/>
      <c r="J348" s="624"/>
      <c r="K348" s="624"/>
      <c r="L348" s="624"/>
    </row>
    <row r="349" spans="1:12" ht="15.75" customHeight="1">
      <c r="A349" s="549">
        <f>2023</f>
        <v>2023</v>
      </c>
      <c r="B349" s="550" t="s">
        <v>61</v>
      </c>
      <c r="C349" s="628">
        <v>1320</v>
      </c>
      <c r="D349" s="628">
        <f t="shared" si="10"/>
        <v>1885.7142857142858</v>
      </c>
      <c r="E349" s="628">
        <f>E348*(1+IGPDI!D353/100)</f>
        <v>998.73511973158043</v>
      </c>
      <c r="F349" s="630">
        <f t="shared" si="11"/>
        <v>188.81025093230821</v>
      </c>
      <c r="G349" s="627"/>
      <c r="H349" s="626"/>
      <c r="I349" s="622"/>
      <c r="J349" s="624"/>
      <c r="K349" s="624"/>
      <c r="L349" s="624"/>
    </row>
    <row r="350" spans="1:12" ht="15.75" customHeight="1">
      <c r="A350" s="549">
        <f>2023</f>
        <v>2023</v>
      </c>
      <c r="B350" s="550" t="s">
        <v>62</v>
      </c>
      <c r="C350" s="628">
        <v>1320</v>
      </c>
      <c r="D350" s="628">
        <f t="shared" si="10"/>
        <v>1885.7142857142858</v>
      </c>
      <c r="E350" s="628">
        <f>E349*(1+IGPDI!D354/100)</f>
        <v>994.71894103047282</v>
      </c>
      <c r="F350" s="630">
        <f t="shared" si="11"/>
        <v>189.57257250583686</v>
      </c>
      <c r="G350" s="627"/>
      <c r="H350" s="626"/>
      <c r="I350" s="622"/>
      <c r="J350" s="624"/>
      <c r="K350" s="624"/>
      <c r="L350" s="624"/>
    </row>
    <row r="351" spans="1:12" ht="15.75" customHeight="1">
      <c r="A351" s="549">
        <f>2023</f>
        <v>2023</v>
      </c>
      <c r="B351" s="550" t="s">
        <v>63</v>
      </c>
      <c r="C351" s="628">
        <v>1320</v>
      </c>
      <c r="D351" s="628">
        <f t="shared" si="10"/>
        <v>1885.7142857142858</v>
      </c>
      <c r="E351" s="628">
        <f>E350*(1+IGPDI!D355/100)</f>
        <v>995.1675322884588</v>
      </c>
      <c r="F351" s="630">
        <f t="shared" si="11"/>
        <v>189.48711895553416</v>
      </c>
      <c r="G351" s="627"/>
      <c r="H351" s="626"/>
      <c r="I351" s="622"/>
      <c r="J351" s="624"/>
      <c r="K351" s="624"/>
      <c r="L351" s="624"/>
    </row>
    <row r="352" spans="1:12" ht="15.75" customHeight="1">
      <c r="A352" s="549">
        <f>2023</f>
        <v>2023</v>
      </c>
      <c r="B352" s="550" t="s">
        <v>64</v>
      </c>
      <c r="C352" s="628">
        <v>1320</v>
      </c>
      <c r="D352" s="628">
        <f t="shared" si="10"/>
        <v>1885.7142857142858</v>
      </c>
      <c r="E352" s="628">
        <f>E351*(1+IGPDI!D356/100)</f>
        <v>999.60380567173786</v>
      </c>
      <c r="F352" s="630">
        <f t="shared" si="11"/>
        <v>188.6461691136798</v>
      </c>
      <c r="G352" s="627"/>
      <c r="H352" s="626"/>
      <c r="I352" s="622"/>
      <c r="J352" s="624"/>
      <c r="K352" s="624"/>
      <c r="L352" s="624"/>
    </row>
    <row r="353" spans="1:12" ht="15.75" customHeight="1">
      <c r="A353" s="549">
        <f>2023</f>
        <v>2023</v>
      </c>
      <c r="B353" s="550" t="s">
        <v>65</v>
      </c>
      <c r="C353" s="628">
        <v>1320</v>
      </c>
      <c r="D353" s="628">
        <f t="shared" si="10"/>
        <v>1885.7142857142858</v>
      </c>
      <c r="E353" s="628">
        <f>E352*(1+IGPDI!D357/100)</f>
        <v>1004.7102082088521</v>
      </c>
      <c r="F353" s="630">
        <f t="shared" si="11"/>
        <v>187.68738192439037</v>
      </c>
      <c r="G353" s="627"/>
      <c r="H353" s="626"/>
      <c r="I353" s="622"/>
      <c r="J353" s="624"/>
      <c r="K353" s="624"/>
      <c r="L353" s="624"/>
    </row>
    <row r="354" spans="1:12" ht="15.75" customHeight="1">
      <c r="A354" s="549">
        <f>2023</f>
        <v>2023</v>
      </c>
      <c r="B354" s="550" t="s">
        <v>66</v>
      </c>
      <c r="C354" s="628">
        <v>1320</v>
      </c>
      <c r="D354" s="628">
        <f t="shared" si="10"/>
        <v>1885.7142857142858</v>
      </c>
      <c r="E354" s="628">
        <f>E353*(1+IGPDI!D358/100)</f>
        <v>1009.7715677712919</v>
      </c>
      <c r="F354" s="630">
        <f t="shared" si="11"/>
        <v>186.74662130528421</v>
      </c>
      <c r="G354" s="627"/>
      <c r="H354" s="626"/>
      <c r="I354" s="622"/>
      <c r="J354" s="624"/>
      <c r="K354" s="624"/>
      <c r="L354" s="624"/>
    </row>
    <row r="355" spans="1:12" ht="15.75" customHeight="1">
      <c r="A355" s="549">
        <f>2023</f>
        <v>2023</v>
      </c>
      <c r="B355" s="550" t="s">
        <v>55</v>
      </c>
      <c r="C355" s="628">
        <v>1320</v>
      </c>
      <c r="D355" s="628">
        <f t="shared" si="10"/>
        <v>1885.7142857142858</v>
      </c>
      <c r="E355" s="628">
        <f>E354*(1+IGPDI!D359/100)</f>
        <v>1016.2623523463711</v>
      </c>
      <c r="F355" s="630">
        <f t="shared" si="11"/>
        <v>185.55388589968948</v>
      </c>
      <c r="G355" s="627"/>
      <c r="H355" s="626"/>
      <c r="I355" s="622"/>
      <c r="J355" s="624"/>
      <c r="K355" s="624"/>
      <c r="L355" s="624"/>
    </row>
    <row r="356" spans="1:12" ht="15.75" customHeight="1">
      <c r="A356" s="549">
        <f>2024</f>
        <v>2024</v>
      </c>
      <c r="B356" s="550" t="s">
        <v>56</v>
      </c>
      <c r="C356" s="628">
        <v>1412</v>
      </c>
      <c r="D356" s="628">
        <f t="shared" si="10"/>
        <v>2017.1428571428571</v>
      </c>
      <c r="E356" s="628">
        <f>E355*(1+IGPDI!D360/100)</f>
        <v>1013.5321965344484</v>
      </c>
      <c r="F356" s="630">
        <f t="shared" si="11"/>
        <v>199.02109316704843</v>
      </c>
      <c r="G356" s="627"/>
      <c r="H356" s="626"/>
      <c r="I356" s="622"/>
      <c r="J356" s="624"/>
      <c r="K356" s="624"/>
      <c r="L356" s="624"/>
    </row>
    <row r="357" spans="1:12" ht="15.75" customHeight="1">
      <c r="A357" s="549">
        <f>2024</f>
        <v>2024</v>
      </c>
      <c r="B357" s="550" t="s">
        <v>57</v>
      </c>
      <c r="C357" s="628">
        <v>1412</v>
      </c>
      <c r="D357" s="628">
        <f t="shared" si="10"/>
        <v>2017.1428571428571</v>
      </c>
      <c r="E357" s="628">
        <f>E356*(1+IGPDI!D361/100)</f>
        <v>1009.4176586845612</v>
      </c>
      <c r="F357" s="630">
        <f t="shared" si="11"/>
        <v>199.83233300787796</v>
      </c>
      <c r="G357" s="627"/>
      <c r="H357" s="626"/>
      <c r="I357" s="622"/>
      <c r="J357" s="624"/>
      <c r="K357" s="624"/>
      <c r="L357" s="624"/>
    </row>
    <row r="358" spans="1:12" ht="15.75" customHeight="1">
      <c r="A358" s="549">
        <f>2024</f>
        <v>2024</v>
      </c>
      <c r="B358" s="550" t="s">
        <v>58</v>
      </c>
      <c r="C358" s="628">
        <v>1412</v>
      </c>
      <c r="D358" s="628">
        <f t="shared" si="10"/>
        <v>2017.1428571428571</v>
      </c>
      <c r="E358" s="628">
        <f>E357*(1+IGPDI!D362/100)</f>
        <v>1006.3547364066735</v>
      </c>
      <c r="F358" s="630">
        <f t="shared" si="11"/>
        <v>200.44053892421076</v>
      </c>
      <c r="G358" s="627"/>
      <c r="H358" s="626"/>
      <c r="I358" s="622"/>
      <c r="J358" s="624"/>
      <c r="K358" s="624"/>
      <c r="L358" s="624"/>
    </row>
    <row r="359" spans="1:12" ht="15.75" customHeight="1">
      <c r="A359" s="549">
        <f>2024</f>
        <v>2024</v>
      </c>
      <c r="B359" s="550" t="s">
        <v>59</v>
      </c>
      <c r="C359" s="628">
        <v>1412</v>
      </c>
      <c r="D359" s="628">
        <f t="shared" si="10"/>
        <v>2017.1428571428571</v>
      </c>
      <c r="E359" s="628">
        <f>E358*(1+IGPDI!D363/100)</f>
        <v>1013.6140092843682</v>
      </c>
      <c r="F359" s="630">
        <f t="shared" si="11"/>
        <v>199.00502939644653</v>
      </c>
      <c r="G359" s="627"/>
      <c r="H359" s="626"/>
      <c r="I359" s="622"/>
      <c r="J359" s="624"/>
      <c r="K359" s="624"/>
      <c r="L359" s="624"/>
    </row>
    <row r="360" spans="1:12" ht="15.75" customHeight="1">
      <c r="A360" s="549">
        <f>2024</f>
        <v>2024</v>
      </c>
      <c r="B360" s="550" t="s">
        <v>60</v>
      </c>
      <c r="C360" s="628">
        <v>1412</v>
      </c>
      <c r="D360" s="628">
        <f t="shared" si="10"/>
        <v>2017.1428571428571</v>
      </c>
      <c r="E360" s="628">
        <f>E359*(1+IGPDI!D364/100)</f>
        <v>1022.4387553431078</v>
      </c>
      <c r="F360" s="630">
        <f t="shared" si="11"/>
        <v>197.28740196922101</v>
      </c>
      <c r="G360" s="627"/>
      <c r="H360" s="626"/>
      <c r="I360" s="622"/>
      <c r="J360" s="624"/>
      <c r="K360" s="624"/>
      <c r="L360" s="624"/>
    </row>
    <row r="361" spans="1:12" ht="15.75" customHeight="1">
      <c r="A361" s="549">
        <f>2024</f>
        <v>2024</v>
      </c>
      <c r="B361" s="550" t="s">
        <v>61</v>
      </c>
      <c r="C361" s="628">
        <v>1412</v>
      </c>
      <c r="D361" s="628">
        <f t="shared" si="10"/>
        <v>2017.1428571428571</v>
      </c>
      <c r="E361" s="628">
        <f>E360*(1+IGPDI!D365/100)</f>
        <v>1027.519419037551</v>
      </c>
      <c r="F361" s="630">
        <f t="shared" si="11"/>
        <v>196.31189637586209</v>
      </c>
      <c r="G361" s="627"/>
      <c r="H361" s="626"/>
      <c r="I361" s="622"/>
      <c r="J361" s="624"/>
      <c r="K361" s="624"/>
      <c r="L361" s="624"/>
    </row>
    <row r="362" spans="1:12" ht="15.75" customHeight="1">
      <c r="A362" s="549">
        <f>2024</f>
        <v>2024</v>
      </c>
      <c r="B362" s="550" t="s">
        <v>62</v>
      </c>
      <c r="C362" s="628">
        <v>1412</v>
      </c>
      <c r="D362" s="628">
        <f t="shared" si="10"/>
        <v>2017.1428571428571</v>
      </c>
      <c r="E362" s="628">
        <f>E361*(1+IGPDI!D366/100)</f>
        <v>1036.0812612032908</v>
      </c>
      <c r="F362" s="630">
        <f t="shared" si="11"/>
        <v>194.68963803091802</v>
      </c>
      <c r="G362" s="627"/>
      <c r="H362" s="626"/>
      <c r="I362" s="622"/>
      <c r="J362" s="624"/>
      <c r="K362" s="624"/>
      <c r="L362" s="624"/>
    </row>
    <row r="363" spans="1:12" ht="15.75" customHeight="1">
      <c r="A363" s="549">
        <f>2024</f>
        <v>2024</v>
      </c>
      <c r="B363" s="550" t="s">
        <v>63</v>
      </c>
      <c r="C363" s="628">
        <v>1412</v>
      </c>
      <c r="D363" s="628">
        <f t="shared" si="10"/>
        <v>2017.1428571428571</v>
      </c>
      <c r="E363" s="628">
        <f>E362*(1+IGPDI!D367/100)</f>
        <v>1037.2827136094127</v>
      </c>
      <c r="F363" s="630">
        <f t="shared" si="11"/>
        <v>194.46413505955806</v>
      </c>
      <c r="G363" s="627"/>
      <c r="H363" s="626"/>
      <c r="I363" s="622"/>
      <c r="J363" s="624"/>
      <c r="K363" s="624"/>
      <c r="L363" s="624"/>
    </row>
    <row r="364" spans="1:12" ht="15.75" customHeight="1">
      <c r="A364" s="549">
        <f>2024</f>
        <v>2024</v>
      </c>
      <c r="B364" s="550" t="s">
        <v>64</v>
      </c>
      <c r="C364" s="628">
        <v>1412</v>
      </c>
      <c r="D364" s="628">
        <f t="shared" si="10"/>
        <v>2017.1428571428571</v>
      </c>
      <c r="E364" s="628">
        <f>E363*(1+IGPDI!D368/100)</f>
        <v>1047.9211288320996</v>
      </c>
      <c r="F364" s="630">
        <f t="shared" si="11"/>
        <v>192.48995002047033</v>
      </c>
      <c r="G364" s="627"/>
      <c r="H364" s="626"/>
      <c r="I364" s="622"/>
      <c r="J364" s="624"/>
      <c r="K364" s="624"/>
      <c r="L364" s="624"/>
    </row>
    <row r="365" spans="1:12" ht="15.75" customHeight="1">
      <c r="A365" s="549">
        <f>2024</f>
        <v>2024</v>
      </c>
      <c r="B365" s="550" t="s">
        <v>65</v>
      </c>
      <c r="C365" s="628">
        <v>1412</v>
      </c>
      <c r="D365" s="628">
        <f t="shared" si="10"/>
        <v>2017.1428571428571</v>
      </c>
      <c r="E365" s="628">
        <f>E364*(1+IGPDI!D369/100)</f>
        <v>1064.0400790550166</v>
      </c>
      <c r="F365" s="630">
        <f t="shared" si="11"/>
        <v>189.57395467041988</v>
      </c>
      <c r="G365" s="627"/>
      <c r="H365" s="626"/>
      <c r="I365" s="622"/>
      <c r="J365" s="624"/>
      <c r="K365" s="624"/>
      <c r="L365" s="624"/>
    </row>
    <row r="366" spans="1:12" ht="15.75" customHeight="1">
      <c r="A366" s="549">
        <f>2024</f>
        <v>2024</v>
      </c>
      <c r="B366" s="550" t="s">
        <v>66</v>
      </c>
      <c r="C366" s="628">
        <v>1412</v>
      </c>
      <c r="D366" s="628">
        <f t="shared" si="10"/>
        <v>2017.1428571428571</v>
      </c>
      <c r="E366" s="628">
        <f>E365*(1+IGPDI!D370/100)</f>
        <v>1076.6282116100563</v>
      </c>
      <c r="F366" s="630">
        <f t="shared" si="11"/>
        <v>187.35742156768279</v>
      </c>
      <c r="G366" s="627"/>
      <c r="H366" s="626"/>
      <c r="I366" s="622"/>
      <c r="J366" s="624"/>
      <c r="K366" s="624"/>
      <c r="L366" s="624"/>
    </row>
    <row r="367" spans="1:12" ht="15.75" customHeight="1">
      <c r="A367" s="549">
        <f>2024</f>
        <v>2024</v>
      </c>
      <c r="B367" s="550" t="s">
        <v>55</v>
      </c>
      <c r="C367" s="628">
        <v>1412</v>
      </c>
      <c r="D367" s="628">
        <f t="shared" si="10"/>
        <v>2017.1428571428571</v>
      </c>
      <c r="E367" s="628">
        <f>E366*(1+IGPDI!D371/100)</f>
        <v>1086.0017465643236</v>
      </c>
      <c r="F367" s="630">
        <f t="shared" si="11"/>
        <v>185.74029586271777</v>
      </c>
      <c r="G367" s="627"/>
      <c r="H367" s="626"/>
      <c r="I367" s="622"/>
      <c r="J367" s="624"/>
      <c r="K367" s="624"/>
      <c r="L367" s="624"/>
    </row>
    <row r="368" spans="1:12" ht="15.75" customHeight="1">
      <c r="A368" s="549">
        <f>2025</f>
        <v>2025</v>
      </c>
      <c r="B368" s="550" t="s">
        <v>56</v>
      </c>
      <c r="C368" s="628">
        <v>1518</v>
      </c>
      <c r="D368" s="628">
        <f t="shared" si="10"/>
        <v>2168.5714285714284</v>
      </c>
      <c r="E368" s="628">
        <f>E367*(1+IGPDI!D372/100)</f>
        <v>1087.1838948384423</v>
      </c>
      <c r="F368" s="630">
        <f t="shared" si="11"/>
        <v>199.46684630512141</v>
      </c>
      <c r="G368" s="627"/>
      <c r="H368" s="626"/>
      <c r="I368" s="622"/>
      <c r="J368" s="624"/>
      <c r="K368" s="624"/>
      <c r="L368" s="624"/>
    </row>
    <row r="369" spans="1:12" ht="15.75" customHeight="1">
      <c r="A369" s="545">
        <f>2025</f>
        <v>2025</v>
      </c>
      <c r="B369" s="546" t="s">
        <v>57</v>
      </c>
      <c r="C369" s="620">
        <v>1518</v>
      </c>
      <c r="D369" s="620">
        <f t="shared" ref="D369:D374" si="12">100*C369/C$8</f>
        <v>2168.5714285714284</v>
      </c>
      <c r="E369" s="620">
        <f>E368*(1+IGPDI!D373/100)</f>
        <v>1098.0539596451711</v>
      </c>
      <c r="F369" s="615">
        <f t="shared" ref="F369:F374" si="13">+D369*E$8/E369</f>
        <v>197.49224612533504</v>
      </c>
      <c r="G369" s="627"/>
      <c r="H369" s="626"/>
      <c r="I369" s="640"/>
      <c r="J369" s="624"/>
      <c r="K369" s="624"/>
      <c r="L369" s="624"/>
    </row>
    <row r="370" spans="1:12" ht="15.75" customHeight="1">
      <c r="A370" s="545">
        <f>2025</f>
        <v>2025</v>
      </c>
      <c r="B370" s="546" t="s">
        <v>58</v>
      </c>
      <c r="C370" s="620">
        <v>1518</v>
      </c>
      <c r="D370" s="620">
        <f t="shared" si="12"/>
        <v>2168.5714285714284</v>
      </c>
      <c r="E370" s="620">
        <f>E369*(1+IGPDI!D374/100)</f>
        <v>1092.5679091786544</v>
      </c>
      <c r="F370" s="615">
        <f t="shared" si="13"/>
        <v>198.48390295498129</v>
      </c>
      <c r="G370" s="627"/>
      <c r="H370" s="626"/>
      <c r="I370" s="640"/>
      <c r="J370" s="624"/>
      <c r="K370" s="624"/>
      <c r="L370" s="624"/>
    </row>
    <row r="371" spans="1:12" ht="15.75" customHeight="1">
      <c r="A371" s="545">
        <f>2025</f>
        <v>2025</v>
      </c>
      <c r="B371" s="546" t="s">
        <v>59</v>
      </c>
      <c r="C371" s="620">
        <v>1518</v>
      </c>
      <c r="D371" s="620">
        <f t="shared" si="12"/>
        <v>2168.5714285714284</v>
      </c>
      <c r="E371" s="620">
        <f>E370*(1+IGPDI!D375/100)</f>
        <v>1095.8119225996224</v>
      </c>
      <c r="F371" s="615">
        <f t="shared" si="13"/>
        <v>197.89631631556549</v>
      </c>
      <c r="G371" s="627"/>
      <c r="H371" s="626"/>
      <c r="I371" s="640"/>
      <c r="J371" s="624"/>
      <c r="K371" s="624"/>
      <c r="L371" s="624"/>
    </row>
    <row r="372" spans="1:12" ht="15.75" customHeight="1">
      <c r="A372" s="549">
        <f>2025</f>
        <v>2025</v>
      </c>
      <c r="B372" s="550" t="s">
        <v>60</v>
      </c>
      <c r="C372" s="628">
        <v>1518</v>
      </c>
      <c r="D372" s="628">
        <f t="shared" si="12"/>
        <v>2168.5714285714284</v>
      </c>
      <c r="E372" s="628">
        <f>E371*(1+IGPDI!D376/100)</f>
        <v>1086.4963000413654</v>
      </c>
      <c r="F372" s="630">
        <f t="shared" si="13"/>
        <v>199.59307992939009</v>
      </c>
      <c r="G372" s="627"/>
      <c r="H372" s="626"/>
      <c r="I372" s="640"/>
      <c r="J372" s="624"/>
      <c r="K372" s="624"/>
      <c r="L372" s="624"/>
    </row>
    <row r="373" spans="1:12" ht="15.75" customHeight="1">
      <c r="A373" s="549">
        <f>2025</f>
        <v>2025</v>
      </c>
      <c r="B373" s="550" t="s">
        <v>61</v>
      </c>
      <c r="C373" s="628">
        <v>1518</v>
      </c>
      <c r="D373" s="628">
        <f t="shared" si="12"/>
        <v>2168.5714285714284</v>
      </c>
      <c r="E373" s="628">
        <f>E372*(1+IGPDI!D377/100)</f>
        <v>1066.8869789033408</v>
      </c>
      <c r="F373" s="630">
        <f t="shared" si="13"/>
        <v>203.26158922667847</v>
      </c>
      <c r="G373" s="627"/>
      <c r="H373" s="626"/>
      <c r="I373" s="640"/>
      <c r="J373" s="624"/>
      <c r="K373" s="624"/>
      <c r="L373" s="624"/>
    </row>
    <row r="374" spans="1:12" ht="15.75" customHeight="1">
      <c r="A374" s="549">
        <f>2025</f>
        <v>2025</v>
      </c>
      <c r="B374" s="550" t="s">
        <v>62</v>
      </c>
      <c r="C374" s="628">
        <v>1518</v>
      </c>
      <c r="D374" s="628">
        <f t="shared" si="12"/>
        <v>2168.5714285714284</v>
      </c>
      <c r="E374" s="628">
        <f>E373*(1+IGPDI!D378/100)</f>
        <v>1066.1865146849284</v>
      </c>
      <c r="F374" s="630">
        <f t="shared" si="13"/>
        <v>203.39512821659244</v>
      </c>
      <c r="G374" s="627"/>
      <c r="H374" s="626"/>
      <c r="I374" s="640"/>
      <c r="J374" s="624"/>
      <c r="K374" s="624"/>
      <c r="L374" s="624"/>
    </row>
    <row r="375" spans="1:12" ht="15.75" customHeight="1">
      <c r="A375" s="545">
        <f>2025</f>
        <v>2025</v>
      </c>
      <c r="B375" s="546" t="s">
        <v>63</v>
      </c>
      <c r="C375" s="620">
        <v>1518</v>
      </c>
      <c r="D375" s="620">
        <f t="shared" ref="D375" si="14">100*C375/C$8</f>
        <v>2168.5714285714284</v>
      </c>
      <c r="E375" s="620">
        <f>E374*(1+IGPDI!D379/100)</f>
        <v>1068.3632853794174</v>
      </c>
      <c r="F375" s="615">
        <f t="shared" ref="F375" si="15">+D375*E$8/E375</f>
        <v>202.98071435516283</v>
      </c>
      <c r="G375" s="627"/>
      <c r="H375" s="626"/>
      <c r="I375" s="640"/>
      <c r="J375" s="624"/>
      <c r="K375" s="624"/>
      <c r="L375" s="624"/>
    </row>
    <row r="376" spans="1:12" ht="15.75" customHeight="1">
      <c r="A376" s="545">
        <f>2025</f>
        <v>2025</v>
      </c>
      <c r="B376" s="546" t="s">
        <v>64</v>
      </c>
      <c r="C376" s="620">
        <v>1518</v>
      </c>
      <c r="D376" s="620">
        <f t="shared" ref="D376" si="16">100*C376/C$8</f>
        <v>2168.5714285714284</v>
      </c>
      <c r="E376" s="620">
        <f>E375*(1+IGPDI!D380/100)</f>
        <v>1072.1597646734376</v>
      </c>
      <c r="F376" s="615">
        <f t="shared" ref="F376" si="17">+D376*E$8/E376</f>
        <v>202.26196692168728</v>
      </c>
      <c r="G376" s="627"/>
      <c r="H376" s="626"/>
      <c r="I376" s="640"/>
      <c r="J376" s="624"/>
      <c r="K376" s="624"/>
      <c r="L376" s="624"/>
    </row>
    <row r="377" spans="1:12" ht="15.75" customHeight="1">
      <c r="A377" s="545">
        <f>2025</f>
        <v>2025</v>
      </c>
      <c r="B377" s="546" t="s">
        <v>65</v>
      </c>
      <c r="C377" s="620">
        <v>1518</v>
      </c>
      <c r="D377" s="620">
        <f t="shared" ref="D377" si="18">100*C377/C$8</f>
        <v>2168.5714285714284</v>
      </c>
      <c r="E377" s="620">
        <f>E376*(1+IGPDI!D381/100)</f>
        <v>1071.8242404743294</v>
      </c>
      <c r="F377" s="615">
        <f t="shared" ref="F377" si="19">+D377*E$8/E377</f>
        <v>202.32528307176</v>
      </c>
      <c r="G377" s="627"/>
      <c r="H377" s="626"/>
      <c r="I377" s="640"/>
      <c r="J377" s="624"/>
      <c r="K377" s="624"/>
      <c r="L377" s="624"/>
    </row>
    <row r="378" spans="1:12" ht="15.75" customHeight="1">
      <c r="A378" s="549">
        <f>2025</f>
        <v>2025</v>
      </c>
      <c r="B378" s="550" t="s">
        <v>66</v>
      </c>
      <c r="C378" s="628">
        <v>1518</v>
      </c>
      <c r="D378" s="628">
        <f t="shared" ref="D378" si="20">100*C378/C$8</f>
        <v>2168.5714285714284</v>
      </c>
      <c r="E378" s="628">
        <f>E377*(1+IGPDI!D382/100)</f>
        <v>1071.9078917130114</v>
      </c>
      <c r="F378" s="630">
        <f t="shared" ref="F378" si="21">+D378*E$8/E378</f>
        <v>202.30949369220929</v>
      </c>
      <c r="G378" s="627"/>
      <c r="H378" s="626"/>
      <c r="I378" s="640"/>
      <c r="J378" s="624"/>
      <c r="K378" s="624"/>
      <c r="L378" s="624"/>
    </row>
    <row r="379" spans="1:12" ht="15.75" customHeight="1">
      <c r="A379" s="549">
        <f>2025</f>
        <v>2025</v>
      </c>
      <c r="B379" s="550" t="s">
        <v>55</v>
      </c>
      <c r="C379" s="628">
        <v>1518</v>
      </c>
      <c r="D379" s="628">
        <f t="shared" ref="D379" si="22">100*C379/C$8</f>
        <v>2168.5714285714284</v>
      </c>
      <c r="E379" s="628">
        <f>E378*(1+IGPDI!D383/100)</f>
        <v>1072.9778921726336</v>
      </c>
      <c r="F379" s="630">
        <f t="shared" ref="F379" si="23">+D379*E$8/E379</f>
        <v>202.10774559207064</v>
      </c>
      <c r="G379" s="627"/>
      <c r="H379" s="626"/>
      <c r="I379" s="640"/>
      <c r="J379" s="624"/>
      <c r="K379" s="624"/>
      <c r="L379" s="624"/>
    </row>
    <row r="380" spans="1:12" ht="15.75" customHeight="1">
      <c r="A380" s="545">
        <f>2026</f>
        <v>2026</v>
      </c>
      <c r="B380" s="546" t="s">
        <v>56</v>
      </c>
      <c r="C380" s="620">
        <v>1621</v>
      </c>
      <c r="D380" s="620">
        <f t="shared" ref="D380" si="24">100*C380/C$8</f>
        <v>2315.7142857142858</v>
      </c>
      <c r="E380" s="620">
        <f>E379*(1+IGPDI!D384/100)</f>
        <v>1075.1169738474966</v>
      </c>
      <c r="F380" s="615">
        <f t="shared" ref="F380" si="25">+D380*E$8/E380</f>
        <v>215.3918449847454</v>
      </c>
      <c r="G380" s="627"/>
      <c r="H380" s="626"/>
      <c r="I380" s="640"/>
      <c r="J380" s="624"/>
      <c r="K380" s="624"/>
      <c r="L380" s="624"/>
    </row>
    <row r="381" spans="1:12" ht="15.75" customHeight="1">
      <c r="A381" s="545">
        <f>2026</f>
        <v>2026</v>
      </c>
      <c r="B381" s="546" t="s">
        <v>57</v>
      </c>
      <c r="C381" s="620">
        <v>1621</v>
      </c>
      <c r="D381" s="620">
        <f t="shared" ref="D381" si="26">100*C381/C$8</f>
        <v>2315.7142857142858</v>
      </c>
      <c r="E381" s="620">
        <f>E380*(1+IGPDI!D385/100)</f>
        <v>1066.1286022889178</v>
      </c>
      <c r="F381" s="615">
        <f t="shared" ref="F381" si="27">+D381*E$8/E381</f>
        <v>217.20778156993239</v>
      </c>
      <c r="G381" s="627"/>
      <c r="H381" s="626"/>
      <c r="I381" s="640"/>
      <c r="J381" s="624"/>
      <c r="K381" s="624"/>
      <c r="L381" s="624"/>
    </row>
    <row r="382" spans="1:12" ht="15.75" customHeight="1">
      <c r="A382" s="545">
        <f>2026</f>
        <v>2026</v>
      </c>
      <c r="B382" s="546" t="s">
        <v>58</v>
      </c>
      <c r="C382" s="620">
        <v>1621</v>
      </c>
      <c r="D382" s="620">
        <f t="shared" ref="D382:D383" si="28">100*C382/C$8</f>
        <v>2315.7142857142858</v>
      </c>
      <c r="E382" s="620">
        <f>E381*(1+IGPDI!D386/100)</f>
        <v>1078.3122673162652</v>
      </c>
      <c r="F382" s="615">
        <f t="shared" ref="F382:F384" si="29">+D382*E$8/E382</f>
        <v>214.75358816771163</v>
      </c>
      <c r="G382" s="627"/>
      <c r="H382" s="626"/>
      <c r="I382" s="640"/>
      <c r="J382" s="624"/>
      <c r="K382" s="624"/>
      <c r="L382" s="624"/>
    </row>
    <row r="383" spans="1:12" ht="15.75" customHeight="1">
      <c r="A383" s="545">
        <f>2026</f>
        <v>2026</v>
      </c>
      <c r="B383" s="546" t="s">
        <v>59</v>
      </c>
      <c r="C383" s="620">
        <v>1621</v>
      </c>
      <c r="D383" s="620">
        <f t="shared" si="28"/>
        <v>2315.7142857142858</v>
      </c>
      <c r="E383" s="620">
        <f>E382*(1+IGPDI!D387/100)</f>
        <v>1104.3452681895474</v>
      </c>
      <c r="F383" s="615">
        <f t="shared" si="29"/>
        <v>209.69114935500605</v>
      </c>
      <c r="G383" s="627"/>
      <c r="H383" s="626"/>
      <c r="I383" s="640"/>
      <c r="J383" s="624"/>
      <c r="K383" s="624"/>
      <c r="L383" s="624"/>
    </row>
    <row r="384" spans="1:12" ht="15.75" customHeight="1" thickBot="1">
      <c r="A384" s="553">
        <f>2026</f>
        <v>2026</v>
      </c>
      <c r="B384" s="554" t="s">
        <v>60</v>
      </c>
      <c r="C384" s="695">
        <v>1621</v>
      </c>
      <c r="D384" s="695">
        <f t="shared" ref="D384" si="30">100*C384/C$8</f>
        <v>2315.7142857142858</v>
      </c>
      <c r="E384" s="695">
        <f>E383*(1+IGPDI!D388/100)</f>
        <v>1113.9688376154791</v>
      </c>
      <c r="F384" s="696">
        <f t="shared" si="29"/>
        <v>207.87962890157854</v>
      </c>
      <c r="G384" s="627"/>
      <c r="H384" s="626"/>
      <c r="I384" s="640"/>
      <c r="J384" s="624"/>
      <c r="K384" s="624"/>
      <c r="L384" s="624"/>
    </row>
    <row r="385" spans="1:8">
      <c r="A385" s="631" t="s">
        <v>617</v>
      </c>
      <c r="C385" s="161"/>
      <c r="D385" s="161"/>
      <c r="E385" s="559"/>
      <c r="H385" s="158"/>
    </row>
    <row r="386" spans="1:8">
      <c r="A386" s="631" t="s">
        <v>618</v>
      </c>
      <c r="E386" s="161"/>
      <c r="H386" s="632"/>
    </row>
    <row r="387" spans="1:8">
      <c r="A387" s="55">
        <v>1619</v>
      </c>
    </row>
  </sheetData>
  <mergeCells count="11">
    <mergeCell ref="F6:F7"/>
    <mergeCell ref="A1:F3"/>
    <mergeCell ref="A4:C4"/>
    <mergeCell ref="D4:F4"/>
    <mergeCell ref="A5:C5"/>
    <mergeCell ref="D5:F5"/>
    <mergeCell ref="A6:A7"/>
    <mergeCell ref="B6:B7"/>
    <mergeCell ref="C6:C7"/>
    <mergeCell ref="D6:D7"/>
    <mergeCell ref="E6:E7"/>
  </mergeCells>
  <phoneticPr fontId="77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A99C3-2117-4AFE-942E-6033DB8457FC}">
  <sheetPr>
    <tabColor rgb="FF92D050"/>
  </sheetPr>
  <dimension ref="A1:G415"/>
  <sheetViews>
    <sheetView showGridLines="0" zoomScaleNormal="100" workbookViewId="0">
      <pane ySplit="2610" topLeftCell="A394" activePane="bottomLeft"/>
      <selection pane="bottomLeft" activeCell="G406" sqref="G406"/>
      <selection activeCell="H1" sqref="H1:J1048576"/>
    </sheetView>
  </sheetViews>
  <sheetFormatPr defaultColWidth="12.42578125" defaultRowHeight="15.7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6384" width="12.42578125" style="55"/>
  </cols>
  <sheetData>
    <row r="1" spans="1:7" ht="21" customHeight="1">
      <c r="A1" s="706" t="s">
        <v>43</v>
      </c>
      <c r="B1" s="706"/>
      <c r="C1" s="706"/>
      <c r="D1" s="706"/>
      <c r="E1" s="706"/>
      <c r="F1" s="706"/>
      <c r="G1" s="706"/>
    </row>
    <row r="2" spans="1:7" ht="15.75" customHeight="1">
      <c r="A2" s="706"/>
      <c r="B2" s="706"/>
      <c r="C2" s="706"/>
      <c r="D2" s="706"/>
      <c r="E2" s="706"/>
      <c r="F2" s="706"/>
      <c r="G2" s="706"/>
    </row>
    <row r="3" spans="1:7" ht="15" customHeight="1" thickBot="1">
      <c r="A3" s="707"/>
      <c r="B3" s="707"/>
      <c r="C3" s="707"/>
      <c r="D3" s="707"/>
      <c r="E3" s="707"/>
      <c r="F3" s="707"/>
      <c r="G3" s="707"/>
    </row>
    <row r="4" spans="1:7" ht="17.25" customHeight="1" thickBot="1">
      <c r="A4" s="708" t="s">
        <v>44</v>
      </c>
      <c r="B4" s="709"/>
      <c r="C4" s="710"/>
      <c r="D4" s="711" t="s">
        <v>45</v>
      </c>
      <c r="E4" s="712"/>
      <c r="F4" s="712"/>
      <c r="G4" s="712"/>
    </row>
    <row r="5" spans="1:7" ht="15" customHeight="1" thickBot="1">
      <c r="A5" s="713" t="s">
        <v>46</v>
      </c>
      <c r="B5" s="714"/>
      <c r="C5" s="715"/>
      <c r="D5" s="716" t="s">
        <v>47</v>
      </c>
      <c r="E5" s="717"/>
      <c r="F5" s="718"/>
      <c r="G5" s="719" t="s">
        <v>48</v>
      </c>
    </row>
    <row r="6" spans="1:7" ht="15.75" customHeight="1" thickBot="1">
      <c r="A6" s="65" t="s">
        <v>49</v>
      </c>
      <c r="B6" s="66" t="s">
        <v>50</v>
      </c>
      <c r="C6" s="66" t="s">
        <v>51</v>
      </c>
      <c r="D6" s="66" t="s">
        <v>52</v>
      </c>
      <c r="E6" s="66" t="s">
        <v>53</v>
      </c>
      <c r="F6" s="66" t="s">
        <v>54</v>
      </c>
      <c r="G6" s="720"/>
    </row>
    <row r="7" spans="1:7" ht="16.5" hidden="1" thickBot="1">
      <c r="A7" s="67">
        <v>1993</v>
      </c>
      <c r="B7" s="68" t="s">
        <v>55</v>
      </c>
      <c r="C7" s="69">
        <v>7.9790000000000001</v>
      </c>
      <c r="D7" s="70">
        <v>38.229999999999997</v>
      </c>
      <c r="E7" s="70">
        <v>2567.34</v>
      </c>
      <c r="F7" s="71">
        <v>2567.34</v>
      </c>
      <c r="G7" s="72">
        <f t="shared" ref="G7:G19" si="0">+$C$405/C7</f>
        <v>154.14755277639816</v>
      </c>
    </row>
    <row r="8" spans="1:7" ht="16.5" hidden="1" thickBot="1">
      <c r="A8" s="73">
        <v>1994</v>
      </c>
      <c r="B8" s="74" t="s">
        <v>56</v>
      </c>
      <c r="C8" s="75">
        <v>11.097</v>
      </c>
      <c r="D8" s="76"/>
      <c r="E8" s="76"/>
      <c r="F8" s="77"/>
      <c r="G8" s="78">
        <f t="shared" si="0"/>
        <v>110.83566041298377</v>
      </c>
    </row>
    <row r="9" spans="1:7" ht="16.5" hidden="1" thickBot="1">
      <c r="A9" s="73">
        <v>1994</v>
      </c>
      <c r="B9" s="74" t="s">
        <v>57</v>
      </c>
      <c r="C9" s="75">
        <v>15.62</v>
      </c>
      <c r="D9" s="76"/>
      <c r="E9" s="76"/>
      <c r="F9" s="77"/>
      <c r="G9" s="78">
        <f t="shared" si="0"/>
        <v>78.741570012988532</v>
      </c>
    </row>
    <row r="10" spans="1:7" ht="16.5" hidden="1" thickBot="1">
      <c r="A10" s="73">
        <v>1994</v>
      </c>
      <c r="B10" s="74" t="s">
        <v>58</v>
      </c>
      <c r="C10" s="75">
        <v>22.76</v>
      </c>
      <c r="D10" s="76">
        <f>100*((C10/C9)-1)</f>
        <v>45.710627400768253</v>
      </c>
      <c r="E10" s="76"/>
      <c r="F10" s="77"/>
      <c r="G10" s="78">
        <f t="shared" si="0"/>
        <v>54.039689086242561</v>
      </c>
    </row>
    <row r="11" spans="1:7" ht="16.5" hidden="1" thickBot="1">
      <c r="A11" s="73">
        <v>1994</v>
      </c>
      <c r="B11" s="74" t="s">
        <v>59</v>
      </c>
      <c r="C11" s="75">
        <v>32.07</v>
      </c>
      <c r="D11" s="76">
        <f t="shared" ref="D11:D17" si="1">100*((C11/C10)-1)</f>
        <v>40.905096660808439</v>
      </c>
      <c r="E11" s="76"/>
      <c r="F11" s="77"/>
      <c r="G11" s="78">
        <f t="shared" si="0"/>
        <v>38.351834225222348</v>
      </c>
    </row>
    <row r="12" spans="1:7" ht="16.5" hidden="1" thickBot="1">
      <c r="A12" s="73">
        <v>1994</v>
      </c>
      <c r="B12" s="74" t="s">
        <v>60</v>
      </c>
      <c r="C12" s="75">
        <v>45.73</v>
      </c>
      <c r="D12" s="76">
        <f t="shared" si="1"/>
        <v>42.594324914250059</v>
      </c>
      <c r="E12" s="76"/>
      <c r="F12" s="77"/>
      <c r="G12" s="78">
        <f t="shared" si="0"/>
        <v>26.895764784668291</v>
      </c>
    </row>
    <row r="13" spans="1:7" ht="16.5" hidden="1" thickBot="1">
      <c r="A13" s="73">
        <v>1994</v>
      </c>
      <c r="B13" s="74" t="s">
        <v>61</v>
      </c>
      <c r="C13" s="75">
        <v>66.41</v>
      </c>
      <c r="D13" s="76">
        <f t="shared" si="1"/>
        <v>45.221954952984909</v>
      </c>
      <c r="E13" s="76"/>
      <c r="F13" s="77"/>
      <c r="G13" s="78">
        <f t="shared" si="0"/>
        <v>18.520453600404771</v>
      </c>
    </row>
    <row r="14" spans="1:7" ht="16.5" hidden="1" thickBot="1">
      <c r="A14" s="73">
        <v>1994</v>
      </c>
      <c r="B14" s="74" t="s">
        <v>62</v>
      </c>
      <c r="C14" s="75">
        <v>92.97</v>
      </c>
      <c r="D14" s="76">
        <f t="shared" si="1"/>
        <v>39.993976810721279</v>
      </c>
      <c r="E14" s="76"/>
      <c r="F14" s="77"/>
      <c r="G14" s="78">
        <f t="shared" si="0"/>
        <v>13.229464597212873</v>
      </c>
    </row>
    <row r="15" spans="1:7" ht="16.5" hidden="1" thickBot="1">
      <c r="A15" s="73">
        <v>1994</v>
      </c>
      <c r="B15" s="74" t="s">
        <v>63</v>
      </c>
      <c r="C15" s="75">
        <v>100</v>
      </c>
      <c r="D15" s="76">
        <f t="shared" si="1"/>
        <v>7.5615790039797792</v>
      </c>
      <c r="E15" s="76"/>
      <c r="F15" s="77"/>
      <c r="G15" s="78">
        <f t="shared" si="0"/>
        <v>12.299433236028808</v>
      </c>
    </row>
    <row r="16" spans="1:7" ht="16.5" hidden="1" thickBot="1">
      <c r="A16" s="73">
        <v>1994</v>
      </c>
      <c r="B16" s="74" t="s">
        <v>64</v>
      </c>
      <c r="C16" s="75">
        <v>101.75</v>
      </c>
      <c r="D16" s="76">
        <f t="shared" si="1"/>
        <v>1.7500000000000071</v>
      </c>
      <c r="E16" s="76"/>
      <c r="F16" s="77"/>
      <c r="G16" s="78">
        <f t="shared" si="0"/>
        <v>12.087895072264185</v>
      </c>
    </row>
    <row r="17" spans="1:7" ht="16.5" hidden="1" thickBot="1">
      <c r="A17" s="73">
        <v>1994</v>
      </c>
      <c r="B17" s="74" t="s">
        <v>65</v>
      </c>
      <c r="C17" s="75">
        <v>103.6</v>
      </c>
      <c r="D17" s="76">
        <f t="shared" si="1"/>
        <v>1.8181818181818077</v>
      </c>
      <c r="E17" s="76"/>
      <c r="F17" s="77"/>
      <c r="G17" s="78">
        <f t="shared" si="0"/>
        <v>11.872039803116611</v>
      </c>
    </row>
    <row r="18" spans="1:7" ht="16.5" hidden="1" thickBot="1">
      <c r="A18" s="73">
        <v>1994</v>
      </c>
      <c r="B18" s="74" t="s">
        <v>66</v>
      </c>
      <c r="C18" s="75">
        <v>106.55</v>
      </c>
      <c r="D18" s="76">
        <f>100*((C18/C17)-1)</f>
        <v>2.8474903474903446</v>
      </c>
      <c r="E18" s="76"/>
      <c r="F18" s="77"/>
      <c r="G18" s="78">
        <f t="shared" si="0"/>
        <v>11.543344191486446</v>
      </c>
    </row>
    <row r="19" spans="1:7" ht="16.5" hidden="1" thickBot="1">
      <c r="A19" s="73">
        <v>1994</v>
      </c>
      <c r="B19" s="74" t="s">
        <v>55</v>
      </c>
      <c r="C19" s="75">
        <v>107.45</v>
      </c>
      <c r="D19" s="76">
        <f>100*((C19/C18)-1)</f>
        <v>0.84467386203661565</v>
      </c>
      <c r="E19" s="76">
        <v>1246.6199999999999</v>
      </c>
      <c r="F19" s="77">
        <v>1246.6199999999999</v>
      </c>
      <c r="G19" s="78">
        <f t="shared" si="0"/>
        <v>11.446657269454452</v>
      </c>
    </row>
    <row r="20" spans="1:7" ht="16.5" hidden="1" thickBot="1">
      <c r="A20" s="73"/>
      <c r="B20" s="74"/>
      <c r="C20" s="75"/>
      <c r="D20" s="76"/>
      <c r="E20" s="76"/>
      <c r="F20" s="77"/>
      <c r="G20" s="78"/>
    </row>
    <row r="21" spans="1:7" ht="16.5" hidden="1" thickBot="1">
      <c r="A21" s="73">
        <v>1995</v>
      </c>
      <c r="B21" s="74" t="s">
        <v>56</v>
      </c>
      <c r="C21" s="75">
        <v>108.44199999999999</v>
      </c>
      <c r="D21" s="76">
        <f>100*((C21/C19)-1)</f>
        <v>0.92322010237317897</v>
      </c>
      <c r="E21" s="76">
        <f>100*((C21/107.45)-1)</f>
        <v>0.92322010237317897</v>
      </c>
      <c r="F21" s="77"/>
      <c r="G21" s="78">
        <f t="shared" ref="G21:G32" si="2">+$C$405/C21</f>
        <v>11.341946142665027</v>
      </c>
    </row>
    <row r="22" spans="1:7" ht="16.5" hidden="1" thickBot="1">
      <c r="A22" s="73">
        <v>1995</v>
      </c>
      <c r="B22" s="74" t="s">
        <v>57</v>
      </c>
      <c r="C22" s="75">
        <v>109.44499999999999</v>
      </c>
      <c r="D22" s="76">
        <f t="shared" ref="D22:D32" si="3">100*((C22/C21)-1)</f>
        <v>0.92491838955386374</v>
      </c>
      <c r="E22" s="76">
        <f>100*((C22/107.45)-1)</f>
        <v>1.8566775244299505</v>
      </c>
      <c r="F22" s="77">
        <f t="shared" ref="F22:F32" si="4">100*((C22/C9)-1)</f>
        <v>600.67221510883485</v>
      </c>
      <c r="G22" s="78">
        <f t="shared" si="2"/>
        <v>11.238003779093434</v>
      </c>
    </row>
    <row r="23" spans="1:7" ht="16.5" hidden="1" thickBot="1">
      <c r="A23" s="73">
        <v>1995</v>
      </c>
      <c r="B23" s="74" t="s">
        <v>58</v>
      </c>
      <c r="C23" s="75">
        <v>111.178</v>
      </c>
      <c r="D23" s="76">
        <f t="shared" si="3"/>
        <v>1.5834437388642764</v>
      </c>
      <c r="E23" s="76">
        <f t="shared" ref="E23:E31" si="5">100*((C23/107.45)-1)</f>
        <v>3.4695207073057288</v>
      </c>
      <c r="F23" s="77">
        <f t="shared" si="4"/>
        <v>388.47978910369062</v>
      </c>
      <c r="G23" s="78">
        <f t="shared" si="2"/>
        <v>11.062830088712523</v>
      </c>
    </row>
    <row r="24" spans="1:7" ht="16.5" hidden="1" thickBot="1">
      <c r="A24" s="73">
        <v>1995</v>
      </c>
      <c r="B24" s="74" t="s">
        <v>59</v>
      </c>
      <c r="C24" s="75">
        <v>113.518</v>
      </c>
      <c r="D24" s="76">
        <f t="shared" si="3"/>
        <v>2.1047329507636325</v>
      </c>
      <c r="E24" s="76">
        <f t="shared" si="5"/>
        <v>5.6472778036295912</v>
      </c>
      <c r="F24" s="77">
        <f t="shared" si="4"/>
        <v>253.96944184596197</v>
      </c>
      <c r="G24" s="78">
        <f t="shared" si="2"/>
        <v>10.834786761596229</v>
      </c>
    </row>
    <row r="25" spans="1:7" ht="16.5" hidden="1" thickBot="1">
      <c r="A25" s="73">
        <v>1995</v>
      </c>
      <c r="B25" s="74" t="s">
        <v>60</v>
      </c>
      <c r="C25" s="75">
        <v>114.17100000000001</v>
      </c>
      <c r="D25" s="76">
        <f t="shared" si="3"/>
        <v>0.57523916911856876</v>
      </c>
      <c r="E25" s="76">
        <f t="shared" si="5"/>
        <v>6.2550023266635613</v>
      </c>
      <c r="F25" s="77">
        <f t="shared" si="4"/>
        <v>149.66324076098846</v>
      </c>
      <c r="G25" s="78">
        <f t="shared" si="2"/>
        <v>10.772817296886958</v>
      </c>
    </row>
    <row r="26" spans="1:7" ht="16.5" hidden="1" thickBot="1">
      <c r="A26" s="73">
        <v>1995</v>
      </c>
      <c r="B26" s="74" t="s">
        <v>61</v>
      </c>
      <c r="C26" s="75">
        <v>116.98399999999999</v>
      </c>
      <c r="D26" s="76">
        <f t="shared" si="3"/>
        <v>2.4638480875178281</v>
      </c>
      <c r="E26" s="76">
        <f t="shared" si="5"/>
        <v>8.8729641693811026</v>
      </c>
      <c r="F26" s="77">
        <f t="shared" si="4"/>
        <v>76.154193645535301</v>
      </c>
      <c r="G26" s="78">
        <f t="shared" si="2"/>
        <v>10.513773880213369</v>
      </c>
    </row>
    <row r="27" spans="1:7" ht="16.5" hidden="1" thickBot="1">
      <c r="A27" s="73">
        <v>1995</v>
      </c>
      <c r="B27" s="74" t="s">
        <v>62</v>
      </c>
      <c r="C27" s="75">
        <v>119.114</v>
      </c>
      <c r="D27" s="76">
        <f t="shared" si="3"/>
        <v>1.8207618135813508</v>
      </c>
      <c r="E27" s="76">
        <f t="shared" si="5"/>
        <v>10.855281526291293</v>
      </c>
      <c r="F27" s="77">
        <f t="shared" si="4"/>
        <v>28.120899214800477</v>
      </c>
      <c r="G27" s="78">
        <f t="shared" si="2"/>
        <v>10.325766270991494</v>
      </c>
    </row>
    <row r="28" spans="1:7" ht="16.5" hidden="1" thickBot="1">
      <c r="A28" s="73">
        <v>1995</v>
      </c>
      <c r="B28" s="74" t="s">
        <v>63</v>
      </c>
      <c r="C28" s="75">
        <v>121.729</v>
      </c>
      <c r="D28" s="76">
        <f t="shared" si="3"/>
        <v>2.1953758584213334</v>
      </c>
      <c r="E28" s="76">
        <f t="shared" si="5"/>
        <v>13.288971614704504</v>
      </c>
      <c r="F28" s="77">
        <f t="shared" si="4"/>
        <v>21.728999999999999</v>
      </c>
      <c r="G28" s="78">
        <f t="shared" si="2"/>
        <v>10.103946665156872</v>
      </c>
    </row>
    <row r="29" spans="1:7" ht="16.5" hidden="1" thickBot="1">
      <c r="A29" s="73">
        <v>1995</v>
      </c>
      <c r="B29" s="74" t="s">
        <v>64</v>
      </c>
      <c r="C29" s="75">
        <v>120.869</v>
      </c>
      <c r="D29" s="76">
        <f t="shared" si="3"/>
        <v>-0.70648736126970313</v>
      </c>
      <c r="E29" s="76">
        <f t="shared" si="5"/>
        <v>12.488599348534191</v>
      </c>
      <c r="F29" s="77">
        <f t="shared" si="4"/>
        <v>18.790171990171988</v>
      </c>
      <c r="G29" s="78">
        <f t="shared" si="2"/>
        <v>10.175837672214387</v>
      </c>
    </row>
    <row r="30" spans="1:7" ht="16.5" hidden="1" thickBot="1">
      <c r="A30" s="73">
        <v>1995</v>
      </c>
      <c r="B30" s="74" t="s">
        <v>65</v>
      </c>
      <c r="C30" s="75">
        <v>121.503</v>
      </c>
      <c r="D30" s="76">
        <f t="shared" si="3"/>
        <v>0.52453482696142029</v>
      </c>
      <c r="E30" s="76">
        <f t="shared" si="5"/>
        <v>13.07864122847835</v>
      </c>
      <c r="F30" s="77">
        <f t="shared" si="4"/>
        <v>17.280888030888029</v>
      </c>
      <c r="G30" s="78">
        <f t="shared" si="2"/>
        <v>10.12274037351243</v>
      </c>
    </row>
    <row r="31" spans="1:7" ht="16.5" hidden="1" thickBot="1">
      <c r="A31" s="73">
        <v>1995</v>
      </c>
      <c r="B31" s="74" t="s">
        <v>66</v>
      </c>
      <c r="C31" s="75">
        <v>122.955</v>
      </c>
      <c r="D31" s="76">
        <f t="shared" si="3"/>
        <v>1.1950322214266285</v>
      </c>
      <c r="E31" s="76">
        <f t="shared" si="5"/>
        <v>14.4299674267101</v>
      </c>
      <c r="F31" s="77">
        <f t="shared" si="4"/>
        <v>15.396527451900521</v>
      </c>
      <c r="G31" s="78">
        <f t="shared" si="2"/>
        <v>10.003198923206709</v>
      </c>
    </row>
    <row r="32" spans="1:7" ht="16.5" hidden="1" thickBot="1">
      <c r="A32" s="73">
        <v>1995</v>
      </c>
      <c r="B32" s="74" t="s">
        <v>55</v>
      </c>
      <c r="C32" s="75">
        <v>123.82</v>
      </c>
      <c r="D32" s="76">
        <f t="shared" si="3"/>
        <v>0.70350941401324807</v>
      </c>
      <c r="E32" s="76">
        <f>100*((C27/C19)-1)</f>
        <v>10.855281526291293</v>
      </c>
      <c r="F32" s="77">
        <f t="shared" si="4"/>
        <v>15.234993020009302</v>
      </c>
      <c r="G32" s="78">
        <f t="shared" si="2"/>
        <v>9.933317102268461</v>
      </c>
    </row>
    <row r="33" spans="1:7" ht="16.5" hidden="1" thickBot="1">
      <c r="A33" s="73"/>
      <c r="B33" s="74"/>
      <c r="C33" s="75"/>
      <c r="D33" s="76"/>
      <c r="E33" s="76"/>
      <c r="F33" s="77"/>
      <c r="G33" s="78"/>
    </row>
    <row r="34" spans="1:7" ht="16.5" hidden="1" thickBot="1">
      <c r="A34" s="73">
        <v>1996</v>
      </c>
      <c r="B34" s="74" t="s">
        <v>56</v>
      </c>
      <c r="C34" s="75">
        <v>125.977</v>
      </c>
      <c r="D34" s="76">
        <f>100*((C34/C32)-1)</f>
        <v>1.7420449038927588</v>
      </c>
      <c r="E34" s="76">
        <f t="shared" ref="E34:E44" si="6">100*((C34/123.815)-1)</f>
        <v>1.7461535355167035</v>
      </c>
      <c r="F34" s="77">
        <f t="shared" ref="F34:F45" si="7">100*((C34/C21)-1)</f>
        <v>16.16993415835195</v>
      </c>
      <c r="G34" s="78">
        <f t="shared" ref="G34:G45" si="8">+$C$405/C34</f>
        <v>9.7632371274350138</v>
      </c>
    </row>
    <row r="35" spans="1:7" ht="16.5" hidden="1" thickBot="1">
      <c r="A35" s="73">
        <v>1996</v>
      </c>
      <c r="B35" s="74" t="s">
        <v>57</v>
      </c>
      <c r="C35" s="75">
        <v>127.202</v>
      </c>
      <c r="D35" s="76">
        <f>100*((C35/C34)-1)</f>
        <v>0.97239972375908756</v>
      </c>
      <c r="E35" s="76">
        <f t="shared" si="6"/>
        <v>2.7355328514315769</v>
      </c>
      <c r="F35" s="77">
        <f t="shared" si="7"/>
        <v>16.224587692448278</v>
      </c>
      <c r="G35" s="78">
        <f t="shared" si="8"/>
        <v>9.6692137199327117</v>
      </c>
    </row>
    <row r="36" spans="1:7" ht="16.5" hidden="1" thickBot="1">
      <c r="A36" s="73">
        <v>1996</v>
      </c>
      <c r="B36" s="74" t="s">
        <v>58</v>
      </c>
      <c r="C36" s="79">
        <v>127.715</v>
      </c>
      <c r="D36" s="76">
        <f>100*((C36/C35)-1)</f>
        <v>0.40329554566751469</v>
      </c>
      <c r="E36" s="76">
        <f t="shared" si="6"/>
        <v>3.1498606792391914</v>
      </c>
      <c r="F36" s="77">
        <f t="shared" si="7"/>
        <v>14.874345643922361</v>
      </c>
      <c r="G36" s="78">
        <f t="shared" si="8"/>
        <v>9.6303748471430985</v>
      </c>
    </row>
    <row r="37" spans="1:7" ht="16.5" hidden="1" thickBot="1">
      <c r="A37" s="73">
        <v>1996</v>
      </c>
      <c r="B37" s="74" t="s">
        <v>59</v>
      </c>
      <c r="C37" s="79">
        <v>128.13</v>
      </c>
      <c r="D37" s="76">
        <f>100*((C37/C36)-1)</f>
        <v>0.32494225423793655</v>
      </c>
      <c r="E37" s="76">
        <f t="shared" si="6"/>
        <v>3.4850381617736126</v>
      </c>
      <c r="F37" s="77">
        <f t="shared" si="7"/>
        <v>12.871967441286847</v>
      </c>
      <c r="G37" s="78">
        <f t="shared" si="8"/>
        <v>9.5991830453670559</v>
      </c>
    </row>
    <row r="38" spans="1:7" ht="16.5" hidden="1" thickBot="1">
      <c r="A38" s="73">
        <v>1996</v>
      </c>
      <c r="B38" s="74" t="s">
        <v>60</v>
      </c>
      <c r="C38" s="79">
        <v>130.12100000000001</v>
      </c>
      <c r="D38" s="76">
        <f t="shared" ref="D38:D44" si="9">100*((C38/C37)-1)</f>
        <v>1.5538905798798242</v>
      </c>
      <c r="E38" s="76">
        <f t="shared" si="6"/>
        <v>5.0930824213544446</v>
      </c>
      <c r="F38" s="77">
        <f t="shared" si="7"/>
        <v>13.970272661183669</v>
      </c>
      <c r="G38" s="78">
        <f t="shared" si="8"/>
        <v>9.452304574994665</v>
      </c>
    </row>
    <row r="39" spans="1:7" ht="16.5" hidden="1" thickBot="1">
      <c r="A39" s="73">
        <v>1996</v>
      </c>
      <c r="B39" s="74" t="s">
        <v>61</v>
      </c>
      <c r="C39" s="79">
        <v>131.44499999999999</v>
      </c>
      <c r="D39" s="76">
        <f t="shared" si="9"/>
        <v>1.017514467303493</v>
      </c>
      <c r="E39" s="76">
        <f t="shared" si="6"/>
        <v>6.1624197391269231</v>
      </c>
      <c r="F39" s="77">
        <f t="shared" si="7"/>
        <v>12.36151952403748</v>
      </c>
      <c r="G39" s="78">
        <f t="shared" si="8"/>
        <v>9.3570947818698382</v>
      </c>
    </row>
    <row r="40" spans="1:7" ht="16.5" hidden="1" thickBot="1">
      <c r="A40" s="73">
        <v>1996</v>
      </c>
      <c r="B40" s="74" t="s">
        <v>62</v>
      </c>
      <c r="C40" s="79">
        <v>133.21299999999999</v>
      </c>
      <c r="D40" s="76">
        <f t="shared" si="9"/>
        <v>1.3450492601468245</v>
      </c>
      <c r="E40" s="76">
        <f t="shared" si="6"/>
        <v>7.5903565803820294</v>
      </c>
      <c r="F40" s="77">
        <f t="shared" si="7"/>
        <v>11.836559934180691</v>
      </c>
      <c r="G40" s="78">
        <f t="shared" si="8"/>
        <v>9.2329076261542102</v>
      </c>
    </row>
    <row r="41" spans="1:7" ht="16.5" hidden="1" thickBot="1">
      <c r="A41" s="73">
        <v>1996</v>
      </c>
      <c r="B41" s="74" t="s">
        <v>63</v>
      </c>
      <c r="C41" s="79">
        <v>133.58699999999999</v>
      </c>
      <c r="D41" s="76">
        <f t="shared" si="9"/>
        <v>0.2807533799253692</v>
      </c>
      <c r="E41" s="76">
        <f t="shared" si="6"/>
        <v>7.8924201429552143</v>
      </c>
      <c r="F41" s="77">
        <f t="shared" si="7"/>
        <v>9.7413106162048457</v>
      </c>
      <c r="G41" s="78">
        <f t="shared" si="8"/>
        <v>9.2070584982287258</v>
      </c>
    </row>
    <row r="42" spans="1:7" ht="16.5" hidden="1" thickBot="1">
      <c r="A42" s="73">
        <v>1996</v>
      </c>
      <c r="B42" s="74" t="s">
        <v>64</v>
      </c>
      <c r="C42" s="79">
        <v>133.72200000000001</v>
      </c>
      <c r="D42" s="76">
        <f t="shared" si="9"/>
        <v>0.10105773765411996</v>
      </c>
      <c r="E42" s="76">
        <f t="shared" si="6"/>
        <v>8.0014537818519749</v>
      </c>
      <c r="F42" s="77">
        <f t="shared" si="7"/>
        <v>10.633826704945037</v>
      </c>
      <c r="G42" s="78">
        <f t="shared" si="8"/>
        <v>9.1977634465748395</v>
      </c>
    </row>
    <row r="43" spans="1:7" ht="16.5" hidden="1" thickBot="1">
      <c r="A43" s="73">
        <v>1996</v>
      </c>
      <c r="B43" s="74" t="s">
        <v>65</v>
      </c>
      <c r="C43" s="75">
        <v>133.97800000000001</v>
      </c>
      <c r="D43" s="76">
        <f t="shared" si="9"/>
        <v>0.19144194672529036</v>
      </c>
      <c r="E43" s="76">
        <f t="shared" si="6"/>
        <v>8.2082138674635541</v>
      </c>
      <c r="F43" s="77">
        <f t="shared" si="7"/>
        <v>10.267236199929219</v>
      </c>
      <c r="G43" s="78">
        <f t="shared" si="8"/>
        <v>9.1801887145865795</v>
      </c>
    </row>
    <row r="44" spans="1:7" ht="16.5" hidden="1" thickBot="1">
      <c r="A44" s="73">
        <v>1996</v>
      </c>
      <c r="B44" s="74" t="s">
        <v>66</v>
      </c>
      <c r="C44" s="75">
        <v>134.24199999999999</v>
      </c>
      <c r="D44" s="76">
        <f t="shared" si="9"/>
        <v>0.19704727641849384</v>
      </c>
      <c r="E44" s="76">
        <f t="shared" si="6"/>
        <v>8.421435205750516</v>
      </c>
      <c r="F44" s="77">
        <f t="shared" si="7"/>
        <v>9.1797812207718099</v>
      </c>
      <c r="G44" s="78">
        <f t="shared" si="8"/>
        <v>9.1621349771523128</v>
      </c>
    </row>
    <row r="45" spans="1:7" ht="16.5" hidden="1" thickBot="1">
      <c r="A45" s="73">
        <v>1996</v>
      </c>
      <c r="B45" s="74" t="s">
        <v>55</v>
      </c>
      <c r="C45" s="75">
        <v>135.22499999999999</v>
      </c>
      <c r="D45" s="76">
        <v>0.73</v>
      </c>
      <c r="E45" s="76">
        <v>9.19</v>
      </c>
      <c r="F45" s="77">
        <f t="shared" si="7"/>
        <v>9.2109513810369812</v>
      </c>
      <c r="G45" s="78">
        <f t="shared" si="8"/>
        <v>9.0955320658375367</v>
      </c>
    </row>
    <row r="46" spans="1:7" ht="16.5" hidden="1" thickBot="1">
      <c r="A46" s="73"/>
      <c r="B46" s="74"/>
      <c r="C46" s="75"/>
      <c r="D46" s="76"/>
      <c r="E46" s="76"/>
      <c r="F46" s="77"/>
      <c r="G46" s="78"/>
    </row>
    <row r="47" spans="1:7" ht="16.5" hidden="1" thickBot="1">
      <c r="A47" s="73">
        <v>1997</v>
      </c>
      <c r="B47" s="74" t="s">
        <v>56</v>
      </c>
      <c r="C47" s="75">
        <v>137.613</v>
      </c>
      <c r="D47" s="76">
        <f>100*((C47/C45)-1)</f>
        <v>1.7659456461453171</v>
      </c>
      <c r="E47" s="76">
        <f t="shared" ref="E47:E54" si="10">100*((C47/135.2)-1)</f>
        <v>1.7847633136094831</v>
      </c>
      <c r="F47" s="77">
        <f t="shared" ref="F47:F54" si="11">100*((C47/C34)-1)</f>
        <v>9.2366066821721446</v>
      </c>
      <c r="G47" s="78">
        <f t="shared" ref="G47:G58" si="12">+$C$405/C47</f>
        <v>8.9376971914200034</v>
      </c>
    </row>
    <row r="48" spans="1:7" ht="16.5" hidden="1" thickBot="1">
      <c r="A48" s="73">
        <v>1997</v>
      </c>
      <c r="B48" s="74" t="s">
        <v>57</v>
      </c>
      <c r="C48" s="75">
        <v>138.20400000000001</v>
      </c>
      <c r="D48" s="76">
        <f t="shared" ref="D48:D54" si="13">100*((C48/C47)-1)</f>
        <v>0.42946523947593462</v>
      </c>
      <c r="E48" s="76">
        <f t="shared" si="10"/>
        <v>2.2218934911242716</v>
      </c>
      <c r="F48" s="77">
        <f t="shared" si="11"/>
        <v>8.6492350749202132</v>
      </c>
      <c r="G48" s="78">
        <f t="shared" si="12"/>
        <v>8.8994770310763851</v>
      </c>
    </row>
    <row r="49" spans="1:7" ht="16.5" hidden="1" thickBot="1">
      <c r="A49" s="73">
        <v>1997</v>
      </c>
      <c r="B49" s="74" t="s">
        <v>58</v>
      </c>
      <c r="C49" s="75">
        <v>139.79499999999999</v>
      </c>
      <c r="D49" s="76">
        <f t="shared" si="13"/>
        <v>1.1511967815692525</v>
      </c>
      <c r="E49" s="76">
        <f t="shared" si="10"/>
        <v>3.3986686390532483</v>
      </c>
      <c r="F49" s="77">
        <f t="shared" si="11"/>
        <v>9.4585600751673446</v>
      </c>
      <c r="G49" s="78">
        <f t="shared" si="12"/>
        <v>8.7981925219276871</v>
      </c>
    </row>
    <row r="50" spans="1:7" ht="16.5" hidden="1" thickBot="1">
      <c r="A50" s="73">
        <v>1997</v>
      </c>
      <c r="B50" s="74" t="s">
        <v>59</v>
      </c>
      <c r="C50" s="75">
        <v>140.74199999999999</v>
      </c>
      <c r="D50" s="76">
        <f t="shared" si="13"/>
        <v>0.67742050860188918</v>
      </c>
      <c r="E50" s="76">
        <f t="shared" si="10"/>
        <v>4.0991124260355116</v>
      </c>
      <c r="F50" s="77">
        <f t="shared" si="11"/>
        <v>9.8431280730508099</v>
      </c>
      <c r="G50" s="78">
        <f t="shared" si="12"/>
        <v>8.7389927925060107</v>
      </c>
    </row>
    <row r="51" spans="1:7" ht="16.5" hidden="1" thickBot="1">
      <c r="A51" s="73">
        <v>1997</v>
      </c>
      <c r="B51" s="74" t="s">
        <v>60</v>
      </c>
      <c r="C51" s="75">
        <v>141.04</v>
      </c>
      <c r="D51" s="76">
        <f t="shared" si="13"/>
        <v>0.2117349476346897</v>
      </c>
      <c r="E51" s="76">
        <f t="shared" si="10"/>
        <v>4.3195266272189281</v>
      </c>
      <c r="F51" s="77">
        <f t="shared" si="11"/>
        <v>8.3914202934191948</v>
      </c>
      <c r="G51" s="78">
        <f t="shared" si="12"/>
        <v>8.7205283862938234</v>
      </c>
    </row>
    <row r="52" spans="1:7" ht="16.5" hidden="1" thickBot="1">
      <c r="A52" s="73">
        <v>1997</v>
      </c>
      <c r="B52" s="74" t="s">
        <v>61</v>
      </c>
      <c r="C52" s="75">
        <v>142.09</v>
      </c>
      <c r="D52" s="76">
        <f t="shared" si="13"/>
        <v>0.74446965399888043</v>
      </c>
      <c r="E52" s="76">
        <f t="shared" si="10"/>
        <v>5.0961538461538503</v>
      </c>
      <c r="F52" s="77">
        <f t="shared" si="11"/>
        <v>8.0984442162121084</v>
      </c>
      <c r="G52" s="78">
        <f t="shared" si="12"/>
        <v>8.6560864494537313</v>
      </c>
    </row>
    <row r="53" spans="1:7" ht="16.5" hidden="1" thickBot="1">
      <c r="A53" s="73">
        <v>1997</v>
      </c>
      <c r="B53" s="74" t="s">
        <v>62</v>
      </c>
      <c r="C53" s="75">
        <v>142.221</v>
      </c>
      <c r="D53" s="76">
        <f t="shared" si="13"/>
        <v>9.2195087620527971E-2</v>
      </c>
      <c r="E53" s="76">
        <f t="shared" si="10"/>
        <v>5.1930473372781227</v>
      </c>
      <c r="F53" s="77">
        <f t="shared" si="11"/>
        <v>6.7621027977750048</v>
      </c>
      <c r="G53" s="78">
        <f t="shared" si="12"/>
        <v>8.6481133138065456</v>
      </c>
    </row>
    <row r="54" spans="1:7" ht="16.5" hidden="1" thickBot="1">
      <c r="A54" s="73">
        <v>1997</v>
      </c>
      <c r="B54" s="74" t="s">
        <v>63</v>
      </c>
      <c r="C54" s="75">
        <v>142.25299999999999</v>
      </c>
      <c r="D54" s="76">
        <f t="shared" si="13"/>
        <v>2.2500193361030263E-2</v>
      </c>
      <c r="E54" s="76">
        <f t="shared" si="10"/>
        <v>5.2167159763313542</v>
      </c>
      <c r="F54" s="77">
        <f t="shared" si="11"/>
        <v>6.4871581815595825</v>
      </c>
      <c r="G54" s="78">
        <f t="shared" si="12"/>
        <v>8.6461679093086321</v>
      </c>
    </row>
    <row r="55" spans="1:7" ht="16.5" hidden="1" thickBot="1">
      <c r="A55" s="73">
        <v>1997</v>
      </c>
      <c r="B55" s="74" t="s">
        <v>64</v>
      </c>
      <c r="C55" s="75">
        <v>143.042</v>
      </c>
      <c r="D55" s="76">
        <v>0.48</v>
      </c>
      <c r="E55" s="76">
        <f>100*(($C$55/$C$45)-1)</f>
        <v>5.7807358106858997</v>
      </c>
      <c r="F55" s="77">
        <v>6.96</v>
      </c>
      <c r="G55" s="78">
        <f t="shared" si="12"/>
        <v>8.5984768361941306</v>
      </c>
    </row>
    <row r="56" spans="1:7" ht="16.5" hidden="1" thickBot="1">
      <c r="A56" s="73">
        <v>1997</v>
      </c>
      <c r="B56" s="74" t="s">
        <v>65</v>
      </c>
      <c r="C56" s="75">
        <v>143.56700000000001</v>
      </c>
      <c r="D56" s="76">
        <f>($C$56/$C$55-1)*100</f>
        <v>0.3670250695599897</v>
      </c>
      <c r="E56" s="76">
        <f>100*(($C$56/$C$45)-1)</f>
        <v>6.1689776298761378</v>
      </c>
      <c r="F56" s="77">
        <v>7.15</v>
      </c>
      <c r="G56" s="78">
        <f t="shared" si="12"/>
        <v>8.5670336748896379</v>
      </c>
    </row>
    <row r="57" spans="1:7" ht="16.5" hidden="1" thickBot="1">
      <c r="A57" s="73">
        <v>1997</v>
      </c>
      <c r="B57" s="74" t="s">
        <v>66</v>
      </c>
      <c r="C57" s="75">
        <v>144.48099999999999</v>
      </c>
      <c r="D57" s="76">
        <f>($C$56/$C$55-1)*100</f>
        <v>0.3670250695599897</v>
      </c>
      <c r="E57" s="76">
        <f>100*(($C$57/$C$45)-1)</f>
        <v>6.8448881493806679</v>
      </c>
      <c r="F57" s="77">
        <v>7.62</v>
      </c>
      <c r="G57" s="78">
        <f t="shared" si="12"/>
        <v>8.5128378375210634</v>
      </c>
    </row>
    <row r="58" spans="1:7" ht="16.5" hidden="1" thickBot="1">
      <c r="A58" s="73">
        <v>1997</v>
      </c>
      <c r="B58" s="74" t="s">
        <v>55</v>
      </c>
      <c r="C58" s="75">
        <v>145.69499999999999</v>
      </c>
      <c r="D58" s="76">
        <f>($C$57/$C$56-1)*100</f>
        <v>0.63663655296828381</v>
      </c>
      <c r="E58" s="76">
        <f>100*(($C$58/$C$45)-1)</f>
        <v>7.7426511369939055</v>
      </c>
      <c r="F58" s="77">
        <v>7.74</v>
      </c>
      <c r="G58" s="78">
        <f t="shared" si="12"/>
        <v>8.4419048258545644</v>
      </c>
    </row>
    <row r="59" spans="1:7" ht="16.5" hidden="1" thickBot="1">
      <c r="A59" s="73"/>
      <c r="B59" s="74"/>
      <c r="C59" s="75"/>
      <c r="D59" s="76"/>
      <c r="E59" s="76"/>
      <c r="F59" s="77"/>
      <c r="G59" s="78"/>
    </row>
    <row r="60" spans="1:7" ht="16.5" hidden="1" thickBot="1">
      <c r="A60" s="73">
        <v>1998</v>
      </c>
      <c r="B60" s="74" t="s">
        <v>56</v>
      </c>
      <c r="C60" s="75">
        <v>147.09100000000001</v>
      </c>
      <c r="D60" s="76">
        <f>($C$60/$C$58-1)*100</f>
        <v>0.95816603177871773</v>
      </c>
      <c r="E60" s="76">
        <f>+$C$60/$C$57*100-100</f>
        <v>1.8064659020909488</v>
      </c>
      <c r="F60" s="77" t="s">
        <v>67</v>
      </c>
      <c r="G60" s="78">
        <f t="shared" ref="G60:G71" si="14">+$C$405/C60</f>
        <v>8.3617850419324142</v>
      </c>
    </row>
    <row r="61" spans="1:7" ht="16.5" hidden="1" thickBot="1">
      <c r="A61" s="73">
        <v>1998</v>
      </c>
      <c r="B61" s="74" t="s">
        <v>57</v>
      </c>
      <c r="C61" s="75">
        <v>147.35599999999999</v>
      </c>
      <c r="D61" s="76">
        <f>($C$61/$C$60-1)*100</f>
        <v>0.1801605808648965</v>
      </c>
      <c r="E61" s="76">
        <f>+$C$61/$C$58*100-100</f>
        <v>1.1400528501321219</v>
      </c>
      <c r="F61" s="77">
        <v>6.62</v>
      </c>
      <c r="G61" s="78">
        <f t="shared" si="14"/>
        <v>8.3467474931654007</v>
      </c>
    </row>
    <row r="62" spans="1:7" ht="16.5" hidden="1" thickBot="1">
      <c r="A62" s="73">
        <v>1998</v>
      </c>
      <c r="B62" s="74" t="s">
        <v>58</v>
      </c>
      <c r="C62" s="75">
        <v>147.63499999999999</v>
      </c>
      <c r="D62" s="76">
        <f>($C$62/$C$61-1)*100</f>
        <v>0.18933738700832592</v>
      </c>
      <c r="E62" s="76">
        <f>+$C$62/$C$58*100-100</f>
        <v>1.3315487834174178</v>
      </c>
      <c r="F62" s="77">
        <v>5.61</v>
      </c>
      <c r="G62" s="78">
        <f t="shared" si="14"/>
        <v>8.3309738449749773</v>
      </c>
    </row>
    <row r="63" spans="1:7" ht="16.5" hidden="1" thickBot="1">
      <c r="A63" s="73">
        <v>1998</v>
      </c>
      <c r="B63" s="74" t="s">
        <v>59</v>
      </c>
      <c r="C63" s="75">
        <v>147.821</v>
      </c>
      <c r="D63" s="76">
        <f>($C$63/$C$62-1)*100</f>
        <v>0.12598638534222495</v>
      </c>
      <c r="E63" s="76">
        <f>+$C$63/$C$58*100-100</f>
        <v>1.4592127389409342</v>
      </c>
      <c r="F63" s="77">
        <v>5.03</v>
      </c>
      <c r="G63" s="78">
        <f t="shared" si="14"/>
        <v>8.3204911589211328</v>
      </c>
    </row>
    <row r="64" spans="1:7" ht="16.5" hidden="1" thickBot="1">
      <c r="A64" s="73">
        <v>1998</v>
      </c>
      <c r="B64" s="74" t="s">
        <v>60</v>
      </c>
      <c r="C64" s="75">
        <v>148.02099999999999</v>
      </c>
      <c r="D64" s="76">
        <f>($C$64/$C$63-1)*100</f>
        <v>0.13529877351661224</v>
      </c>
      <c r="E64" s="76">
        <f>+$C$64/$C$58*100-100</f>
        <v>1.5964858093963272</v>
      </c>
      <c r="F64" s="77">
        <v>4.95</v>
      </c>
      <c r="G64" s="78">
        <f t="shared" si="14"/>
        <v>8.3092488471425057</v>
      </c>
    </row>
    <row r="65" spans="1:7" ht="16.5" hidden="1" thickBot="1">
      <c r="A65" s="73">
        <v>1998</v>
      </c>
      <c r="B65" s="74" t="s">
        <v>61</v>
      </c>
      <c r="C65" s="75">
        <v>148.58799999999999</v>
      </c>
      <c r="D65" s="76">
        <f>($C$65/$C$64-1)*100</f>
        <v>0.383053755885987</v>
      </c>
      <c r="E65" s="76">
        <f>+$C$65/$C$58*100-100</f>
        <v>1.9856549641374102</v>
      </c>
      <c r="F65" s="77">
        <v>4.58</v>
      </c>
      <c r="G65" s="78">
        <f t="shared" si="14"/>
        <v>8.277541413861691</v>
      </c>
    </row>
    <row r="66" spans="1:7" ht="16.5" hidden="1" thickBot="1">
      <c r="A66" s="73">
        <v>1998</v>
      </c>
      <c r="B66" s="74" t="s">
        <v>62</v>
      </c>
      <c r="C66" s="75">
        <v>148.339</v>
      </c>
      <c r="D66" s="76">
        <f>($C$66/$C$65-1)*100</f>
        <v>-0.16757746251379046</v>
      </c>
      <c r="E66" s="76">
        <f>+$C$66/$C$58*100-100</f>
        <v>1.8147499914204417</v>
      </c>
      <c r="F66" s="77">
        <v>4.3099999999999996</v>
      </c>
      <c r="G66" s="78">
        <f t="shared" si="14"/>
        <v>8.2914359919028762</v>
      </c>
    </row>
    <row r="67" spans="1:7" ht="16.5" hidden="1" thickBot="1">
      <c r="A67" s="73">
        <v>1998</v>
      </c>
      <c r="B67" s="74" t="s">
        <v>63</v>
      </c>
      <c r="C67" s="75">
        <v>148.10900000000001</v>
      </c>
      <c r="D67" s="76">
        <f>($C$67/$C$66-1)*100</f>
        <v>-0.15505025650704995</v>
      </c>
      <c r="E67" s="76">
        <f>+$C$67/$C$58*100-100</f>
        <v>1.6568859603967212</v>
      </c>
      <c r="F67" s="77">
        <v>4.04</v>
      </c>
      <c r="G67" s="78">
        <f t="shared" si="14"/>
        <v>8.3043118487254706</v>
      </c>
    </row>
    <row r="68" spans="1:7" ht="16.5" hidden="1" thickBot="1">
      <c r="A68" s="73">
        <v>1998</v>
      </c>
      <c r="B68" s="74" t="s">
        <v>64</v>
      </c>
      <c r="C68" s="75">
        <v>147.98400000000001</v>
      </c>
      <c r="D68" s="76">
        <f>($C$68/$C$67-1)*100</f>
        <v>-8.43973019870492E-2</v>
      </c>
      <c r="E68" s="76">
        <f>+$C$68/$C$58*100-100</f>
        <v>1.5710902913621112</v>
      </c>
      <c r="F68" s="77">
        <f>(($C$68/$C$55)-1)*100</f>
        <v>3.4549293214580334</v>
      </c>
      <c r="G68" s="78">
        <f t="shared" si="14"/>
        <v>8.3113263839528653</v>
      </c>
    </row>
    <row r="69" spans="1:7" ht="16.5" hidden="1" thickBot="1">
      <c r="A69" s="73">
        <v>1998</v>
      </c>
      <c r="B69" s="74" t="s">
        <v>65</v>
      </c>
      <c r="C69" s="75">
        <v>148.1</v>
      </c>
      <c r="D69" s="76">
        <f>($C$69/$C$68-1)*100</f>
        <v>7.8386852632705839E-2</v>
      </c>
      <c r="E69" s="76">
        <f>+$C$69/$C$58*100-100</f>
        <v>1.6507086722262301</v>
      </c>
      <c r="F69" s="77">
        <f>(($C$69/$C$56)-1)*100</f>
        <v>3.1574108256075428</v>
      </c>
      <c r="G69" s="78">
        <f t="shared" si="14"/>
        <v>8.3048164996818432</v>
      </c>
    </row>
    <row r="70" spans="1:7" ht="16.5" hidden="1" thickBot="1">
      <c r="A70" s="73">
        <v>1998</v>
      </c>
      <c r="B70" s="74" t="s">
        <v>66</v>
      </c>
      <c r="C70" s="75">
        <v>147.62799999999999</v>
      </c>
      <c r="D70" s="76">
        <f>($C$70/$C$69-1)*100</f>
        <v>-0.31870357866307097</v>
      </c>
      <c r="E70" s="76">
        <f>+$C$70/$C$58*100-100</f>
        <v>1.3267442259514723</v>
      </c>
      <c r="F70" s="77">
        <f>(($C$70/$C$57)-1)*100</f>
        <v>2.1781410704521553</v>
      </c>
      <c r="G70" s="78">
        <f t="shared" si="14"/>
        <v>8.3313688704235034</v>
      </c>
    </row>
    <row r="71" spans="1:7" ht="16.5" hidden="1" thickBot="1">
      <c r="A71" s="73">
        <v>1998</v>
      </c>
      <c r="B71" s="74" t="s">
        <v>55</v>
      </c>
      <c r="C71" s="75">
        <v>148.291</v>
      </c>
      <c r="D71" s="76">
        <f>($C$71/$C$70-1)*100</f>
        <v>0.44910179640720305</v>
      </c>
      <c r="E71" s="76">
        <f>+(($C$71/$C$58)-1)*100</f>
        <v>1.7818044545111489</v>
      </c>
      <c r="F71" s="77">
        <f>(($C$71/$C$58)-1)*100</f>
        <v>1.7818044545111489</v>
      </c>
      <c r="G71" s="78">
        <f t="shared" si="14"/>
        <v>8.2941198292740683</v>
      </c>
    </row>
    <row r="72" spans="1:7" ht="16.5" hidden="1" thickBot="1">
      <c r="A72" s="73"/>
      <c r="B72" s="74"/>
      <c r="C72" s="75"/>
      <c r="D72" s="76"/>
      <c r="E72" s="76"/>
      <c r="F72" s="77"/>
      <c r="G72" s="78"/>
    </row>
    <row r="73" spans="1:7" ht="16.5" hidden="1" thickBot="1">
      <c r="A73" s="73">
        <v>1999</v>
      </c>
      <c r="B73" s="74" t="s">
        <v>56</v>
      </c>
      <c r="C73" s="75">
        <f>C71*(1+D73/100)</f>
        <v>149.5366444</v>
      </c>
      <c r="D73" s="76">
        <v>0.84</v>
      </c>
      <c r="E73" s="76">
        <f>+(($C$73/$C$71)-1)*100</f>
        <v>0.83999999999999631</v>
      </c>
      <c r="F73" s="77">
        <f>+(($C$73/$C$60)-1)*100</f>
        <v>1.6626743988415349</v>
      </c>
      <c r="G73" s="78">
        <f t="shared" ref="G73:G84" si="15">+$C$405/C73</f>
        <v>8.2250295807953862</v>
      </c>
    </row>
    <row r="74" spans="1:7" ht="16.5" hidden="1" thickBot="1">
      <c r="A74" s="73">
        <v>1999</v>
      </c>
      <c r="B74" s="74" t="s">
        <v>57</v>
      </c>
      <c r="C74" s="75">
        <f>C73*(1+D74/100)</f>
        <v>154.93491726284</v>
      </c>
      <c r="D74" s="76">
        <v>3.61</v>
      </c>
      <c r="E74" s="76">
        <f>+(($C$74/$C$71)-1)*100</f>
        <v>4.4803240000000022</v>
      </c>
      <c r="F74" s="77">
        <f>+(($C$74/$C$61)-1)*100</f>
        <v>5.1432702182741208</v>
      </c>
      <c r="G74" s="78">
        <f t="shared" si="15"/>
        <v>7.9384514822849015</v>
      </c>
    </row>
    <row r="75" spans="1:7" ht="16.5" hidden="1" thickBot="1">
      <c r="A75" s="73">
        <v>1999</v>
      </c>
      <c r="B75" s="74" t="s">
        <v>58</v>
      </c>
      <c r="C75" s="75">
        <f t="shared" ref="C75:C84" si="16">C74*(1+D75/100)</f>
        <v>159.31957542137837</v>
      </c>
      <c r="D75" s="76">
        <v>2.83</v>
      </c>
      <c r="E75" s="76">
        <f>+(($C$75/$C$71)-1)*100</f>
        <v>7.4371171692000138</v>
      </c>
      <c r="F75" s="77">
        <f>+(($C$75/$C$62)-1)*100</f>
        <v>7.9145022666565312</v>
      </c>
      <c r="G75" s="78">
        <f t="shared" si="15"/>
        <v>7.7199761570406515</v>
      </c>
    </row>
    <row r="76" spans="1:7" ht="16.5" hidden="1" thickBot="1">
      <c r="A76" s="73">
        <v>1999</v>
      </c>
      <c r="B76" s="74" t="s">
        <v>59</v>
      </c>
      <c r="C76" s="75">
        <f t="shared" si="16"/>
        <v>160.45074440687017</v>
      </c>
      <c r="D76" s="76">
        <v>0.71</v>
      </c>
      <c r="E76" s="76">
        <f>+(($C$76/$C$71)-1)*100</f>
        <v>8.1999207011013375</v>
      </c>
      <c r="F76" s="77">
        <f>+(($C$76/$C$63)-1)*100</f>
        <v>8.5439446403895012</v>
      </c>
      <c r="G76" s="78">
        <f t="shared" si="15"/>
        <v>7.6655507467388055</v>
      </c>
    </row>
    <row r="77" spans="1:7" ht="16.5" hidden="1" thickBot="1">
      <c r="A77" s="73">
        <v>1999</v>
      </c>
      <c r="B77" s="74" t="s">
        <v>60</v>
      </c>
      <c r="C77" s="75">
        <f t="shared" si="16"/>
        <v>159.98543724809025</v>
      </c>
      <c r="D77" s="76">
        <v>-0.28999999999999998</v>
      </c>
      <c r="E77" s="76">
        <f>+(($C$77/$C$71)-1)*100</f>
        <v>7.8861409310681418</v>
      </c>
      <c r="F77" s="77">
        <f>+(($C$77/$C$64)-1)*100</f>
        <v>8.0829323191238256</v>
      </c>
      <c r="G77" s="78">
        <f t="shared" si="15"/>
        <v>7.6878454986849913</v>
      </c>
    </row>
    <row r="78" spans="1:7" ht="16.5" hidden="1" thickBot="1">
      <c r="A78" s="73">
        <v>1999</v>
      </c>
      <c r="B78" s="74" t="s">
        <v>61</v>
      </c>
      <c r="C78" s="75">
        <f t="shared" si="16"/>
        <v>160.56138482218338</v>
      </c>
      <c r="D78" s="76">
        <v>0.36</v>
      </c>
      <c r="E78" s="76">
        <f>+(($C$78/$C$71)-1)*100</f>
        <v>8.2745310384199975</v>
      </c>
      <c r="F78" s="77">
        <f>+(($C$78/$C$65)-1)*100</f>
        <v>8.058110225713655</v>
      </c>
      <c r="G78" s="78">
        <f t="shared" si="15"/>
        <v>7.6602685319698995</v>
      </c>
    </row>
    <row r="79" spans="1:7" ht="16.5" hidden="1" thickBot="1">
      <c r="A79" s="73">
        <v>1999</v>
      </c>
      <c r="B79" s="74" t="s">
        <v>62</v>
      </c>
      <c r="C79" s="75">
        <f t="shared" si="16"/>
        <v>163.05008628692724</v>
      </c>
      <c r="D79" s="76">
        <v>1.55</v>
      </c>
      <c r="E79" s="76">
        <f>+(($C$79/$C$71)-1)*100</f>
        <v>9.9527862695155012</v>
      </c>
      <c r="F79" s="77">
        <f>+(($C$79/$C$66)-1)*100</f>
        <v>9.9172074012412459</v>
      </c>
      <c r="G79" s="78">
        <f t="shared" si="15"/>
        <v>7.5433466587591322</v>
      </c>
    </row>
    <row r="80" spans="1:7" ht="16.5" hidden="1" thickBot="1">
      <c r="A80" s="73">
        <v>1999</v>
      </c>
      <c r="B80" s="80" t="s">
        <v>63</v>
      </c>
      <c r="C80" s="75">
        <f t="shared" si="16"/>
        <v>165.59366763300332</v>
      </c>
      <c r="D80" s="76">
        <v>1.56</v>
      </c>
      <c r="E80" s="76">
        <f>+(($C$80/$C$71)-1)*100</f>
        <v>11.668049735319963</v>
      </c>
      <c r="F80" s="77">
        <f>+(($C$80/$C$67)-1)*100</f>
        <v>11.805270194926255</v>
      </c>
      <c r="G80" s="78">
        <f t="shared" si="15"/>
        <v>7.427478001929039</v>
      </c>
    </row>
    <row r="81" spans="1:7" ht="16.5" hidden="1" thickBot="1">
      <c r="A81" s="73">
        <v>1999</v>
      </c>
      <c r="B81" s="80" t="s">
        <v>64</v>
      </c>
      <c r="C81" s="75">
        <f t="shared" si="16"/>
        <v>167.99477581368185</v>
      </c>
      <c r="D81" s="76">
        <v>1.45</v>
      </c>
      <c r="E81" s="76">
        <f>+(($C$81/$C$71)-1)*100</f>
        <v>13.287236456482088</v>
      </c>
      <c r="F81" s="77">
        <f>+(($C$81/$C$68)-1)*100</f>
        <v>13.522256334253591</v>
      </c>
      <c r="G81" s="78">
        <f t="shared" si="15"/>
        <v>7.3213188781952088</v>
      </c>
    </row>
    <row r="82" spans="1:7" ht="16.5" hidden="1" thickBot="1">
      <c r="A82" s="73">
        <v>1999</v>
      </c>
      <c r="B82" s="80" t="s">
        <v>65</v>
      </c>
      <c r="C82" s="75">
        <f t="shared" si="16"/>
        <v>170.85068700251443</v>
      </c>
      <c r="D82" s="76">
        <v>1.7</v>
      </c>
      <c r="E82" s="76">
        <f>+(($C$82/$C$71)-1)*100</f>
        <v>15.213119476242287</v>
      </c>
      <c r="F82" s="77">
        <f>+(($C$82/$C$69)-1)*100</f>
        <v>15.361706281238652</v>
      </c>
      <c r="G82" s="78">
        <f t="shared" si="15"/>
        <v>7.1989369500444536</v>
      </c>
    </row>
    <row r="83" spans="1:7" ht="16.5" hidden="1" thickBot="1">
      <c r="A83" s="73">
        <v>1999</v>
      </c>
      <c r="B83" s="80" t="s">
        <v>66</v>
      </c>
      <c r="C83" s="75">
        <f t="shared" si="16"/>
        <v>174.93401842187453</v>
      </c>
      <c r="D83" s="76">
        <v>2.39</v>
      </c>
      <c r="E83" s="76">
        <f>+(($C$83/$C$71)-1)*100</f>
        <v>17.966713031724456</v>
      </c>
      <c r="F83" s="77">
        <f>+(($C$83/$C$70)-1)*100</f>
        <v>18.496503659112463</v>
      </c>
      <c r="G83" s="78">
        <f t="shared" si="15"/>
        <v>7.0308984764571285</v>
      </c>
    </row>
    <row r="84" spans="1:7" ht="16.5" hidden="1" thickBot="1">
      <c r="A84" s="73">
        <v>1999</v>
      </c>
      <c r="B84" s="80" t="s">
        <v>55</v>
      </c>
      <c r="C84" s="75">
        <f t="shared" si="16"/>
        <v>178.10032415531046</v>
      </c>
      <c r="D84" s="76">
        <v>1.81</v>
      </c>
      <c r="E84" s="76">
        <f>+(($C$84/$C$71)-1)*100</f>
        <v>20.101910537598688</v>
      </c>
      <c r="F84" s="77">
        <f>+(($C$84/$C$71)-1)*100</f>
        <v>20.101910537598688</v>
      </c>
      <c r="G84" s="78">
        <f t="shared" si="15"/>
        <v>6.9059016564749314</v>
      </c>
    </row>
    <row r="85" spans="1:7" ht="16.5" hidden="1" thickBot="1">
      <c r="A85" s="73"/>
      <c r="B85" s="80"/>
      <c r="C85" s="75"/>
      <c r="D85" s="76"/>
      <c r="E85" s="76"/>
      <c r="F85" s="77"/>
      <c r="G85" s="78"/>
    </row>
    <row r="86" spans="1:7" ht="16.5" hidden="1" thickBot="1">
      <c r="A86" s="73">
        <v>2000</v>
      </c>
      <c r="B86" s="80" t="s">
        <v>56</v>
      </c>
      <c r="C86" s="75">
        <f>C84*(1+D86/100)</f>
        <v>180.30099999999999</v>
      </c>
      <c r="D86" s="76">
        <v>1.2356383151613137</v>
      </c>
      <c r="E86" s="76">
        <f>+(($C$86/$C$84)-1)*100</f>
        <v>1.2356383151613137</v>
      </c>
      <c r="F86" s="77">
        <f>+(($C$86/$C$73)-1)*100</f>
        <v>20.573121540501816</v>
      </c>
      <c r="G86" s="78">
        <f t="shared" ref="G86:G97" si="17">+$C$405/C86</f>
        <v>6.8216112145960413</v>
      </c>
    </row>
    <row r="87" spans="1:7" ht="16.5" hidden="1" thickBot="1">
      <c r="A87" s="73">
        <v>2000</v>
      </c>
      <c r="B87" s="80" t="s">
        <v>57</v>
      </c>
      <c r="C87" s="75">
        <f t="shared" ref="C87:C92" si="18">C86*(1+D87/100)</f>
        <v>180.935</v>
      </c>
      <c r="D87" s="76">
        <v>0.3516342116793636</v>
      </c>
      <c r="E87" s="76">
        <f>+(($C$87/$C$84)-1)*100</f>
        <v>1.5916174538894046</v>
      </c>
      <c r="F87" s="77">
        <f>+(($C$87/$C$74)-1)*100</f>
        <v>16.781293201358906</v>
      </c>
      <c r="G87" s="78">
        <f t="shared" si="17"/>
        <v>6.7977081471405798</v>
      </c>
    </row>
    <row r="88" spans="1:7" ht="16.5" hidden="1" thickBot="1">
      <c r="A88" s="73">
        <v>2000</v>
      </c>
      <c r="B88" s="80" t="s">
        <v>58</v>
      </c>
      <c r="C88" s="75">
        <f t="shared" si="18"/>
        <v>181.214</v>
      </c>
      <c r="D88" s="76">
        <v>0.15419902174813593</v>
      </c>
      <c r="E88" s="76">
        <f>+(($C$88/$C$84)-1)*100</f>
        <v>1.748270734181423</v>
      </c>
      <c r="F88" s="77">
        <f>+(($C$88/$C$75)-1)*100</f>
        <v>13.742457272255383</v>
      </c>
      <c r="G88" s="78">
        <f t="shared" si="17"/>
        <v>6.7872422859319963</v>
      </c>
    </row>
    <row r="89" spans="1:7" ht="16.5" hidden="1" thickBot="1">
      <c r="A89" s="73">
        <v>2000</v>
      </c>
      <c r="B89" s="80" t="s">
        <v>59</v>
      </c>
      <c r="C89" s="75">
        <f t="shared" si="18"/>
        <v>181.63500000000002</v>
      </c>
      <c r="D89" s="76">
        <v>0.23232200602603115</v>
      </c>
      <c r="E89" s="76">
        <f>+(($C$89/$C$84)-1)*100</f>
        <v>1.9846543578478704</v>
      </c>
      <c r="F89" s="77">
        <f>+(($C$89/$C$76)-1)*100</f>
        <v>13.202964979340281</v>
      </c>
      <c r="G89" s="78">
        <f t="shared" si="17"/>
        <v>6.7715105767218908</v>
      </c>
    </row>
    <row r="90" spans="1:7" ht="16.5" hidden="1" thickBot="1">
      <c r="A90" s="73">
        <v>2000</v>
      </c>
      <c r="B90" s="80" t="s">
        <v>60</v>
      </c>
      <c r="C90" s="75">
        <f t="shared" si="18"/>
        <v>182.18900000000002</v>
      </c>
      <c r="D90" s="76">
        <v>0.30500729484956857</v>
      </c>
      <c r="E90" s="76">
        <f>+(($C$90/$C$84)-1)*100</f>
        <v>2.2957149932664178</v>
      </c>
      <c r="F90" s="77">
        <f>+(($C$90/$C$77)-1)*100</f>
        <v>13.878489901226821</v>
      </c>
      <c r="G90" s="78">
        <f t="shared" si="17"/>
        <v>6.7509197789267228</v>
      </c>
    </row>
    <row r="91" spans="1:7" ht="16.5" hidden="1" thickBot="1">
      <c r="A91" s="73">
        <v>2000</v>
      </c>
      <c r="B91" s="80" t="s">
        <v>61</v>
      </c>
      <c r="C91" s="75">
        <f t="shared" si="18"/>
        <v>183.74500000000003</v>
      </c>
      <c r="D91" s="76">
        <v>0.85405814840633365</v>
      </c>
      <c r="E91" s="76">
        <f>+(($C$91/$C$84)-1)*100</f>
        <v>3.1693798826369246</v>
      </c>
      <c r="F91" s="77">
        <f>+(($C$91/$C$78)-1)*100</f>
        <v>14.43909767189151</v>
      </c>
      <c r="G91" s="78">
        <f t="shared" si="17"/>
        <v>6.6937512509340698</v>
      </c>
    </row>
    <row r="92" spans="1:7" ht="16.5" hidden="1" thickBot="1">
      <c r="A92" s="73">
        <v>2000</v>
      </c>
      <c r="B92" s="80" t="s">
        <v>62</v>
      </c>
      <c r="C92" s="75">
        <f t="shared" si="18"/>
        <v>186.63400000000001</v>
      </c>
      <c r="D92" s="76">
        <v>1.5722876812974462</v>
      </c>
      <c r="E92" s="76">
        <f>+(($C$92/$C$84)-1)*100</f>
        <v>4.7914993334025935</v>
      </c>
      <c r="F92" s="77">
        <f>+(($C$92/$C$79)-1)*100</f>
        <v>14.464214187271885</v>
      </c>
      <c r="G92" s="78">
        <f t="shared" si="17"/>
        <v>6.590135364418491</v>
      </c>
    </row>
    <row r="93" spans="1:7" ht="16.5" hidden="1" thickBot="1">
      <c r="A93" s="73">
        <v>2000</v>
      </c>
      <c r="B93" s="80" t="s">
        <v>63</v>
      </c>
      <c r="C93" s="75">
        <f>C92*(1+D93/100)</f>
        <v>191.08700000000002</v>
      </c>
      <c r="D93" s="76">
        <v>2.385953256105533</v>
      </c>
      <c r="E93" s="76">
        <f>+(($C$93/$C$84)-1)*100</f>
        <v>7.2917755238697257</v>
      </c>
      <c r="F93" s="77">
        <f>+(($C$93/$C$80)-1)*100</f>
        <v>15.395113068874267</v>
      </c>
      <c r="G93" s="78">
        <f t="shared" si="17"/>
        <v>6.4365620037097271</v>
      </c>
    </row>
    <row r="94" spans="1:7" ht="16.5" hidden="1" thickBot="1">
      <c r="A94" s="73">
        <v>2000</v>
      </c>
      <c r="B94" s="80" t="s">
        <v>64</v>
      </c>
      <c r="C94" s="75">
        <f>C93*(1+D94/100)</f>
        <v>193.29700000000005</v>
      </c>
      <c r="D94" s="76">
        <v>1.1565412613103065</v>
      </c>
      <c r="E94" s="76">
        <f>+(($C$94/$C$84)-1)*100</f>
        <v>8.5326491777957045</v>
      </c>
      <c r="F94" s="77">
        <f>+(($C$94/$C$81)-1)*100</f>
        <v>15.061316081864451</v>
      </c>
      <c r="G94" s="78">
        <f t="shared" si="17"/>
        <v>6.362971611576385</v>
      </c>
    </row>
    <row r="95" spans="1:7" ht="16.5" hidden="1" thickBot="1">
      <c r="A95" s="73">
        <v>2000</v>
      </c>
      <c r="B95" s="80" t="s">
        <v>65</v>
      </c>
      <c r="C95" s="75">
        <f>C94*(1+D95/100)</f>
        <v>194.04000000000002</v>
      </c>
      <c r="D95" s="76">
        <v>0.38438258224389177</v>
      </c>
      <c r="E95" s="76">
        <f>+(($C$95/$C$84)-1)*100</f>
        <v>8.9498297772830249</v>
      </c>
      <c r="F95" s="77">
        <f>+(($C$95/$C$82)-1)*100</f>
        <v>13.572853234792269</v>
      </c>
      <c r="G95" s="78">
        <f t="shared" si="17"/>
        <v>6.3386071098890984</v>
      </c>
    </row>
    <row r="96" spans="1:7" ht="16.5" hidden="1" thickBot="1">
      <c r="A96" s="73">
        <v>2000</v>
      </c>
      <c r="B96" s="80" t="s">
        <v>66</v>
      </c>
      <c r="C96" s="75">
        <f>C95*(1+D96/100)</f>
        <v>194.59900000000002</v>
      </c>
      <c r="D96" s="76">
        <v>0.28808493094207854</v>
      </c>
      <c r="E96" s="76">
        <f>+(($C$96/$C$84)-1)*100</f>
        <v>9.2636978191584127</v>
      </c>
      <c r="F96" s="77">
        <f>+(($C$96/$C$83)-1)*100</f>
        <v>11.241370749685187</v>
      </c>
      <c r="G96" s="78">
        <f t="shared" si="17"/>
        <v>6.3203989928153828</v>
      </c>
    </row>
    <row r="97" spans="1:7" ht="16.5" hidden="1" thickBot="1">
      <c r="A97" s="73">
        <v>2000</v>
      </c>
      <c r="B97" s="80" t="s">
        <v>55</v>
      </c>
      <c r="C97" s="75">
        <f>C96*(1+D97/100)</f>
        <v>195.82700000000003</v>
      </c>
      <c r="D97" s="76">
        <v>0.63104126948236861</v>
      </c>
      <c r="E97" s="76">
        <f>+(($C$97/$C$84)-1)*100</f>
        <v>9.9531968449598107</v>
      </c>
      <c r="F97" s="77">
        <f>+(($C$97/$C$84)-1)*100</f>
        <v>9.9531968449598107</v>
      </c>
      <c r="G97" s="78">
        <f t="shared" si="17"/>
        <v>6.2807647750457321</v>
      </c>
    </row>
    <row r="98" spans="1:7" ht="16.5" hidden="1" thickBot="1">
      <c r="A98" s="73"/>
      <c r="B98" s="80"/>
      <c r="C98" s="75"/>
      <c r="D98" s="76"/>
      <c r="E98" s="76"/>
      <c r="F98" s="77"/>
      <c r="G98" s="78"/>
    </row>
    <row r="99" spans="1:7" ht="16.5" hidden="1" thickBot="1">
      <c r="A99" s="73">
        <v>2001</v>
      </c>
      <c r="B99" s="80" t="s">
        <v>56</v>
      </c>
      <c r="C99" s="75">
        <f>C97*(1+D99/100)</f>
        <v>197.04500000000004</v>
      </c>
      <c r="D99" s="76">
        <v>0.62197756182753583</v>
      </c>
      <c r="E99" s="76">
        <f t="shared" ref="E99:E110" si="19">+((C99/$C$97)-1)*100</f>
        <v>0.62197756182753583</v>
      </c>
      <c r="F99" s="77">
        <f>+(($C$99/$C$86)-1)*100</f>
        <v>9.2866928081375413</v>
      </c>
      <c r="G99" s="78">
        <f>+$C$405/C99</f>
        <v>6.2419413007327291</v>
      </c>
    </row>
    <row r="100" spans="1:7" ht="16.5" hidden="1" thickBot="1">
      <c r="A100" s="73">
        <v>2001</v>
      </c>
      <c r="B100" s="80" t="s">
        <v>57</v>
      </c>
      <c r="C100" s="75">
        <f t="shared" ref="C100:C106" si="20">C99*(1+D100/100)</f>
        <v>197.4910000000001</v>
      </c>
      <c r="D100" s="76">
        <v>0.22634423608822729</v>
      </c>
      <c r="E100" s="76">
        <f t="shared" si="19"/>
        <v>0.84972960827673916</v>
      </c>
      <c r="F100" s="77">
        <f>+((C100/$C$87)-1)*100</f>
        <v>9.1502473263879835</v>
      </c>
      <c r="G100" s="78">
        <f>+$C$405/C100</f>
        <v>6.2278449326950609</v>
      </c>
    </row>
    <row r="101" spans="1:7" ht="16.5" hidden="1" thickBot="1">
      <c r="A101" s="73">
        <v>2001</v>
      </c>
      <c r="B101" s="80" t="s">
        <v>58</v>
      </c>
      <c r="C101" s="75">
        <f t="shared" si="20"/>
        <v>198.60600000000011</v>
      </c>
      <c r="D101" s="76">
        <v>0.56458268984409532</v>
      </c>
      <c r="E101" s="76">
        <f t="shared" si="19"/>
        <v>1.4191097243996476</v>
      </c>
      <c r="F101" s="77">
        <f t="shared" ref="F101:F110" si="21">+((C101/C88)-1)*100</f>
        <v>9.5974924674694595</v>
      </c>
      <c r="G101" s="78">
        <f>+$C$405/C101</f>
        <v>6.1928809985744646</v>
      </c>
    </row>
    <row r="102" spans="1:7" ht="16.5" hidden="1" thickBot="1">
      <c r="A102" s="73">
        <v>2001</v>
      </c>
      <c r="B102" s="80" t="s">
        <v>59</v>
      </c>
      <c r="C102" s="75">
        <f t="shared" si="20"/>
        <v>200.59100000000012</v>
      </c>
      <c r="D102" s="76">
        <v>0.99946627997140602</v>
      </c>
      <c r="E102" s="76">
        <f t="shared" si="19"/>
        <v>2.4327595275422054</v>
      </c>
      <c r="F102" s="77">
        <f t="shared" si="21"/>
        <v>10.436314586946406</v>
      </c>
      <c r="G102" s="78">
        <f>+$C$405/C102</f>
        <v>6.1315977466729814</v>
      </c>
    </row>
    <row r="103" spans="1:7" ht="16.5" hidden="1" thickBot="1">
      <c r="A103" s="73">
        <v>2001</v>
      </c>
      <c r="B103" s="80" t="s">
        <v>60</v>
      </c>
      <c r="C103" s="75">
        <f t="shared" si="20"/>
        <v>202.32400000000013</v>
      </c>
      <c r="D103" s="76">
        <v>0.86394703650711779</v>
      </c>
      <c r="E103" s="76">
        <f t="shared" si="19"/>
        <v>3.3177243178928784</v>
      </c>
      <c r="F103" s="77">
        <f t="shared" si="21"/>
        <v>11.051710037378815</v>
      </c>
      <c r="G103" s="78">
        <f>+$C$405/C103</f>
        <v>6.0790777347367593</v>
      </c>
    </row>
    <row r="104" spans="1:7" ht="16.5" hidden="1" thickBot="1">
      <c r="A104" s="73">
        <v>2001</v>
      </c>
      <c r="B104" s="80" t="s">
        <v>61</v>
      </c>
      <c r="C104" s="75">
        <f t="shared" si="20"/>
        <v>204.31000000000014</v>
      </c>
      <c r="D104" s="76">
        <v>0.98159387912457596</v>
      </c>
      <c r="E104" s="76">
        <f t="shared" si="19"/>
        <v>4.3318847758481382</v>
      </c>
      <c r="F104" s="77">
        <f t="shared" si="21"/>
        <v>11.192141282756051</v>
      </c>
      <c r="G104" s="78">
        <f>+$C$405/C105</f>
        <v>5.9319831755556294</v>
      </c>
    </row>
    <row r="105" spans="1:7" ht="16.5" hidden="1" thickBot="1">
      <c r="A105" s="73">
        <v>2001</v>
      </c>
      <c r="B105" s="80" t="s">
        <v>62</v>
      </c>
      <c r="C105" s="75">
        <f t="shared" si="20"/>
        <v>207.34100000000018</v>
      </c>
      <c r="D105" s="76">
        <v>1.4835299300083316</v>
      </c>
      <c r="E105" s="76">
        <f t="shared" si="19"/>
        <v>5.8796795130396484</v>
      </c>
      <c r="F105" s="77">
        <f t="shared" si="21"/>
        <v>11.094977335319477</v>
      </c>
      <c r="G105" s="78">
        <f t="shared" ref="G105:G110" si="22">+$C$405/C105</f>
        <v>5.9319831755556294</v>
      </c>
    </row>
    <row r="106" spans="1:7" ht="16.5" hidden="1" thickBot="1">
      <c r="A106" s="73">
        <v>2001</v>
      </c>
      <c r="B106" s="80" t="s">
        <v>63</v>
      </c>
      <c r="C106" s="75">
        <f t="shared" si="20"/>
        <v>210.21100000000018</v>
      </c>
      <c r="D106" s="76">
        <v>1.3841931889978287</v>
      </c>
      <c r="E106" s="76">
        <f t="shared" si="19"/>
        <v>7.345258825391876</v>
      </c>
      <c r="F106" s="77">
        <f t="shared" si="21"/>
        <v>10.008006824116844</v>
      </c>
      <c r="G106" s="78">
        <f t="shared" si="22"/>
        <v>5.8509941135472445</v>
      </c>
    </row>
    <row r="107" spans="1:7" ht="16.5" hidden="1" thickBot="1">
      <c r="A107" s="73">
        <v>2001</v>
      </c>
      <c r="B107" s="80" t="s">
        <v>64</v>
      </c>
      <c r="C107" s="75">
        <f>C106*(1+D107/100)</f>
        <v>210.85300000000018</v>
      </c>
      <c r="D107" s="76">
        <v>0.30540742396925058</v>
      </c>
      <c r="E107" s="76">
        <f t="shared" si="19"/>
        <v>7.6730992151236244</v>
      </c>
      <c r="F107" s="77">
        <f t="shared" si="21"/>
        <v>9.0823965193459486</v>
      </c>
      <c r="G107" s="78">
        <f t="shared" si="22"/>
        <v>5.8331791513655471</v>
      </c>
    </row>
    <row r="108" spans="1:7" ht="16.5" hidden="1" thickBot="1">
      <c r="A108" s="73">
        <v>2001</v>
      </c>
      <c r="B108" s="80" t="s">
        <v>65</v>
      </c>
      <c r="C108" s="75">
        <f>C107*(1+D108/100)</f>
        <v>213.33900000000017</v>
      </c>
      <c r="D108" s="76">
        <v>1.1790204550089278</v>
      </c>
      <c r="E108" s="76">
        <f t="shared" si="19"/>
        <v>8.9425870794120002</v>
      </c>
      <c r="F108" s="77">
        <f t="shared" si="21"/>
        <v>9.9458874458875144</v>
      </c>
      <c r="G108" s="78">
        <f t="shared" si="22"/>
        <v>5.7652061910990478</v>
      </c>
    </row>
    <row r="109" spans="1:7" ht="16.5" hidden="1" thickBot="1">
      <c r="A109" s="73">
        <v>2001</v>
      </c>
      <c r="B109" s="80" t="s">
        <v>66</v>
      </c>
      <c r="C109" s="75">
        <f>C108*(1+D109/100)</f>
        <v>215.68500000000014</v>
      </c>
      <c r="D109" s="76">
        <v>1.099658290326655</v>
      </c>
      <c r="E109" s="76">
        <f t="shared" si="19"/>
        <v>10.140583269927085</v>
      </c>
      <c r="F109" s="77">
        <f t="shared" si="21"/>
        <v>10.835615804808917</v>
      </c>
      <c r="G109" s="78">
        <f t="shared" si="22"/>
        <v>5.7024981969208799</v>
      </c>
    </row>
    <row r="110" spans="1:7" ht="16.5" hidden="1" thickBot="1">
      <c r="A110" s="73">
        <v>2001</v>
      </c>
      <c r="B110" s="80" t="s">
        <v>55</v>
      </c>
      <c r="C110" s="75">
        <f>C109*(1+D110/100)</f>
        <v>216.16300000000015</v>
      </c>
      <c r="D110" s="76">
        <v>0.22161949138790327</v>
      </c>
      <c r="E110" s="76">
        <f t="shared" si="19"/>
        <v>10.384676270381576</v>
      </c>
      <c r="F110" s="77">
        <f t="shared" si="21"/>
        <v>10.384676270381576</v>
      </c>
      <c r="G110" s="78">
        <f t="shared" si="22"/>
        <v>5.6898882954200296</v>
      </c>
    </row>
    <row r="111" spans="1:7" ht="16.5" hidden="1" thickBot="1">
      <c r="A111" s="73"/>
      <c r="B111" s="80"/>
      <c r="C111" s="75"/>
      <c r="D111" s="76"/>
      <c r="E111" s="76"/>
      <c r="F111" s="77"/>
      <c r="G111" s="78"/>
    </row>
    <row r="112" spans="1:7" ht="16.5" hidden="1" thickBot="1">
      <c r="A112" s="73">
        <v>2002</v>
      </c>
      <c r="B112" s="80" t="s">
        <v>56</v>
      </c>
      <c r="C112" s="75">
        <f>+C110*(1+D112/100)</f>
        <v>216.94400000000013</v>
      </c>
      <c r="D112" s="76">
        <v>0.36130142531329845</v>
      </c>
      <c r="E112" s="76">
        <f t="shared" ref="E112:E118" si="23">+((C112/$C$110)-1)*100</f>
        <v>0.36130142531329845</v>
      </c>
      <c r="F112" s="77">
        <f t="shared" ref="F112:F123" si="24">+((C112/C99)-1)*100</f>
        <v>10.098708416859136</v>
      </c>
      <c r="G112" s="78">
        <f t="shared" ref="G112:G123" si="25">+$C$405/C112</f>
        <v>5.6694046555925954</v>
      </c>
    </row>
    <row r="113" spans="1:7" ht="16.5" hidden="1" thickBot="1">
      <c r="A113" s="73">
        <v>2002</v>
      </c>
      <c r="B113" s="80" t="s">
        <v>57</v>
      </c>
      <c r="C113" s="75">
        <f t="shared" ref="C113:C122" si="26">+C112*(1+D113/100)</f>
        <v>217.07400000000015</v>
      </c>
      <c r="D113" s="76">
        <v>5.9923298178343742E-2</v>
      </c>
      <c r="E113" s="76">
        <f t="shared" si="23"/>
        <v>0.42144122722205246</v>
      </c>
      <c r="F113" s="77">
        <f t="shared" si="24"/>
        <v>9.9158949015398345</v>
      </c>
      <c r="G113" s="78">
        <f t="shared" si="25"/>
        <v>5.6660093958874853</v>
      </c>
    </row>
    <row r="114" spans="1:7" ht="16.5" hidden="1" thickBot="1">
      <c r="A114" s="73">
        <v>2002</v>
      </c>
      <c r="B114" s="80" t="s">
        <v>58</v>
      </c>
      <c r="C114" s="75">
        <f t="shared" si="26"/>
        <v>217.27600000000015</v>
      </c>
      <c r="D114" s="76">
        <v>9.3055824281118582E-2</v>
      </c>
      <c r="E114" s="76">
        <f t="shared" si="23"/>
        <v>0.51488922711102614</v>
      </c>
      <c r="F114" s="77">
        <f t="shared" si="24"/>
        <v>9.400521635801562</v>
      </c>
      <c r="G114" s="78">
        <f t="shared" si="25"/>
        <v>5.660741745995324</v>
      </c>
    </row>
    <row r="115" spans="1:7" ht="16.5" hidden="1" thickBot="1">
      <c r="A115" s="73">
        <v>2002</v>
      </c>
      <c r="B115" s="80" t="s">
        <v>59</v>
      </c>
      <c r="C115" s="75">
        <f t="shared" si="26"/>
        <v>218.48600000000013</v>
      </c>
      <c r="D115" s="76">
        <v>0.55689537730811978</v>
      </c>
      <c r="E115" s="76">
        <f t="shared" si="23"/>
        <v>1.0746519987231862</v>
      </c>
      <c r="F115" s="77">
        <f t="shared" si="24"/>
        <v>8.9211380371003735</v>
      </c>
      <c r="G115" s="78">
        <f t="shared" si="25"/>
        <v>5.6293919226077644</v>
      </c>
    </row>
    <row r="116" spans="1:7" ht="16.5" hidden="1" thickBot="1">
      <c r="A116" s="73">
        <v>2002</v>
      </c>
      <c r="B116" s="80" t="s">
        <v>60</v>
      </c>
      <c r="C116" s="75">
        <f t="shared" si="26"/>
        <v>220.29200000000012</v>
      </c>
      <c r="D116" s="76">
        <v>0.82659758519996185</v>
      </c>
      <c r="E116" s="76">
        <f t="shared" si="23"/>
        <v>1.9101326313938793</v>
      </c>
      <c r="F116" s="77">
        <f t="shared" si="24"/>
        <v>8.8808050453727638</v>
      </c>
      <c r="G116" s="78">
        <f t="shared" si="25"/>
        <v>5.5832409874297761</v>
      </c>
    </row>
    <row r="117" spans="1:7" ht="16.5" hidden="1" thickBot="1">
      <c r="A117" s="73">
        <v>2002</v>
      </c>
      <c r="B117" s="80" t="s">
        <v>61</v>
      </c>
      <c r="C117" s="75">
        <f t="shared" si="26"/>
        <v>223.6880000000001</v>
      </c>
      <c r="D117" s="76">
        <v>1.5415902529370085</v>
      </c>
      <c r="E117" s="76">
        <f t="shared" si="23"/>
        <v>3.4811693027946289</v>
      </c>
      <c r="F117" s="77">
        <f t="shared" si="24"/>
        <v>9.484606725074606</v>
      </c>
      <c r="G117" s="78">
        <f t="shared" si="25"/>
        <v>5.4984770019083733</v>
      </c>
    </row>
    <row r="118" spans="1:7" ht="16.5" hidden="1" thickBot="1">
      <c r="A118" s="73">
        <v>2002</v>
      </c>
      <c r="B118" s="80" t="s">
        <v>62</v>
      </c>
      <c r="C118" s="75">
        <f t="shared" si="26"/>
        <v>228.05700000000013</v>
      </c>
      <c r="D118" s="76">
        <v>1.9531669110546934</v>
      </c>
      <c r="E118" s="76">
        <f t="shared" si="23"/>
        <v>5.5023292607893071</v>
      </c>
      <c r="F118" s="77">
        <f t="shared" si="24"/>
        <v>9.9912704192609993</v>
      </c>
      <c r="G118" s="78">
        <f t="shared" si="25"/>
        <v>5.3931399764220354</v>
      </c>
    </row>
    <row r="119" spans="1:7" ht="16.5" hidden="1" thickBot="1">
      <c r="A119" s="73">
        <v>2002</v>
      </c>
      <c r="B119" s="80" t="s">
        <v>63</v>
      </c>
      <c r="C119" s="75">
        <f t="shared" si="26"/>
        <v>233.34800000000013</v>
      </c>
      <c r="D119" s="76">
        <v>2.3200340265810748</v>
      </c>
      <c r="E119" s="76">
        <f>+((C119/$C$110)-1)*100</f>
        <v>7.9500191984752</v>
      </c>
      <c r="F119" s="77">
        <f t="shared" si="24"/>
        <v>11.006560075352834</v>
      </c>
      <c r="G119" s="78">
        <f t="shared" si="25"/>
        <v>5.2708543617381771</v>
      </c>
    </row>
    <row r="120" spans="1:7" ht="16.5" hidden="1" thickBot="1">
      <c r="A120" s="73">
        <v>2002</v>
      </c>
      <c r="B120" s="80" t="s">
        <v>64</v>
      </c>
      <c r="C120" s="75">
        <f t="shared" si="26"/>
        <v>238.94300000000013</v>
      </c>
      <c r="D120" s="76">
        <v>2.397706429881552</v>
      </c>
      <c r="E120" s="76">
        <f>+((C120/$C$110)-1)*100</f>
        <v>10.538343749855406</v>
      </c>
      <c r="F120" s="77">
        <f t="shared" si="24"/>
        <v>13.322077466291638</v>
      </c>
      <c r="G120" s="78">
        <f t="shared" si="25"/>
        <v>5.147434005611716</v>
      </c>
    </row>
    <row r="121" spans="1:7" ht="16.5" hidden="1" thickBot="1">
      <c r="A121" s="73">
        <v>2002</v>
      </c>
      <c r="B121" s="80" t="s">
        <v>65</v>
      </c>
      <c r="C121" s="75">
        <f t="shared" si="26"/>
        <v>248.19900000000013</v>
      </c>
      <c r="D121" s="76">
        <v>3.8737272069070849</v>
      </c>
      <c r="E121" s="76">
        <f>+((C121/$C$110)-1)*100</f>
        <v>14.820297645758028</v>
      </c>
      <c r="F121" s="77">
        <f t="shared" si="24"/>
        <v>16.340190963677493</v>
      </c>
      <c r="G121" s="78">
        <f t="shared" si="25"/>
        <v>4.9554725184343216</v>
      </c>
    </row>
    <row r="122" spans="1:7" ht="16.5" hidden="1" thickBot="1">
      <c r="A122" s="73">
        <v>2002</v>
      </c>
      <c r="B122" s="80" t="s">
        <v>66</v>
      </c>
      <c r="C122" s="75">
        <f t="shared" si="26"/>
        <v>261.0800000000001</v>
      </c>
      <c r="D122" s="76">
        <v>5.1897872271846168</v>
      </c>
      <c r="E122" s="76">
        <f>+((C122/$C$110)-1)*100</f>
        <v>20.77922678719295</v>
      </c>
      <c r="F122" s="77">
        <f t="shared" si="24"/>
        <v>21.046897095300988</v>
      </c>
      <c r="G122" s="78">
        <f t="shared" si="25"/>
        <v>4.7109825478890777</v>
      </c>
    </row>
    <row r="123" spans="1:7" ht="16.5" hidden="1" thickBot="1">
      <c r="A123" s="73">
        <v>2002</v>
      </c>
      <c r="B123" s="80" t="s">
        <v>55</v>
      </c>
      <c r="C123" s="75">
        <f>+C122*(1+D123/100)</f>
        <v>270.86700000000013</v>
      </c>
      <c r="D123" s="76">
        <v>3.7486594147387864</v>
      </c>
      <c r="E123" s="76">
        <f>+((C123/$C$110)-1)*100</f>
        <v>25.306828643199776</v>
      </c>
      <c r="F123" s="77">
        <f t="shared" si="24"/>
        <v>25.306828643199776</v>
      </c>
      <c r="G123" s="78">
        <f t="shared" si="25"/>
        <v>4.5407647428549076</v>
      </c>
    </row>
    <row r="124" spans="1:7" ht="16.5" hidden="1" thickBot="1">
      <c r="A124" s="73"/>
      <c r="B124" s="80"/>
      <c r="C124" s="75"/>
      <c r="D124" s="76"/>
      <c r="E124" s="76"/>
      <c r="F124" s="77"/>
      <c r="G124" s="78"/>
    </row>
    <row r="125" spans="1:7" ht="16.5" hidden="1" thickBot="1">
      <c r="A125" s="73">
        <v>2003</v>
      </c>
      <c r="B125" s="80" t="s">
        <v>56</v>
      </c>
      <c r="C125" s="75">
        <f>+C123*(1+D125/100)</f>
        <v>277.17300000000012</v>
      </c>
      <c r="D125" s="81">
        <v>2.3280798325377328</v>
      </c>
      <c r="E125" s="81">
        <f t="shared" ref="E125:E136" si="27">+((C125/$C$123)-1)*100</f>
        <v>2.3280798325377328</v>
      </c>
      <c r="F125" s="82">
        <f t="shared" ref="F125:F136" si="28">+((C125/C112)-1)*100</f>
        <v>27.762464046021073</v>
      </c>
      <c r="G125" s="78">
        <f t="shared" ref="G125:G188" si="29">+$C$405/C125</f>
        <v>4.4374571967791967</v>
      </c>
    </row>
    <row r="126" spans="1:7" ht="16.5" hidden="1" thickBot="1">
      <c r="A126" s="73">
        <v>2003</v>
      </c>
      <c r="B126" s="80" t="s">
        <v>57</v>
      </c>
      <c r="C126" s="75">
        <f t="shared" ref="C126:C189" si="30">+C125*(1+D126/100)</f>
        <v>283.50600000000009</v>
      </c>
      <c r="D126" s="81">
        <v>2.2848545854033286</v>
      </c>
      <c r="E126" s="81">
        <f t="shared" si="27"/>
        <v>4.6661276567466548</v>
      </c>
      <c r="F126" s="82">
        <f t="shared" si="28"/>
        <v>30.603388706155442</v>
      </c>
      <c r="G126" s="78">
        <f t="shared" si="29"/>
        <v>4.3383326053165732</v>
      </c>
    </row>
    <row r="127" spans="1:7" ht="16.5" hidden="1" thickBot="1">
      <c r="A127" s="73">
        <v>2003</v>
      </c>
      <c r="B127" s="80" t="s">
        <v>58</v>
      </c>
      <c r="C127" s="75">
        <f t="shared" si="30"/>
        <v>287.85500000000013</v>
      </c>
      <c r="D127" s="81">
        <v>1.5340063349629451</v>
      </c>
      <c r="E127" s="81">
        <f t="shared" si="27"/>
        <v>6.2717126855615479</v>
      </c>
      <c r="F127" s="82">
        <f t="shared" si="28"/>
        <v>32.483569285148818</v>
      </c>
      <c r="G127" s="78">
        <f t="shared" si="29"/>
        <v>4.2727877702415462</v>
      </c>
    </row>
    <row r="128" spans="1:7" ht="16.5" hidden="1" thickBot="1">
      <c r="A128" s="73">
        <v>2003</v>
      </c>
      <c r="B128" s="80" t="s">
        <v>59</v>
      </c>
      <c r="C128" s="75">
        <f t="shared" si="30"/>
        <v>290.51200000000011</v>
      </c>
      <c r="D128" s="81">
        <v>0.92303416650743042</v>
      </c>
      <c r="E128" s="81">
        <f t="shared" si="27"/>
        <v>7.2526369029819016</v>
      </c>
      <c r="F128" s="82">
        <f t="shared" si="28"/>
        <v>32.965956628800001</v>
      </c>
      <c r="G128" s="78">
        <f t="shared" si="29"/>
        <v>4.2337091879264204</v>
      </c>
    </row>
    <row r="129" spans="1:7" ht="16.5" hidden="1" thickBot="1">
      <c r="A129" s="73">
        <v>2003</v>
      </c>
      <c r="B129" s="80" t="s">
        <v>60</v>
      </c>
      <c r="C129" s="75">
        <f t="shared" si="30"/>
        <v>289.74700000000013</v>
      </c>
      <c r="D129" s="81">
        <v>-0.26332819298341414</v>
      </c>
      <c r="E129" s="81">
        <f t="shared" si="27"/>
        <v>6.9702104722981995</v>
      </c>
      <c r="F129" s="82">
        <f t="shared" si="28"/>
        <v>31.528607484611328</v>
      </c>
      <c r="G129" s="78">
        <f t="shared" si="29"/>
        <v>4.2448871726122457</v>
      </c>
    </row>
    <row r="130" spans="1:7" ht="16.5" hidden="1" thickBot="1">
      <c r="A130" s="73">
        <v>2003</v>
      </c>
      <c r="B130" s="80" t="s">
        <v>61</v>
      </c>
      <c r="C130" s="75">
        <f t="shared" si="30"/>
        <v>286.84300000000013</v>
      </c>
      <c r="D130" s="81">
        <v>-1.0022536902884238</v>
      </c>
      <c r="E130" s="81">
        <f t="shared" si="27"/>
        <v>5.898097590330309</v>
      </c>
      <c r="F130" s="82">
        <f t="shared" si="28"/>
        <v>28.233521690926654</v>
      </c>
      <c r="G130" s="78">
        <f t="shared" si="29"/>
        <v>4.2878624320721794</v>
      </c>
    </row>
    <row r="131" spans="1:7" ht="16.5" hidden="1" thickBot="1">
      <c r="A131" s="73">
        <v>2003</v>
      </c>
      <c r="B131" s="80" t="s">
        <v>62</v>
      </c>
      <c r="C131" s="75">
        <f t="shared" si="30"/>
        <v>285.64900000000011</v>
      </c>
      <c r="D131" s="81">
        <v>-0.41625558232204485</v>
      </c>
      <c r="E131" s="81">
        <f t="shared" si="27"/>
        <v>5.4572908475377213</v>
      </c>
      <c r="F131" s="82">
        <f t="shared" si="28"/>
        <v>25.253335788859776</v>
      </c>
      <c r="G131" s="78">
        <f t="shared" si="29"/>
        <v>4.3057855045978819</v>
      </c>
    </row>
    <row r="132" spans="1:7" ht="16.5" hidden="1" thickBot="1">
      <c r="A132" s="73">
        <v>2003</v>
      </c>
      <c r="B132" s="80" t="s">
        <v>63</v>
      </c>
      <c r="C132" s="75">
        <f t="shared" si="30"/>
        <v>286.73500000000007</v>
      </c>
      <c r="D132" s="81">
        <v>0.38018687270040541</v>
      </c>
      <c r="E132" s="81">
        <f t="shared" si="27"/>
        <v>5.8582256236455299</v>
      </c>
      <c r="F132" s="82">
        <f t="shared" si="28"/>
        <v>22.878704767128877</v>
      </c>
      <c r="G132" s="78">
        <f t="shared" si="29"/>
        <v>4.2894774743330268</v>
      </c>
    </row>
    <row r="133" spans="1:7" ht="16.5" hidden="1" thickBot="1">
      <c r="A133" s="73">
        <v>2003</v>
      </c>
      <c r="B133" s="80" t="s">
        <v>64</v>
      </c>
      <c r="C133" s="75">
        <f t="shared" si="30"/>
        <v>290.12700000000007</v>
      </c>
      <c r="D133" s="81">
        <v>1.1829738260065836</v>
      </c>
      <c r="E133" s="81">
        <f t="shared" si="27"/>
        <v>7.1105007254482544</v>
      </c>
      <c r="F133" s="82">
        <f t="shared" si="28"/>
        <v>21.421008357641735</v>
      </c>
      <c r="G133" s="78">
        <f t="shared" si="29"/>
        <v>4.2393273414845245</v>
      </c>
    </row>
    <row r="134" spans="1:7" ht="16.5" hidden="1" thickBot="1">
      <c r="A134" s="73">
        <v>2003</v>
      </c>
      <c r="B134" s="80" t="s">
        <v>65</v>
      </c>
      <c r="C134" s="75">
        <f t="shared" si="30"/>
        <v>291.22900000000004</v>
      </c>
      <c r="D134" s="81">
        <v>0.3798336590527418</v>
      </c>
      <c r="E134" s="81">
        <f t="shared" si="27"/>
        <v>7.5173424595834426</v>
      </c>
      <c r="F134" s="82">
        <f t="shared" si="28"/>
        <v>17.336894991518868</v>
      </c>
      <c r="G134" s="78">
        <f t="shared" si="29"/>
        <v>4.2232858801935267</v>
      </c>
    </row>
    <row r="135" spans="1:7" ht="16.5" hidden="1" thickBot="1">
      <c r="A135" s="73">
        <v>2003</v>
      </c>
      <c r="B135" s="80" t="s">
        <v>66</v>
      </c>
      <c r="C135" s="75">
        <f t="shared" si="30"/>
        <v>292.65700000000004</v>
      </c>
      <c r="D135" s="81">
        <v>0.49033578386767918</v>
      </c>
      <c r="E135" s="81">
        <f t="shared" si="27"/>
        <v>8.0445384635263508</v>
      </c>
      <c r="F135" s="82">
        <f t="shared" si="28"/>
        <v>12.094760226750401</v>
      </c>
      <c r="G135" s="78">
        <f t="shared" si="29"/>
        <v>4.202678642926295</v>
      </c>
    </row>
    <row r="136" spans="1:7" ht="16.5" hidden="1" thickBot="1">
      <c r="A136" s="73">
        <v>2003</v>
      </c>
      <c r="B136" s="80" t="s">
        <v>55</v>
      </c>
      <c r="C136" s="75">
        <f t="shared" si="30"/>
        <v>294.45500000000004</v>
      </c>
      <c r="D136" s="81">
        <v>0.61437108970570087</v>
      </c>
      <c r="E136" s="81">
        <f t="shared" si="27"/>
        <v>8.708332871852198</v>
      </c>
      <c r="F136" s="82">
        <f t="shared" si="28"/>
        <v>8.708332871852198</v>
      </c>
      <c r="G136" s="78">
        <f t="shared" si="29"/>
        <v>4.1770162625965961</v>
      </c>
    </row>
    <row r="137" spans="1:7" ht="16.5" hidden="1" thickBot="1">
      <c r="A137" s="73">
        <v>2004</v>
      </c>
      <c r="B137" s="80" t="s">
        <v>56</v>
      </c>
      <c r="C137" s="75">
        <f t="shared" si="30"/>
        <v>297.03900000000004</v>
      </c>
      <c r="D137" s="81">
        <v>0.8775534461972212</v>
      </c>
      <c r="E137" s="81">
        <f t="shared" ref="E137:E148" si="31">+((C137/$C$136)-1)*100</f>
        <v>0.8775534461972212</v>
      </c>
      <c r="F137" s="82">
        <f t="shared" ref="F137:F200" si="32">+((C137/C125)-1)*100</f>
        <v>7.1673647866133949</v>
      </c>
      <c r="G137" s="78">
        <f t="shared" si="29"/>
        <v>4.1406795861919834</v>
      </c>
    </row>
    <row r="138" spans="1:7" ht="16.5" hidden="1" thickBot="1">
      <c r="A138" s="73">
        <v>2004</v>
      </c>
      <c r="B138" s="80" t="s">
        <v>57</v>
      </c>
      <c r="C138" s="75">
        <f t="shared" si="30"/>
        <v>299.09700000000004</v>
      </c>
      <c r="D138" s="81">
        <v>0.69283831416075969</v>
      </c>
      <c r="E138" s="81">
        <f t="shared" si="31"/>
        <v>1.5764717868604672</v>
      </c>
      <c r="F138" s="82">
        <f t="shared" si="32"/>
        <v>5.4993545110156195</v>
      </c>
      <c r="G138" s="78">
        <f t="shared" si="29"/>
        <v>4.1121887668645307</v>
      </c>
    </row>
    <row r="139" spans="1:7" ht="16.5" hidden="1" thickBot="1">
      <c r="A139" s="73">
        <v>2004</v>
      </c>
      <c r="B139" s="80" t="s">
        <v>58</v>
      </c>
      <c r="C139" s="75">
        <f t="shared" si="30"/>
        <v>302.48400000000004</v>
      </c>
      <c r="D139" s="81">
        <v>1.1324085497347092</v>
      </c>
      <c r="E139" s="81">
        <f t="shared" si="31"/>
        <v>2.7267324378937419</v>
      </c>
      <c r="F139" s="82">
        <f t="shared" si="32"/>
        <v>5.0820725712598103</v>
      </c>
      <c r="G139" s="78">
        <f t="shared" si="29"/>
        <v>4.0661434112312742</v>
      </c>
    </row>
    <row r="140" spans="1:7" ht="16.5" hidden="1" thickBot="1">
      <c r="A140" s="73">
        <v>2004</v>
      </c>
      <c r="B140" s="80" t="s">
        <v>59</v>
      </c>
      <c r="C140" s="75">
        <f t="shared" si="30"/>
        <v>306.15100000000007</v>
      </c>
      <c r="D140" s="81">
        <v>1.2122955263749624</v>
      </c>
      <c r="E140" s="81">
        <f t="shared" si="31"/>
        <v>3.972084019629496</v>
      </c>
      <c r="F140" s="82">
        <f t="shared" si="32"/>
        <v>5.3832543922454068</v>
      </c>
      <c r="G140" s="78">
        <f t="shared" si="29"/>
        <v>4.0174401638501278</v>
      </c>
    </row>
    <row r="141" spans="1:7" ht="16.5" hidden="1" thickBot="1">
      <c r="A141" s="73">
        <v>2004</v>
      </c>
      <c r="B141" s="80" t="s">
        <v>60</v>
      </c>
      <c r="C141" s="75">
        <f t="shared" si="30"/>
        <v>310.1520000000001</v>
      </c>
      <c r="D141" s="81">
        <v>1.3068714457898256</v>
      </c>
      <c r="E141" s="81">
        <f t="shared" si="31"/>
        <v>5.3308654972746394</v>
      </c>
      <c r="F141" s="82">
        <f t="shared" si="32"/>
        <v>7.0423507404735686</v>
      </c>
      <c r="G141" s="78">
        <f t="shared" si="29"/>
        <v>3.9656146779736399</v>
      </c>
    </row>
    <row r="142" spans="1:7" ht="16.5" hidden="1" thickBot="1">
      <c r="A142" s="73">
        <v>2004</v>
      </c>
      <c r="B142" s="80" t="s">
        <v>61</v>
      </c>
      <c r="C142" s="75">
        <f t="shared" si="30"/>
        <v>314.4190000000001</v>
      </c>
      <c r="D142" s="81">
        <v>1.3757770383553858</v>
      </c>
      <c r="E142" s="81">
        <f t="shared" si="31"/>
        <v>6.7799833590871383</v>
      </c>
      <c r="F142" s="82">
        <f t="shared" si="32"/>
        <v>9.613621388703919</v>
      </c>
      <c r="G142" s="78">
        <f t="shared" si="29"/>
        <v>3.9117970720690556</v>
      </c>
    </row>
    <row r="143" spans="1:7" ht="16.5" hidden="1" thickBot="1">
      <c r="A143" s="73">
        <v>2004</v>
      </c>
      <c r="B143" s="80" t="s">
        <v>62</v>
      </c>
      <c r="C143" s="75">
        <f t="shared" si="30"/>
        <v>318.5320000000001</v>
      </c>
      <c r="D143" s="81">
        <v>1.3081270533905398</v>
      </c>
      <c r="E143" s="81">
        <f t="shared" si="31"/>
        <v>8.1768012090132736</v>
      </c>
      <c r="F143" s="82">
        <f t="shared" si="32"/>
        <v>11.511680418975722</v>
      </c>
      <c r="G143" s="78">
        <f t="shared" si="29"/>
        <v>3.8612865382532382</v>
      </c>
    </row>
    <row r="144" spans="1:7" ht="16.5" hidden="1" thickBot="1">
      <c r="A144" s="73">
        <v>2004</v>
      </c>
      <c r="B144" s="80" t="s">
        <v>63</v>
      </c>
      <c r="C144" s="75">
        <f t="shared" si="30"/>
        <v>322.41200000000009</v>
      </c>
      <c r="D144" s="81">
        <v>1.2180879786018339</v>
      </c>
      <c r="E144" s="81">
        <f t="shared" si="31"/>
        <v>9.4944898201762662</v>
      </c>
      <c r="F144" s="82">
        <f t="shared" si="32"/>
        <v>12.442499171709077</v>
      </c>
      <c r="G144" s="78">
        <f t="shared" si="29"/>
        <v>3.8148186903802603</v>
      </c>
    </row>
    <row r="145" spans="1:7" ht="16.5" hidden="1" thickBot="1">
      <c r="A145" s="73">
        <v>2004</v>
      </c>
      <c r="B145" s="80" t="s">
        <v>64</v>
      </c>
      <c r="C145" s="75">
        <f t="shared" si="30"/>
        <v>324.65100000000018</v>
      </c>
      <c r="D145" s="81">
        <v>0.69445306005981866</v>
      </c>
      <c r="E145" s="81">
        <f t="shared" si="31"/>
        <v>10.254877655329375</v>
      </c>
      <c r="F145" s="82">
        <f t="shared" si="32"/>
        <v>11.899616374897937</v>
      </c>
      <c r="G145" s="78">
        <f t="shared" si="29"/>
        <v>3.788509271811515</v>
      </c>
    </row>
    <row r="146" spans="1:7" ht="16.5" hidden="1" thickBot="1">
      <c r="A146" s="73">
        <v>2004</v>
      </c>
      <c r="B146" s="80" t="s">
        <v>65</v>
      </c>
      <c r="C146" s="75">
        <f t="shared" si="30"/>
        <v>325.92500000000018</v>
      </c>
      <c r="D146" s="81">
        <v>0.39242140021129579</v>
      </c>
      <c r="E146" s="81">
        <f t="shared" si="31"/>
        <v>10.687541390025679</v>
      </c>
      <c r="F146" s="82">
        <f t="shared" si="32"/>
        <v>11.913648709434899</v>
      </c>
      <c r="G146" s="78">
        <f t="shared" si="29"/>
        <v>3.7737004636124265</v>
      </c>
    </row>
    <row r="147" spans="1:7" ht="16.5" hidden="1" thickBot="1">
      <c r="A147" s="73">
        <v>2004</v>
      </c>
      <c r="B147" s="80" t="s">
        <v>66</v>
      </c>
      <c r="C147" s="75">
        <f t="shared" si="30"/>
        <v>328.58800000000019</v>
      </c>
      <c r="D147" s="81">
        <v>0.8170591393725557</v>
      </c>
      <c r="E147" s="81">
        <f t="shared" si="31"/>
        <v>11.591924063099679</v>
      </c>
      <c r="F147" s="82">
        <f t="shared" si="32"/>
        <v>12.277512582989702</v>
      </c>
      <c r="G147" s="78">
        <f t="shared" si="29"/>
        <v>3.7431169841956495</v>
      </c>
    </row>
    <row r="148" spans="1:7" ht="16.5" hidden="1" thickBot="1">
      <c r="A148" s="83">
        <v>2004</v>
      </c>
      <c r="B148" s="80" t="s">
        <v>55</v>
      </c>
      <c r="C148" s="75">
        <f t="shared" si="30"/>
        <v>331.00500000000017</v>
      </c>
      <c r="D148" s="81">
        <v>0.73557159725856636</v>
      </c>
      <c r="E148" s="81">
        <f t="shared" si="31"/>
        <v>12.412762561342184</v>
      </c>
      <c r="F148" s="82">
        <f t="shared" si="32"/>
        <v>12.412762561342184</v>
      </c>
      <c r="G148" s="78">
        <f t="shared" si="29"/>
        <v>3.7157847271276272</v>
      </c>
    </row>
    <row r="149" spans="1:7" ht="16.5" hidden="1" thickBot="1">
      <c r="A149" s="83">
        <v>2005</v>
      </c>
      <c r="B149" s="80" t="s">
        <v>56</v>
      </c>
      <c r="C149" s="75">
        <f t="shared" si="30"/>
        <v>332.29800000000023</v>
      </c>
      <c r="D149" s="81">
        <v>0.39062854035438743</v>
      </c>
      <c r="E149" s="81">
        <f t="shared" ref="E149:E158" si="33">+((C149/$C$148)-1)*100</f>
        <v>0.39062854035438743</v>
      </c>
      <c r="F149" s="82">
        <f t="shared" si="32"/>
        <v>11.870158464040138</v>
      </c>
      <c r="G149" s="78">
        <f t="shared" si="29"/>
        <v>3.7013262902662065</v>
      </c>
    </row>
    <row r="150" spans="1:7" ht="16.5" hidden="1" thickBot="1">
      <c r="A150" s="83">
        <v>2005</v>
      </c>
      <c r="B150" s="80" t="s">
        <v>57</v>
      </c>
      <c r="C150" s="75">
        <f t="shared" si="30"/>
        <v>333.28800000000024</v>
      </c>
      <c r="D150" s="81">
        <v>0.29792535615622562</v>
      </c>
      <c r="E150" s="81">
        <f t="shared" si="33"/>
        <v>0.68971767798071681</v>
      </c>
      <c r="F150" s="82">
        <f t="shared" si="32"/>
        <v>11.431408539704568</v>
      </c>
      <c r="G150" s="78">
        <f t="shared" si="29"/>
        <v>3.6903318559410478</v>
      </c>
    </row>
    <row r="151" spans="1:7" ht="16.5" hidden="1" thickBot="1">
      <c r="A151" s="83">
        <v>2005</v>
      </c>
      <c r="B151" s="80" t="s">
        <v>58</v>
      </c>
      <c r="C151" s="75">
        <f t="shared" si="30"/>
        <v>336.12300000000027</v>
      </c>
      <c r="D151" s="81">
        <v>0.85061568373299146</v>
      </c>
      <c r="E151" s="81">
        <f t="shared" si="33"/>
        <v>1.5462002084561055</v>
      </c>
      <c r="F151" s="82">
        <f t="shared" si="32"/>
        <v>11.120918792399003</v>
      </c>
      <c r="G151" s="78">
        <f t="shared" si="29"/>
        <v>3.6592060751655788</v>
      </c>
    </row>
    <row r="152" spans="1:7" ht="16.5" hidden="1" thickBot="1">
      <c r="A152" s="83">
        <v>2005</v>
      </c>
      <c r="B152" s="80" t="s">
        <v>59</v>
      </c>
      <c r="C152" s="75">
        <f t="shared" si="30"/>
        <v>339.03000000000031</v>
      </c>
      <c r="D152" s="81">
        <v>0.86486197017163757</v>
      </c>
      <c r="E152" s="81">
        <f t="shared" si="33"/>
        <v>2.4244346762133828</v>
      </c>
      <c r="F152" s="82">
        <f t="shared" si="32"/>
        <v>10.739471698606318</v>
      </c>
      <c r="G152" s="78">
        <f t="shared" si="29"/>
        <v>3.6278303501250027</v>
      </c>
    </row>
    <row r="153" spans="1:7" ht="16.5" hidden="1" thickBot="1">
      <c r="A153" s="73">
        <v>2005</v>
      </c>
      <c r="B153" s="80" t="s">
        <v>60</v>
      </c>
      <c r="C153" s="75">
        <f t="shared" si="30"/>
        <v>338.29900000000032</v>
      </c>
      <c r="D153" s="81">
        <v>-0.21561513730348203</v>
      </c>
      <c r="E153" s="81">
        <f t="shared" si="33"/>
        <v>2.2035920907539586</v>
      </c>
      <c r="F153" s="82">
        <f t="shared" si="32"/>
        <v>9.0752276303232691</v>
      </c>
      <c r="G153" s="78">
        <f t="shared" si="29"/>
        <v>3.6356694037016948</v>
      </c>
    </row>
    <row r="154" spans="1:7" ht="16.5" hidden="1" thickBot="1">
      <c r="A154" s="73">
        <v>2005</v>
      </c>
      <c r="B154" s="80" t="s">
        <v>61</v>
      </c>
      <c r="C154" s="75">
        <f t="shared" si="30"/>
        <v>336.80100000000033</v>
      </c>
      <c r="D154" s="81">
        <v>-0.44280355543468986</v>
      </c>
      <c r="E154" s="81">
        <f t="shared" si="33"/>
        <v>1.7510309511941324</v>
      </c>
      <c r="F154" s="82">
        <f t="shared" si="32"/>
        <v>7.1185265521486407</v>
      </c>
      <c r="G154" s="78">
        <f t="shared" si="29"/>
        <v>3.6518398805314698</v>
      </c>
    </row>
    <row r="155" spans="1:7" ht="16.5" hidden="1" thickBot="1">
      <c r="A155" s="73">
        <v>2005</v>
      </c>
      <c r="B155" s="80" t="s">
        <v>62</v>
      </c>
      <c r="C155" s="75">
        <f t="shared" si="30"/>
        <v>335.66300000000035</v>
      </c>
      <c r="D155" s="81">
        <v>-0.33788498252677046</v>
      </c>
      <c r="E155" s="81">
        <f t="shared" si="33"/>
        <v>1.4072294980438826</v>
      </c>
      <c r="F155" s="82">
        <f t="shared" si="32"/>
        <v>5.3781095776877175</v>
      </c>
      <c r="G155" s="78">
        <f t="shared" si="29"/>
        <v>3.6642207321119082</v>
      </c>
    </row>
    <row r="156" spans="1:7" ht="16.5" hidden="1" thickBot="1">
      <c r="A156" s="73">
        <v>2005</v>
      </c>
      <c r="B156" s="80" t="s">
        <v>63</v>
      </c>
      <c r="C156" s="75">
        <f t="shared" si="30"/>
        <v>333.47400000000033</v>
      </c>
      <c r="D156" s="81">
        <v>-0.65214217831576216</v>
      </c>
      <c r="E156" s="81">
        <f t="shared" si="33"/>
        <v>0.74591018262568642</v>
      </c>
      <c r="F156" s="82">
        <f t="shared" si="32"/>
        <v>3.4310137339802038</v>
      </c>
      <c r="G156" s="78">
        <f t="shared" si="29"/>
        <v>3.688273519383459</v>
      </c>
    </row>
    <row r="157" spans="1:7" ht="16.5" hidden="1" thickBot="1">
      <c r="A157" s="73">
        <v>2005</v>
      </c>
      <c r="B157" s="80" t="s">
        <v>64</v>
      </c>
      <c r="C157" s="75">
        <f t="shared" si="30"/>
        <v>331.69000000000034</v>
      </c>
      <c r="D157" s="81">
        <v>-0.53497424087034506</v>
      </c>
      <c r="E157" s="81">
        <f t="shared" si="33"/>
        <v>0.20694551441826636</v>
      </c>
      <c r="F157" s="82">
        <f t="shared" si="32"/>
        <v>2.168174439629067</v>
      </c>
      <c r="G157" s="78">
        <f t="shared" si="29"/>
        <v>3.7081109578307441</v>
      </c>
    </row>
    <row r="158" spans="1:7" ht="16.5" hidden="1" thickBot="1">
      <c r="A158" s="73">
        <v>2005</v>
      </c>
      <c r="B158" s="80" t="s">
        <v>65</v>
      </c>
      <c r="C158" s="75">
        <f t="shared" si="30"/>
        <v>333.69400000000041</v>
      </c>
      <c r="D158" s="81">
        <v>0.60417860050048233</v>
      </c>
      <c r="E158" s="81">
        <f t="shared" si="33"/>
        <v>0.81237443543156207</v>
      </c>
      <c r="F158" s="82">
        <f t="shared" si="32"/>
        <v>2.3836772263558181</v>
      </c>
      <c r="G158" s="78">
        <f t="shared" si="29"/>
        <v>3.6858418898837835</v>
      </c>
    </row>
    <row r="159" spans="1:7" ht="16.5" hidden="1" thickBot="1">
      <c r="A159" s="73">
        <v>2005</v>
      </c>
      <c r="B159" s="80" t="s">
        <v>68</v>
      </c>
      <c r="C159" s="75">
        <f t="shared" si="30"/>
        <v>335.03300000000041</v>
      </c>
      <c r="D159" s="81">
        <v>0.4012658303715444</v>
      </c>
      <c r="E159" s="81">
        <f>+((C159/$C$148)-1)*100</f>
        <v>1.2169000468271518</v>
      </c>
      <c r="F159" s="82">
        <f t="shared" si="32"/>
        <v>1.9614228151972224</v>
      </c>
      <c r="G159" s="78">
        <f t="shared" si="29"/>
        <v>3.671110975942308</v>
      </c>
    </row>
    <row r="160" spans="1:7" ht="16.5" hidden="1" thickBot="1">
      <c r="A160" s="73">
        <v>2005</v>
      </c>
      <c r="B160" s="80" t="s">
        <v>69</v>
      </c>
      <c r="C160" s="75">
        <f t="shared" si="30"/>
        <v>335.00600000000037</v>
      </c>
      <c r="D160" s="81">
        <v>-8.058907630004164E-3</v>
      </c>
      <c r="E160" s="81">
        <f>+((C160/$C$148)-1)*100</f>
        <v>1.2087430703464408</v>
      </c>
      <c r="F160" s="82">
        <f t="shared" si="32"/>
        <v>1.2087430703464408</v>
      </c>
      <c r="G160" s="78">
        <f t="shared" si="29"/>
        <v>3.6714068512291704</v>
      </c>
    </row>
    <row r="161" spans="1:7" ht="16.5" hidden="1" thickBot="1">
      <c r="A161" s="73">
        <v>2006</v>
      </c>
      <c r="B161" s="80" t="s">
        <v>70</v>
      </c>
      <c r="C161" s="75">
        <f t="shared" si="30"/>
        <v>338.08300000000042</v>
      </c>
      <c r="D161" s="81">
        <v>0.9184910121012857</v>
      </c>
      <c r="E161" s="81">
        <f t="shared" ref="E161:E168" si="34">100*((C161/$C$160-1))</f>
        <v>0.9184910121012857</v>
      </c>
      <c r="F161" s="82">
        <f t="shared" si="32"/>
        <v>1.740907257943225</v>
      </c>
      <c r="G161" s="78">
        <f t="shared" si="29"/>
        <v>3.6379922196705521</v>
      </c>
    </row>
    <row r="162" spans="1:7" ht="16.5" hidden="1" thickBot="1">
      <c r="A162" s="84">
        <v>2006</v>
      </c>
      <c r="B162" s="80" t="s">
        <v>71</v>
      </c>
      <c r="C162" s="75">
        <f t="shared" si="30"/>
        <v>338.12800000000033</v>
      </c>
      <c r="D162" s="81">
        <v>1.3310340951755428E-2</v>
      </c>
      <c r="E162" s="81">
        <f t="shared" si="34"/>
        <v>0.93192360733835855</v>
      </c>
      <c r="F162" s="82">
        <f t="shared" si="32"/>
        <v>1.4521974988598751</v>
      </c>
      <c r="G162" s="78">
        <f t="shared" si="29"/>
        <v>3.6375080549462915</v>
      </c>
    </row>
    <row r="163" spans="1:7" ht="16.5" hidden="1" thickBot="1">
      <c r="A163" s="84">
        <v>2006</v>
      </c>
      <c r="B163" s="80" t="s">
        <v>72</v>
      </c>
      <c r="C163" s="75">
        <f t="shared" si="30"/>
        <v>337.33900000000034</v>
      </c>
      <c r="D163" s="81">
        <v>-0.23334358586096782</v>
      </c>
      <c r="E163" s="81">
        <f t="shared" si="34"/>
        <v>0.69640543751454675</v>
      </c>
      <c r="F163" s="82">
        <f t="shared" si="32"/>
        <v>0.36177232739207366</v>
      </c>
      <c r="G163" s="78">
        <f t="shared" si="29"/>
        <v>3.6460157989526252</v>
      </c>
    </row>
    <row r="164" spans="1:7" ht="16.5" hidden="1" thickBot="1">
      <c r="A164" s="73">
        <v>2006</v>
      </c>
      <c r="B164" s="80" t="s">
        <v>73</v>
      </c>
      <c r="C164" s="75">
        <f t="shared" si="30"/>
        <v>335.92100000000033</v>
      </c>
      <c r="D164" s="81">
        <v>-0.42034867003222232</v>
      </c>
      <c r="E164" s="81">
        <f t="shared" si="34"/>
        <v>0.27312943648769572</v>
      </c>
      <c r="F164" s="82">
        <f t="shared" si="32"/>
        <v>-0.91702799162315385</v>
      </c>
      <c r="G164" s="78">
        <f t="shared" si="29"/>
        <v>3.6614064723636797</v>
      </c>
    </row>
    <row r="165" spans="1:7" ht="16.5" hidden="1" thickBot="1">
      <c r="A165" s="73">
        <v>2006</v>
      </c>
      <c r="B165" s="80" t="s">
        <v>74</v>
      </c>
      <c r="C165" s="75">
        <f t="shared" si="30"/>
        <v>337.18500000000034</v>
      </c>
      <c r="D165" s="81">
        <v>0.3762789465380223</v>
      </c>
      <c r="E165" s="81">
        <f t="shared" si="34"/>
        <v>0.65043611159201209</v>
      </c>
      <c r="F165" s="82">
        <f t="shared" si="32"/>
        <v>-0.3292944998359415</v>
      </c>
      <c r="G165" s="78">
        <f t="shared" si="29"/>
        <v>3.6476810166611195</v>
      </c>
    </row>
    <row r="166" spans="1:7" ht="16.5" hidden="1" thickBot="1">
      <c r="A166" s="73">
        <v>2006</v>
      </c>
      <c r="B166" s="80" t="s">
        <v>75</v>
      </c>
      <c r="C166" s="75">
        <f t="shared" si="30"/>
        <v>339.71200000000027</v>
      </c>
      <c r="D166" s="81">
        <v>0.74944021827778595</v>
      </c>
      <c r="E166" s="81">
        <f t="shared" si="34"/>
        <v>1.4047509596842644</v>
      </c>
      <c r="F166" s="82">
        <f t="shared" si="32"/>
        <v>0.86430859765853629</v>
      </c>
      <c r="G166" s="78">
        <f t="shared" si="29"/>
        <v>3.6205471799726823</v>
      </c>
    </row>
    <row r="167" spans="1:7" ht="16.5" hidden="1" thickBot="1">
      <c r="A167" s="73">
        <v>2006</v>
      </c>
      <c r="B167" s="80" t="s">
        <v>76</v>
      </c>
      <c r="C167" s="75">
        <f t="shared" si="30"/>
        <v>340.3120000000003</v>
      </c>
      <c r="D167" s="76">
        <v>0.17662019593067679</v>
      </c>
      <c r="E167" s="76">
        <f t="shared" si="34"/>
        <v>1.5838522295122726</v>
      </c>
      <c r="F167" s="77">
        <f t="shared" si="32"/>
        <v>1.3850200945590974</v>
      </c>
      <c r="G167" s="78">
        <f t="shared" si="29"/>
        <v>3.6141638367230065</v>
      </c>
    </row>
    <row r="168" spans="1:7" ht="16.5" hidden="1" thickBot="1">
      <c r="A168" s="73">
        <v>2006</v>
      </c>
      <c r="B168" s="80" t="s">
        <v>77</v>
      </c>
      <c r="C168" s="75">
        <f t="shared" si="30"/>
        <v>341.5740000000003</v>
      </c>
      <c r="D168" s="76">
        <v>0.37083617386397538</v>
      </c>
      <c r="E168" s="76">
        <f t="shared" si="34"/>
        <v>1.9605619003838504</v>
      </c>
      <c r="F168" s="77">
        <f t="shared" si="32"/>
        <v>2.4289749725615595</v>
      </c>
      <c r="G168" s="78">
        <f t="shared" si="29"/>
        <v>3.6008107279912398</v>
      </c>
    </row>
    <row r="169" spans="1:7" ht="16.5" hidden="1" thickBot="1">
      <c r="A169" s="73">
        <v>2006</v>
      </c>
      <c r="B169" s="80" t="s">
        <v>64</v>
      </c>
      <c r="C169" s="75">
        <f t="shared" si="30"/>
        <v>342.56100000000026</v>
      </c>
      <c r="D169" s="76">
        <v>0.2889564193995886</v>
      </c>
      <c r="E169" s="76">
        <f>100*((C169/$C$160-1))</f>
        <v>2.2551834892509115</v>
      </c>
      <c r="F169" s="77">
        <f t="shared" si="32"/>
        <v>3.2774578672856824</v>
      </c>
      <c r="G169" s="78">
        <f t="shared" si="29"/>
        <v>3.5904359328787572</v>
      </c>
    </row>
    <row r="170" spans="1:7" ht="16.5" hidden="1" thickBot="1">
      <c r="A170" s="73">
        <v>2006</v>
      </c>
      <c r="B170" s="80" t="s">
        <v>78</v>
      </c>
      <c r="C170" s="75">
        <f t="shared" si="30"/>
        <v>344.15500000000026</v>
      </c>
      <c r="D170" s="76">
        <v>0.46531858559497596</v>
      </c>
      <c r="E170" s="76">
        <f>100*((C170/$C$160-1))</f>
        <v>2.7309958627606212</v>
      </c>
      <c r="F170" s="77">
        <f t="shared" si="32"/>
        <v>3.134908029512018</v>
      </c>
      <c r="G170" s="78">
        <f t="shared" si="29"/>
        <v>3.5738063477295983</v>
      </c>
    </row>
    <row r="171" spans="1:7" ht="16.5" hidden="1" thickBot="1">
      <c r="A171" s="73">
        <v>2006</v>
      </c>
      <c r="B171" s="80" t="s">
        <v>68</v>
      </c>
      <c r="C171" s="75">
        <f t="shared" si="30"/>
        <v>346.74600000000021</v>
      </c>
      <c r="D171" s="81">
        <v>0.75285845040751198</v>
      </c>
      <c r="E171" s="81">
        <f>100*((C171/$C$160-1))</f>
        <v>3.5044148463012181</v>
      </c>
      <c r="F171" s="82">
        <f t="shared" si="32"/>
        <v>3.4960735211157612</v>
      </c>
      <c r="G171" s="78">
        <f t="shared" si="29"/>
        <v>3.5471016928901271</v>
      </c>
    </row>
    <row r="172" spans="1:7" ht="16.5" hidden="1" thickBot="1">
      <c r="A172" s="73">
        <v>2006</v>
      </c>
      <c r="B172" s="80" t="s">
        <v>69</v>
      </c>
      <c r="C172" s="75">
        <f t="shared" si="30"/>
        <v>347.84200000000027</v>
      </c>
      <c r="D172" s="81">
        <v>0.31608151211550695</v>
      </c>
      <c r="E172" s="81">
        <f>100*((C172/$C$160-1))</f>
        <v>3.8315731658537189</v>
      </c>
      <c r="F172" s="82">
        <f t="shared" si="32"/>
        <v>3.8315731658537189</v>
      </c>
      <c r="G172" s="78">
        <f t="shared" si="29"/>
        <v>3.5359252867764095</v>
      </c>
    </row>
    <row r="173" spans="1:7" ht="16.5" hidden="1" thickBot="1">
      <c r="A173" s="73">
        <v>2007</v>
      </c>
      <c r="B173" s="80" t="s">
        <v>70</v>
      </c>
      <c r="C173" s="75">
        <f t="shared" si="30"/>
        <v>349.5930000000003</v>
      </c>
      <c r="D173" s="81">
        <v>0.5033894699317587</v>
      </c>
      <c r="E173" s="81">
        <f t="shared" ref="E173:E181" si="35">100*((C173/$C$172-1))</f>
        <v>0.5033894699317587</v>
      </c>
      <c r="F173" s="82">
        <f t="shared" si="32"/>
        <v>3.4044894301103135</v>
      </c>
      <c r="G173" s="78">
        <f t="shared" si="29"/>
        <v>3.5182149631224875</v>
      </c>
    </row>
    <row r="174" spans="1:7" ht="16.5" hidden="1" thickBot="1">
      <c r="A174" s="73">
        <v>2007</v>
      </c>
      <c r="B174" s="80" t="s">
        <v>57</v>
      </c>
      <c r="C174" s="75">
        <f t="shared" si="30"/>
        <v>350.52400000000023</v>
      </c>
      <c r="D174" s="81">
        <v>0.26630968011371881</v>
      </c>
      <c r="E174" s="81">
        <f t="shared" si="35"/>
        <v>0.77103972493257622</v>
      </c>
      <c r="F174" s="82">
        <f t="shared" si="32"/>
        <v>3.6660672881275502</v>
      </c>
      <c r="G174" s="78">
        <f t="shared" si="29"/>
        <v>3.5088705013148314</v>
      </c>
    </row>
    <row r="175" spans="1:7" ht="16.5" hidden="1" thickBot="1">
      <c r="A175" s="73">
        <v>2007</v>
      </c>
      <c r="B175" s="80" t="s">
        <v>72</v>
      </c>
      <c r="C175" s="75">
        <f t="shared" si="30"/>
        <v>351.71700000000027</v>
      </c>
      <c r="D175" s="81">
        <v>0.34034759388801294</v>
      </c>
      <c r="E175" s="81">
        <f t="shared" si="35"/>
        <v>1.1140115339723256</v>
      </c>
      <c r="F175" s="82">
        <f t="shared" si="32"/>
        <v>4.2621813665185249</v>
      </c>
      <c r="G175" s="78">
        <f t="shared" si="29"/>
        <v>3.4969686526465309</v>
      </c>
    </row>
    <row r="176" spans="1:7" ht="16.5" hidden="1" thickBot="1">
      <c r="A176" s="73">
        <v>2007</v>
      </c>
      <c r="B176" s="80" t="s">
        <v>73</v>
      </c>
      <c r="C176" s="75">
        <f t="shared" si="30"/>
        <v>351.86900000000031</v>
      </c>
      <c r="D176" s="81">
        <v>4.3216563316539336E-2</v>
      </c>
      <c r="E176" s="81">
        <f t="shared" si="35"/>
        <v>1.1577095347887978</v>
      </c>
      <c r="F176" s="82">
        <f t="shared" si="32"/>
        <v>4.7475448096427231</v>
      </c>
      <c r="G176" s="78">
        <f t="shared" si="29"/>
        <v>3.4954580358112812</v>
      </c>
    </row>
    <row r="177" spans="1:7" ht="16.5" hidden="1" thickBot="1">
      <c r="A177" s="73">
        <v>2007</v>
      </c>
      <c r="B177" s="80" t="s">
        <v>74</v>
      </c>
      <c r="C177" s="75">
        <f t="shared" si="30"/>
        <v>352.02000000000021</v>
      </c>
      <c r="D177" s="81">
        <v>4.2913697995539124E-2</v>
      </c>
      <c r="E177" s="81">
        <f t="shared" si="35"/>
        <v>1.2011200487577423</v>
      </c>
      <c r="F177" s="82">
        <f t="shared" si="32"/>
        <v>4.3996619066684062</v>
      </c>
      <c r="G177" s="78">
        <f t="shared" si="29"/>
        <v>3.4939586489485825</v>
      </c>
    </row>
    <row r="178" spans="1:7" ht="16.5" hidden="1" thickBot="1">
      <c r="A178" s="73">
        <v>2007</v>
      </c>
      <c r="B178" s="80" t="s">
        <v>75</v>
      </c>
      <c r="C178" s="75">
        <f t="shared" si="30"/>
        <v>352.93600000000021</v>
      </c>
      <c r="D178" s="81">
        <v>0.26021248792682528</v>
      </c>
      <c r="E178" s="81">
        <f t="shared" si="35"/>
        <v>1.4644580010464425</v>
      </c>
      <c r="F178" s="82">
        <f t="shared" si="32"/>
        <v>3.8927091183119655</v>
      </c>
      <c r="G178" s="78">
        <f t="shared" si="29"/>
        <v>3.48489052860258</v>
      </c>
    </row>
    <row r="179" spans="1:7" ht="16.5" hidden="1" thickBot="1">
      <c r="A179" s="73">
        <v>2007</v>
      </c>
      <c r="B179" s="80" t="s">
        <v>76</v>
      </c>
      <c r="C179" s="75">
        <f t="shared" si="30"/>
        <v>353.9200000000003</v>
      </c>
      <c r="D179" s="81">
        <v>0.27880408912666077</v>
      </c>
      <c r="E179" s="81">
        <f t="shared" si="35"/>
        <v>1.7473450589635675</v>
      </c>
      <c r="F179" s="82">
        <f t="shared" si="32"/>
        <v>3.9986835609675753</v>
      </c>
      <c r="G179" s="78">
        <f t="shared" si="29"/>
        <v>3.4752015246464731</v>
      </c>
    </row>
    <row r="180" spans="1:7" ht="16.5" hidden="1" thickBot="1">
      <c r="A180" s="73">
        <v>2007</v>
      </c>
      <c r="B180" s="80" t="s">
        <v>77</v>
      </c>
      <c r="C180" s="75">
        <f t="shared" si="30"/>
        <v>357.40400000000028</v>
      </c>
      <c r="D180" s="81">
        <v>0.9844032549728654</v>
      </c>
      <c r="E180" s="81">
        <f t="shared" si="35"/>
        <v>2.7489492355724732</v>
      </c>
      <c r="F180" s="82">
        <f t="shared" si="32"/>
        <v>4.6344276789216821</v>
      </c>
      <c r="G180" s="78">
        <f t="shared" si="29"/>
        <v>3.4413250092413064</v>
      </c>
    </row>
    <row r="181" spans="1:7" ht="16.5" hidden="1" thickBot="1">
      <c r="A181" s="73">
        <v>2007</v>
      </c>
      <c r="B181" s="80" t="s">
        <v>79</v>
      </c>
      <c r="C181" s="75">
        <f t="shared" si="30"/>
        <v>361.9970000000003</v>
      </c>
      <c r="D181" s="81">
        <v>1.285100334635314</v>
      </c>
      <c r="E181" s="81">
        <f t="shared" si="35"/>
        <v>4.0693763260330806</v>
      </c>
      <c r="F181" s="82">
        <f t="shared" si="32"/>
        <v>5.6737340210940568</v>
      </c>
      <c r="G181" s="78">
        <f t="shared" si="29"/>
        <v>3.3976616480326629</v>
      </c>
    </row>
    <row r="182" spans="1:7" ht="16.5" hidden="1" thickBot="1">
      <c r="A182" s="73">
        <v>2007</v>
      </c>
      <c r="B182" s="80" t="s">
        <v>78</v>
      </c>
      <c r="C182" s="75">
        <f t="shared" si="30"/>
        <v>365.79400000000027</v>
      </c>
      <c r="D182" s="81">
        <v>1.0489037201965701</v>
      </c>
      <c r="E182" s="81">
        <f>100*((C182/$C$172-1))</f>
        <v>5.1609638859022144</v>
      </c>
      <c r="F182" s="82">
        <f t="shared" si="32"/>
        <v>6.2875739129171437</v>
      </c>
      <c r="G182" s="78">
        <f t="shared" si="29"/>
        <v>3.3623933787948408</v>
      </c>
    </row>
    <row r="183" spans="1:7" ht="16.5" hidden="1" thickBot="1">
      <c r="A183" s="73">
        <v>2007</v>
      </c>
      <c r="B183" s="80" t="s">
        <v>68</v>
      </c>
      <c r="C183" s="75">
        <f t="shared" si="30"/>
        <v>368.33400000000029</v>
      </c>
      <c r="D183" s="81">
        <v>0.69437989688185819</v>
      </c>
      <c r="E183" s="81">
        <f>100*((C183/$C$172-1))</f>
        <v>5.8911804784931077</v>
      </c>
      <c r="F183" s="82">
        <f t="shared" si="32"/>
        <v>6.2258829229465018</v>
      </c>
      <c r="G183" s="78">
        <f t="shared" si="29"/>
        <v>3.3392065994528877</v>
      </c>
    </row>
    <row r="184" spans="1:7" ht="16.5" hidden="1" thickBot="1">
      <c r="A184" s="73">
        <v>2007</v>
      </c>
      <c r="B184" s="80" t="s">
        <v>69</v>
      </c>
      <c r="C184" s="75">
        <f t="shared" si="30"/>
        <v>374.81500000000028</v>
      </c>
      <c r="D184" s="81">
        <v>1.7595443266166022</v>
      </c>
      <c r="E184" s="81">
        <f>100*((C184/$C$172-1))</f>
        <v>7.7543827369897844</v>
      </c>
      <c r="F184" s="82">
        <f t="shared" si="32"/>
        <v>7.7543827369897844</v>
      </c>
      <c r="G184" s="78">
        <f t="shared" si="29"/>
        <v>3.2814677203497187</v>
      </c>
    </row>
    <row r="185" spans="1:7" ht="16.5" hidden="1" thickBot="1">
      <c r="A185" s="73">
        <v>2008</v>
      </c>
      <c r="B185" s="80" t="s">
        <v>70</v>
      </c>
      <c r="C185" s="75">
        <f t="shared" si="30"/>
        <v>378.90000000000026</v>
      </c>
      <c r="D185" s="81">
        <v>1.0898710030281533</v>
      </c>
      <c r="E185" s="81">
        <f t="shared" ref="E185:E196" si="36">100*((C185/$C$184-1))</f>
        <v>1.0898710030281533</v>
      </c>
      <c r="F185" s="82">
        <f t="shared" si="32"/>
        <v>8.3831770086929538</v>
      </c>
      <c r="G185" s="78">
        <f t="shared" si="29"/>
        <v>3.2460895318101874</v>
      </c>
    </row>
    <row r="186" spans="1:7" ht="16.5" hidden="1" thickBot="1">
      <c r="A186" s="73">
        <v>2008</v>
      </c>
      <c r="B186" s="80" t="s">
        <v>71</v>
      </c>
      <c r="C186" s="75">
        <f t="shared" si="30"/>
        <v>380.90600000000023</v>
      </c>
      <c r="D186" s="81">
        <v>0.52942728952229956</v>
      </c>
      <c r="E186" s="81">
        <f t="shared" si="36"/>
        <v>1.6250683670610666</v>
      </c>
      <c r="F186" s="82">
        <f t="shared" si="32"/>
        <v>8.6675948009266044</v>
      </c>
      <c r="G186" s="78">
        <f t="shared" si="29"/>
        <v>3.2289943545202231</v>
      </c>
    </row>
    <row r="187" spans="1:7" ht="16.5" hidden="1" thickBot="1">
      <c r="A187" s="73">
        <v>2008</v>
      </c>
      <c r="B187" s="80" t="s">
        <v>72</v>
      </c>
      <c r="C187" s="75">
        <f t="shared" si="30"/>
        <v>383.73100000000022</v>
      </c>
      <c r="D187" s="81">
        <v>0.74165279622793179</v>
      </c>
      <c r="E187" s="81">
        <f t="shared" si="36"/>
        <v>2.3787735282739364</v>
      </c>
      <c r="F187" s="82">
        <f t="shared" si="32"/>
        <v>9.1022043290486252</v>
      </c>
      <c r="G187" s="78">
        <f t="shared" si="29"/>
        <v>3.2052227305140324</v>
      </c>
    </row>
    <row r="188" spans="1:7" ht="16.5" hidden="1" thickBot="1">
      <c r="A188" s="73">
        <v>2008</v>
      </c>
      <c r="B188" s="80" t="s">
        <v>73</v>
      </c>
      <c r="C188" s="75">
        <f t="shared" si="30"/>
        <v>386.38000000000022</v>
      </c>
      <c r="D188" s="81">
        <v>0.69032733868257257</v>
      </c>
      <c r="E188" s="81">
        <f t="shared" si="36"/>
        <v>3.0855221909475095</v>
      </c>
      <c r="F188" s="82">
        <f t="shared" si="32"/>
        <v>9.8079114670516212</v>
      </c>
      <c r="G188" s="78">
        <f t="shared" si="29"/>
        <v>3.1832479000022778</v>
      </c>
    </row>
    <row r="189" spans="1:7" ht="16.5" hidden="1" thickBot="1">
      <c r="A189" s="73">
        <v>2008</v>
      </c>
      <c r="B189" s="80" t="s">
        <v>74</v>
      </c>
      <c r="C189" s="75">
        <f t="shared" si="30"/>
        <v>392.59200000000021</v>
      </c>
      <c r="D189" s="81">
        <v>1.6077436720327132</v>
      </c>
      <c r="E189" s="81">
        <f t="shared" si="36"/>
        <v>4.7428731507543453</v>
      </c>
      <c r="F189" s="82">
        <f t="shared" si="32"/>
        <v>11.525481506732561</v>
      </c>
      <c r="G189" s="78">
        <f t="shared" ref="G189:G252" si="37">+$C$405/C189</f>
        <v>3.1328792323910832</v>
      </c>
    </row>
    <row r="190" spans="1:7" ht="16.5" hidden="1" thickBot="1">
      <c r="A190" s="73">
        <v>2008</v>
      </c>
      <c r="B190" s="80" t="s">
        <v>75</v>
      </c>
      <c r="C190" s="75">
        <f t="shared" ref="C190:C253" si="38">+C189*(1+D190/100)</f>
        <v>400.38200000000023</v>
      </c>
      <c r="D190" s="81">
        <v>1.9842482781106119</v>
      </c>
      <c r="E190" s="81">
        <f t="shared" si="36"/>
        <v>6.8212318076917855</v>
      </c>
      <c r="F190" s="82">
        <f t="shared" si="32"/>
        <v>13.443230500714009</v>
      </c>
      <c r="G190" s="78">
        <f t="shared" si="37"/>
        <v>3.0719246209941509</v>
      </c>
    </row>
    <row r="191" spans="1:7" ht="16.5" hidden="1" thickBot="1">
      <c r="A191" s="73">
        <v>2008</v>
      </c>
      <c r="B191" s="80" t="s">
        <v>76</v>
      </c>
      <c r="C191" s="75">
        <f t="shared" si="38"/>
        <v>407.44600000000025</v>
      </c>
      <c r="D191" s="81">
        <v>1.7643150790994655</v>
      </c>
      <c r="E191" s="81">
        <f t="shared" si="36"/>
        <v>8.7058949081546757</v>
      </c>
      <c r="F191" s="82">
        <f t="shared" si="32"/>
        <v>15.123756781193464</v>
      </c>
      <c r="G191" s="78">
        <f t="shared" si="37"/>
        <v>3.0186658443152714</v>
      </c>
    </row>
    <row r="192" spans="1:7" ht="16.5" hidden="1" thickBot="1">
      <c r="A192" s="73">
        <v>2008</v>
      </c>
      <c r="B192" s="80" t="s">
        <v>77</v>
      </c>
      <c r="C192" s="75">
        <f t="shared" si="38"/>
        <v>406.12700000000024</v>
      </c>
      <c r="D192" s="81">
        <v>-0.32372387997428032</v>
      </c>
      <c r="E192" s="81">
        <f t="shared" si="36"/>
        <v>8.3539879673972361</v>
      </c>
      <c r="F192" s="82">
        <f t="shared" si="32"/>
        <v>13.632471936519996</v>
      </c>
      <c r="G192" s="78">
        <f t="shared" si="37"/>
        <v>3.0284697240096818</v>
      </c>
    </row>
    <row r="193" spans="1:7" ht="16.5" hidden="1" thickBot="1">
      <c r="A193" s="73">
        <v>2008</v>
      </c>
      <c r="B193" s="80" t="s">
        <v>79</v>
      </c>
      <c r="C193" s="75">
        <f t="shared" si="38"/>
        <v>406.55700000000024</v>
      </c>
      <c r="D193" s="81">
        <v>0.10587821051051272</v>
      </c>
      <c r="E193" s="81">
        <f t="shared" si="36"/>
        <v>8.4687112308738719</v>
      </c>
      <c r="F193" s="82">
        <f t="shared" si="32"/>
        <v>12.30949427757686</v>
      </c>
      <c r="G193" s="78">
        <f t="shared" si="37"/>
        <v>3.0252666258430678</v>
      </c>
    </row>
    <row r="194" spans="1:7" ht="16.5" hidden="1" thickBot="1">
      <c r="A194" s="73">
        <v>2008</v>
      </c>
      <c r="B194" s="80" t="s">
        <v>78</v>
      </c>
      <c r="C194" s="75">
        <f t="shared" si="38"/>
        <v>410.52400000000029</v>
      </c>
      <c r="D194" s="81">
        <v>0.97575493719208595</v>
      </c>
      <c r="E194" s="81">
        <f t="shared" si="36"/>
        <v>9.5271000360177549</v>
      </c>
      <c r="F194" s="82">
        <f t="shared" si="32"/>
        <v>12.228194010836702</v>
      </c>
      <c r="G194" s="78">
        <f t="shared" si="37"/>
        <v>2.9960326889606455</v>
      </c>
    </row>
    <row r="195" spans="1:7" ht="16.5" hidden="1" thickBot="1">
      <c r="A195" s="73">
        <v>2008</v>
      </c>
      <c r="B195" s="80" t="s">
        <v>68</v>
      </c>
      <c r="C195" s="75">
        <f t="shared" si="38"/>
        <v>412.10400000000027</v>
      </c>
      <c r="D195" s="81">
        <v>0.384873965955701</v>
      </c>
      <c r="E195" s="81">
        <f t="shared" si="36"/>
        <v>9.9486413297226619</v>
      </c>
      <c r="F195" s="82">
        <f t="shared" si="32"/>
        <v>11.883236410431831</v>
      </c>
      <c r="G195" s="78">
        <f t="shared" si="37"/>
        <v>2.9845459486024888</v>
      </c>
    </row>
    <row r="196" spans="1:7" ht="16.5" hidden="1" thickBot="1">
      <c r="A196" s="73">
        <v>2008</v>
      </c>
      <c r="B196" s="80" t="s">
        <v>69</v>
      </c>
      <c r="C196" s="75">
        <f t="shared" si="38"/>
        <v>411.57500000000027</v>
      </c>
      <c r="D196" s="81">
        <v>-0.12836565527147847</v>
      </c>
      <c r="E196" s="81">
        <f t="shared" si="36"/>
        <v>9.8075050358176661</v>
      </c>
      <c r="F196" s="82">
        <f t="shared" si="32"/>
        <v>9.8075050358176661</v>
      </c>
      <c r="G196" s="78">
        <f t="shared" si="37"/>
        <v>2.9883820047448948</v>
      </c>
    </row>
    <row r="197" spans="1:7" ht="16.5" hidden="1" thickBot="1">
      <c r="A197" s="73">
        <v>2009</v>
      </c>
      <c r="B197" s="80" t="s">
        <v>70</v>
      </c>
      <c r="C197" s="75">
        <f t="shared" si="38"/>
        <v>409.78200000000027</v>
      </c>
      <c r="D197" s="81">
        <v>-0.43564356435643603</v>
      </c>
      <c r="E197" s="81">
        <f t="shared" ref="E197:E208" si="39">100*((C197/$C$196-1))</f>
        <v>-0.43564356435643603</v>
      </c>
      <c r="F197" s="82">
        <f t="shared" si="32"/>
        <v>8.1504354711005469</v>
      </c>
      <c r="G197" s="78">
        <f t="shared" si="37"/>
        <v>3.0014576618857833</v>
      </c>
    </row>
    <row r="198" spans="1:7" ht="16.5" hidden="1" thickBot="1">
      <c r="A198" s="73">
        <v>2009</v>
      </c>
      <c r="B198" s="80" t="s">
        <v>71</v>
      </c>
      <c r="C198" s="75">
        <f t="shared" si="38"/>
        <v>410.84900000000027</v>
      </c>
      <c r="D198" s="81">
        <v>0.26038234963956519</v>
      </c>
      <c r="E198" s="81">
        <f t="shared" si="39"/>
        <v>-0.17639555366579796</v>
      </c>
      <c r="F198" s="82">
        <f t="shared" si="32"/>
        <v>7.8609945760896416</v>
      </c>
      <c r="G198" s="78">
        <f t="shared" si="37"/>
        <v>2.9936626926264394</v>
      </c>
    </row>
    <row r="199" spans="1:7" ht="16.5" hidden="1" thickBot="1">
      <c r="A199" s="73">
        <v>2009</v>
      </c>
      <c r="B199" s="80" t="s">
        <v>72</v>
      </c>
      <c r="C199" s="75">
        <f t="shared" si="38"/>
        <v>407.80800000000028</v>
      </c>
      <c r="D199" s="81">
        <v>-0.74017461403094176</v>
      </c>
      <c r="E199" s="81">
        <f t="shared" si="39"/>
        <v>-0.91526453258822249</v>
      </c>
      <c r="F199" s="82">
        <f t="shared" si="32"/>
        <v>6.2744474644998771</v>
      </c>
      <c r="G199" s="78">
        <f t="shared" si="37"/>
        <v>3.0159862572653799</v>
      </c>
    </row>
    <row r="200" spans="1:7" ht="16.5" hidden="1" thickBot="1">
      <c r="A200" s="73">
        <v>2009</v>
      </c>
      <c r="B200" s="80" t="s">
        <v>73</v>
      </c>
      <c r="C200" s="75">
        <f t="shared" si="38"/>
        <v>407.18100000000027</v>
      </c>
      <c r="D200" s="81">
        <v>-0.15374882297551906</v>
      </c>
      <c r="E200" s="81">
        <f t="shared" si="39"/>
        <v>-1.0676061471177833</v>
      </c>
      <c r="F200" s="82">
        <f t="shared" si="32"/>
        <v>5.3835602256845583</v>
      </c>
      <c r="G200" s="78">
        <f t="shared" si="37"/>
        <v>3.0206304410148803</v>
      </c>
    </row>
    <row r="201" spans="1:7" ht="16.5" hidden="1" thickBot="1">
      <c r="A201" s="73">
        <v>2009</v>
      </c>
      <c r="B201" s="80" t="s">
        <v>74</v>
      </c>
      <c r="C201" s="75">
        <f t="shared" si="38"/>
        <v>406.88500000000028</v>
      </c>
      <c r="D201" s="81">
        <v>-7.2694944017526186E-2</v>
      </c>
      <c r="E201" s="81">
        <f t="shared" si="39"/>
        <v>-1.1395249954443298</v>
      </c>
      <c r="F201" s="82">
        <f t="shared" ref="F201:F264" si="40">+((C201/C189)-1)*100</f>
        <v>3.6406753066797304</v>
      </c>
      <c r="G201" s="78">
        <f t="shared" si="37"/>
        <v>3.0228278840529388</v>
      </c>
    </row>
    <row r="202" spans="1:7" ht="16.5" hidden="1" thickBot="1">
      <c r="A202" s="73">
        <v>2009</v>
      </c>
      <c r="B202" s="80" t="s">
        <v>75</v>
      </c>
      <c r="C202" s="75">
        <f t="shared" si="38"/>
        <v>406.48600000000027</v>
      </c>
      <c r="D202" s="81">
        <v>-9.8062106000462723E-2</v>
      </c>
      <c r="E202" s="81">
        <f t="shared" si="39"/>
        <v>-1.2364696592358615</v>
      </c>
      <c r="F202" s="82">
        <f t="shared" si="40"/>
        <v>1.5245440604223059</v>
      </c>
      <c r="G202" s="78">
        <f t="shared" si="37"/>
        <v>3.0257950423947686</v>
      </c>
    </row>
    <row r="203" spans="1:7" ht="16.5" hidden="1" thickBot="1">
      <c r="A203" s="73">
        <v>2009</v>
      </c>
      <c r="B203" s="80" t="s">
        <v>76</v>
      </c>
      <c r="C203" s="75">
        <f t="shared" si="38"/>
        <v>404.7180000000003</v>
      </c>
      <c r="D203" s="81">
        <v>-0.43494732905929867</v>
      </c>
      <c r="E203" s="81">
        <f t="shared" si="39"/>
        <v>-1.6660389965376776</v>
      </c>
      <c r="F203" s="82">
        <f t="shared" si="40"/>
        <v>-0.66953657662609523</v>
      </c>
      <c r="G203" s="78">
        <f t="shared" si="37"/>
        <v>3.0390131489157386</v>
      </c>
    </row>
    <row r="204" spans="1:7" ht="16.5" hidden="1" thickBot="1">
      <c r="A204" s="73">
        <v>2009</v>
      </c>
      <c r="B204" s="80" t="s">
        <v>77</v>
      </c>
      <c r="C204" s="75">
        <f t="shared" si="38"/>
        <v>403.25300000000027</v>
      </c>
      <c r="D204" s="81">
        <v>-0.36198044070192559</v>
      </c>
      <c r="E204" s="81">
        <f t="shared" si="39"/>
        <v>-2.0219887019376825</v>
      </c>
      <c r="F204" s="82">
        <f t="shared" si="40"/>
        <v>-0.70766041164462834</v>
      </c>
      <c r="G204" s="78">
        <f t="shared" si="37"/>
        <v>3.0500537469104505</v>
      </c>
    </row>
    <row r="205" spans="1:7" ht="16.5" hidden="1" thickBot="1">
      <c r="A205" s="73">
        <v>2009</v>
      </c>
      <c r="B205" s="80" t="s">
        <v>64</v>
      </c>
      <c r="C205" s="75">
        <f t="shared" si="38"/>
        <v>404.94500000000033</v>
      </c>
      <c r="D205" s="81">
        <v>0.41958770300531967</v>
      </c>
      <c r="E205" s="81">
        <f t="shared" si="39"/>
        <v>-1.6108850148818354</v>
      </c>
      <c r="F205" s="82">
        <f t="shared" si="40"/>
        <v>-0.39650036772209685</v>
      </c>
      <c r="G205" s="78">
        <f t="shared" si="37"/>
        <v>3.0373095694548145</v>
      </c>
    </row>
    <row r="206" spans="1:7" ht="16.5" hidden="1" thickBot="1">
      <c r="A206" s="73">
        <v>2009</v>
      </c>
      <c r="B206" s="80" t="s">
        <v>78</v>
      </c>
      <c r="C206" s="75">
        <f t="shared" si="38"/>
        <v>405.12900000000042</v>
      </c>
      <c r="D206" s="81">
        <v>4.5438269394626474E-2</v>
      </c>
      <c r="E206" s="81">
        <f t="shared" si="39"/>
        <v>-1.5661787037599129</v>
      </c>
      <c r="F206" s="82">
        <f t="shared" si="40"/>
        <v>-1.3141740799563206</v>
      </c>
      <c r="G206" s="78">
        <f t="shared" si="37"/>
        <v>3.0359300953594524</v>
      </c>
    </row>
    <row r="207" spans="1:7" ht="16.5" hidden="1" thickBot="1">
      <c r="A207" s="73">
        <v>2009</v>
      </c>
      <c r="B207" s="80" t="s">
        <v>68</v>
      </c>
      <c r="C207" s="75">
        <f t="shared" si="38"/>
        <v>405.54800000000034</v>
      </c>
      <c r="D207" s="81">
        <v>0.10342384771269142</v>
      </c>
      <c r="E207" s="81">
        <f t="shared" si="39"/>
        <v>-1.4643746583247075</v>
      </c>
      <c r="F207" s="82">
        <f t="shared" si="40"/>
        <v>-1.5908605594704084</v>
      </c>
      <c r="G207" s="78">
        <f t="shared" si="37"/>
        <v>3.0327934636661498</v>
      </c>
    </row>
    <row r="208" spans="1:7" ht="16.5" hidden="1" thickBot="1">
      <c r="A208" s="73">
        <v>2009</v>
      </c>
      <c r="B208" s="80" t="s">
        <v>55</v>
      </c>
      <c r="C208" s="75">
        <f t="shared" si="38"/>
        <v>404.49900000000036</v>
      </c>
      <c r="D208" s="81">
        <v>-0.25866235316164277</v>
      </c>
      <c r="E208" s="81">
        <f t="shared" si="39"/>
        <v>-1.7192492255360237</v>
      </c>
      <c r="F208" s="82">
        <f t="shared" si="40"/>
        <v>-1.7192492255360237</v>
      </c>
      <c r="G208" s="78">
        <f t="shared" si="37"/>
        <v>3.0406585025003268</v>
      </c>
    </row>
    <row r="209" spans="1:7" ht="16.5" hidden="1" thickBot="1">
      <c r="A209" s="73">
        <v>2010</v>
      </c>
      <c r="B209" s="80" t="s">
        <v>56</v>
      </c>
      <c r="C209" s="75">
        <f t="shared" si="38"/>
        <v>407.04900000000038</v>
      </c>
      <c r="D209" s="81">
        <v>0.63040946949188825</v>
      </c>
      <c r="E209" s="81">
        <f t="shared" ref="E209:E220" si="41">100*((C209/$C$208-1))</f>
        <v>0.63040946949188825</v>
      </c>
      <c r="F209" s="82">
        <f t="shared" si="40"/>
        <v>-0.666939982722492</v>
      </c>
      <c r="G209" s="78">
        <f t="shared" si="37"/>
        <v>3.0216099870110962</v>
      </c>
    </row>
    <row r="210" spans="1:7" ht="16.5" hidden="1" thickBot="1">
      <c r="A210" s="73">
        <v>2010</v>
      </c>
      <c r="B210" s="80" t="s">
        <v>57</v>
      </c>
      <c r="C210" s="75">
        <f t="shared" si="38"/>
        <v>411.84300000000036</v>
      </c>
      <c r="D210" s="81">
        <v>1.1777451854690701</v>
      </c>
      <c r="E210" s="81">
        <f t="shared" si="41"/>
        <v>1.815579272136647</v>
      </c>
      <c r="F210" s="82">
        <f t="shared" si="40"/>
        <v>0.24193803562868599</v>
      </c>
      <c r="G210" s="78">
        <f t="shared" si="37"/>
        <v>2.9864373647309286</v>
      </c>
    </row>
    <row r="211" spans="1:7" ht="16.5" hidden="1" thickBot="1">
      <c r="A211" s="73">
        <v>2010</v>
      </c>
      <c r="B211" s="80" t="s">
        <v>58</v>
      </c>
      <c r="C211" s="75">
        <f t="shared" si="38"/>
        <v>415.73400000000032</v>
      </c>
      <c r="D211" s="81">
        <v>0.94477750016388473</v>
      </c>
      <c r="E211" s="81">
        <f t="shared" si="41"/>
        <v>2.7775099567613148</v>
      </c>
      <c r="F211" s="82">
        <f t="shared" si="40"/>
        <v>1.9435616760828722</v>
      </c>
      <c r="G211" s="78">
        <f t="shared" si="37"/>
        <v>2.9584862522740019</v>
      </c>
    </row>
    <row r="212" spans="1:7" ht="16.5" hidden="1" thickBot="1">
      <c r="A212" s="73">
        <v>2010</v>
      </c>
      <c r="B212" s="80" t="s">
        <v>59</v>
      </c>
      <c r="C212" s="75">
        <f t="shared" si="38"/>
        <v>418.91700000000026</v>
      </c>
      <c r="D212" s="81">
        <v>0.76563379468601589</v>
      </c>
      <c r="E212" s="81">
        <f t="shared" si="41"/>
        <v>3.5644093063270654</v>
      </c>
      <c r="F212" s="82">
        <f t="shared" si="40"/>
        <v>2.8822562938840335</v>
      </c>
      <c r="G212" s="78">
        <f t="shared" si="37"/>
        <v>2.9360071890204504</v>
      </c>
    </row>
    <row r="213" spans="1:7" ht="16.5" hidden="1" thickBot="1">
      <c r="A213" s="73">
        <v>2010</v>
      </c>
      <c r="B213" s="80" t="s">
        <v>60</v>
      </c>
      <c r="C213" s="75">
        <f t="shared" si="38"/>
        <v>423.88500000000028</v>
      </c>
      <c r="D213" s="81">
        <v>1.1859151096756726</v>
      </c>
      <c r="E213" s="81">
        <f t="shared" si="41"/>
        <v>4.7925952845371489</v>
      </c>
      <c r="F213" s="82">
        <f t="shared" si="40"/>
        <v>4.1780847168118695</v>
      </c>
      <c r="G213" s="78">
        <f t="shared" si="37"/>
        <v>2.9015967151535911</v>
      </c>
    </row>
    <row r="214" spans="1:7" ht="16.5" hidden="1" thickBot="1">
      <c r="A214" s="73">
        <v>2010</v>
      </c>
      <c r="B214" s="80" t="s">
        <v>61</v>
      </c>
      <c r="C214" s="75">
        <f t="shared" si="38"/>
        <v>427.48900000000032</v>
      </c>
      <c r="D214" s="81">
        <v>0.85023060499900271</v>
      </c>
      <c r="E214" s="81">
        <f t="shared" si="41"/>
        <v>5.6835740014190117</v>
      </c>
      <c r="F214" s="82">
        <f t="shared" si="40"/>
        <v>5.1669676200410519</v>
      </c>
      <c r="G214" s="78">
        <f t="shared" si="37"/>
        <v>2.8771344376179968</v>
      </c>
    </row>
    <row r="215" spans="1:7" ht="16.5" hidden="1" thickBot="1">
      <c r="A215" s="73">
        <v>2010</v>
      </c>
      <c r="B215" s="80" t="s">
        <v>62</v>
      </c>
      <c r="C215" s="75">
        <f t="shared" si="38"/>
        <v>428.15000000000038</v>
      </c>
      <c r="D215" s="81">
        <v>0.15462386166662512</v>
      </c>
      <c r="E215" s="81">
        <f t="shared" si="41"/>
        <v>5.8469860246873173</v>
      </c>
      <c r="F215" s="82">
        <f t="shared" si="40"/>
        <v>5.7897103662303273</v>
      </c>
      <c r="G215" s="78">
        <f t="shared" si="37"/>
        <v>2.8726925694333287</v>
      </c>
    </row>
    <row r="216" spans="1:7" ht="16.5" hidden="1" thickBot="1">
      <c r="A216" s="73">
        <v>2010</v>
      </c>
      <c r="B216" s="80" t="s">
        <v>77</v>
      </c>
      <c r="C216" s="75">
        <f t="shared" si="38"/>
        <v>431.44500000000039</v>
      </c>
      <c r="D216" s="81">
        <v>0.76959009692865177</v>
      </c>
      <c r="E216" s="81">
        <f t="shared" si="41"/>
        <v>6.6615739470307744</v>
      </c>
      <c r="F216" s="82">
        <f t="shared" si="40"/>
        <v>6.9911445172137876</v>
      </c>
      <c r="G216" s="78">
        <f t="shared" si="37"/>
        <v>2.8507534531698817</v>
      </c>
    </row>
    <row r="217" spans="1:7" ht="16.5" hidden="1" thickBot="1">
      <c r="A217" s="73">
        <v>2010</v>
      </c>
      <c r="B217" s="80" t="s">
        <v>79</v>
      </c>
      <c r="C217" s="75">
        <f t="shared" si="38"/>
        <v>436.4230000000004</v>
      </c>
      <c r="D217" s="81">
        <v>1.1537971236194711</v>
      </c>
      <c r="E217" s="81">
        <f t="shared" si="41"/>
        <v>7.8922321192388623</v>
      </c>
      <c r="F217" s="82">
        <f t="shared" si="40"/>
        <v>7.773401326106022</v>
      </c>
      <c r="G217" s="78">
        <f t="shared" si="37"/>
        <v>2.8182367189696227</v>
      </c>
    </row>
    <row r="218" spans="1:7" ht="16.5" hidden="1" thickBot="1">
      <c r="A218" s="73">
        <v>2010</v>
      </c>
      <c r="B218" s="80" t="s">
        <v>78</v>
      </c>
      <c r="C218" s="75">
        <f t="shared" si="38"/>
        <v>440.82900000000046</v>
      </c>
      <c r="D218" s="81">
        <v>1.0095709896132954</v>
      </c>
      <c r="E218" s="81">
        <f t="shared" si="41"/>
        <v>8.9814807947609321</v>
      </c>
      <c r="F218" s="82">
        <f t="shared" si="40"/>
        <v>8.8120080270728707</v>
      </c>
      <c r="G218" s="78">
        <f t="shared" si="37"/>
        <v>2.7900689918378316</v>
      </c>
    </row>
    <row r="219" spans="1:7" ht="16.5" hidden="1" thickBot="1">
      <c r="A219" s="73">
        <v>2010</v>
      </c>
      <c r="B219" s="80" t="s">
        <v>68</v>
      </c>
      <c r="C219" s="75">
        <f t="shared" si="38"/>
        <v>447.20600000000047</v>
      </c>
      <c r="D219" s="81">
        <v>1.4465926697200038</v>
      </c>
      <c r="E219" s="81">
        <f t="shared" si="41"/>
        <v>10.557998907290278</v>
      </c>
      <c r="F219" s="82">
        <f t="shared" si="40"/>
        <v>10.27202698570826</v>
      </c>
      <c r="G219" s="78">
        <f t="shared" si="37"/>
        <v>2.7502835910137153</v>
      </c>
    </row>
    <row r="220" spans="1:7" ht="16.5" hidden="1" thickBot="1">
      <c r="A220" s="73">
        <v>2010</v>
      </c>
      <c r="B220" s="80" t="s">
        <v>69</v>
      </c>
      <c r="C220" s="75">
        <f t="shared" si="38"/>
        <v>450.30100000000044</v>
      </c>
      <c r="D220" s="81">
        <v>0.69207479327200172</v>
      </c>
      <c r="E220" s="81">
        <f t="shared" si="41"/>
        <v>11.32314294967356</v>
      </c>
      <c r="F220" s="82">
        <f t="shared" si="40"/>
        <v>11.32314294967356</v>
      </c>
      <c r="G220" s="78">
        <f t="shared" si="37"/>
        <v>2.7313803957861067</v>
      </c>
    </row>
    <row r="221" spans="1:7">
      <c r="A221" s="85">
        <v>2011</v>
      </c>
      <c r="B221" s="86" t="s">
        <v>70</v>
      </c>
      <c r="C221" s="87">
        <f t="shared" si="38"/>
        <v>453.8750000000004</v>
      </c>
      <c r="D221" s="88">
        <v>0.79369133090976263</v>
      </c>
      <c r="E221" s="88">
        <f t="shared" ref="E221:E232" si="42">100*((C221/$C$220-1))</f>
        <v>0.79369133090976263</v>
      </c>
      <c r="F221" s="89">
        <f t="shared" si="40"/>
        <v>11.503774729823668</v>
      </c>
      <c r="G221" s="90">
        <f t="shared" si="37"/>
        <v>2.7098723736775097</v>
      </c>
    </row>
    <row r="222" spans="1:7">
      <c r="A222" s="91">
        <v>2011</v>
      </c>
      <c r="B222" s="92" t="s">
        <v>71</v>
      </c>
      <c r="C222" s="93">
        <f t="shared" si="38"/>
        <v>458.39700000000039</v>
      </c>
      <c r="D222" s="94">
        <v>0.99630955659597564</v>
      </c>
      <c r="E222" s="94">
        <f t="shared" si="42"/>
        <v>1.7979085100854553</v>
      </c>
      <c r="F222" s="95">
        <f t="shared" si="40"/>
        <v>11.303822087543058</v>
      </c>
      <c r="G222" s="96">
        <f t="shared" si="37"/>
        <v>2.683139993505367</v>
      </c>
    </row>
    <row r="223" spans="1:7">
      <c r="A223" s="91">
        <v>2011</v>
      </c>
      <c r="B223" s="92" t="s">
        <v>72</v>
      </c>
      <c r="C223" s="93">
        <f t="shared" si="38"/>
        <v>461.24900000000048</v>
      </c>
      <c r="D223" s="94">
        <v>0.62216812064652682</v>
      </c>
      <c r="E223" s="94">
        <f t="shared" si="42"/>
        <v>2.4312626443201424</v>
      </c>
      <c r="F223" s="95">
        <f t="shared" si="40"/>
        <v>10.948106241009903</v>
      </c>
      <c r="G223" s="96">
        <f t="shared" si="37"/>
        <v>2.6665495721462369</v>
      </c>
    </row>
    <row r="224" spans="1:7">
      <c r="A224" s="91">
        <v>2011</v>
      </c>
      <c r="B224" s="92" t="s">
        <v>73</v>
      </c>
      <c r="C224" s="93">
        <f t="shared" si="38"/>
        <v>463.31100000000038</v>
      </c>
      <c r="D224" s="94">
        <v>0.4470470396683579</v>
      </c>
      <c r="E224" s="94">
        <f t="shared" si="42"/>
        <v>2.8891785716664842</v>
      </c>
      <c r="F224" s="95">
        <f t="shared" si="40"/>
        <v>10.597325961944758</v>
      </c>
      <c r="G224" s="96">
        <f t="shared" si="37"/>
        <v>2.6546818953205942</v>
      </c>
    </row>
    <row r="225" spans="1:7">
      <c r="A225" s="91">
        <v>2011</v>
      </c>
      <c r="B225" s="92" t="s">
        <v>74</v>
      </c>
      <c r="C225" s="93">
        <f t="shared" si="38"/>
        <v>465.31100000000043</v>
      </c>
      <c r="D225" s="94">
        <v>0.43167548363842734</v>
      </c>
      <c r="E225" s="94">
        <f t="shared" si="42"/>
        <v>3.33332593087734</v>
      </c>
      <c r="F225" s="95">
        <f t="shared" si="40"/>
        <v>9.772933696639452</v>
      </c>
      <c r="G225" s="96">
        <f t="shared" si="37"/>
        <v>2.6432715401159217</v>
      </c>
    </row>
    <row r="226" spans="1:7">
      <c r="A226" s="91">
        <v>2011</v>
      </c>
      <c r="B226" s="92" t="s">
        <v>75</v>
      </c>
      <c r="C226" s="93">
        <f t="shared" si="38"/>
        <v>464.46300000000048</v>
      </c>
      <c r="D226" s="94">
        <v>-0.18224370367344589</v>
      </c>
      <c r="E226" s="94">
        <f t="shared" si="42"/>
        <v>3.1450074505719572</v>
      </c>
      <c r="F226" s="95">
        <f t="shared" si="40"/>
        <v>8.6491114391247912</v>
      </c>
      <c r="G226" s="96">
        <f t="shared" si="37"/>
        <v>2.6480975311335446</v>
      </c>
    </row>
    <row r="227" spans="1:7">
      <c r="A227" s="91">
        <v>2011</v>
      </c>
      <c r="B227" s="92" t="s">
        <v>76</v>
      </c>
      <c r="C227" s="93">
        <f t="shared" si="38"/>
        <v>463.92700000000048</v>
      </c>
      <c r="D227" s="94">
        <v>-0.11540208800270291</v>
      </c>
      <c r="E227" s="94">
        <f t="shared" si="42"/>
        <v>3.0259759583034507</v>
      </c>
      <c r="F227" s="95">
        <f t="shared" si="40"/>
        <v>8.3561835805208595</v>
      </c>
      <c r="G227" s="96">
        <f t="shared" si="37"/>
        <v>2.6511570216928084</v>
      </c>
    </row>
    <row r="228" spans="1:7">
      <c r="A228" s="91">
        <v>2011</v>
      </c>
      <c r="B228" s="92" t="s">
        <v>77</v>
      </c>
      <c r="C228" s="93">
        <f t="shared" si="38"/>
        <v>465.96800000000047</v>
      </c>
      <c r="D228" s="94">
        <v>0.43993990433839336</v>
      </c>
      <c r="E228" s="94">
        <f t="shared" si="42"/>
        <v>3.4792283383781042</v>
      </c>
      <c r="F228" s="95">
        <f t="shared" si="40"/>
        <v>8.0017151664754529</v>
      </c>
      <c r="G228" s="96">
        <f t="shared" si="37"/>
        <v>2.6395446116533314</v>
      </c>
    </row>
    <row r="229" spans="1:7">
      <c r="A229" s="91">
        <v>2011</v>
      </c>
      <c r="B229" s="92" t="s">
        <v>79</v>
      </c>
      <c r="C229" s="93">
        <f t="shared" si="38"/>
        <v>468.97500000000048</v>
      </c>
      <c r="D229" s="94">
        <v>0.64532328400233041</v>
      </c>
      <c r="E229" s="94">
        <f t="shared" si="42"/>
        <v>4.1470038929516173</v>
      </c>
      <c r="F229" s="95">
        <f t="shared" si="40"/>
        <v>7.4588186232164677</v>
      </c>
      <c r="G229" s="96">
        <f t="shared" si="37"/>
        <v>2.6226202326411419</v>
      </c>
    </row>
    <row r="230" spans="1:7">
      <c r="A230" s="91">
        <v>2011</v>
      </c>
      <c r="B230" s="92" t="s">
        <v>78</v>
      </c>
      <c r="C230" s="93">
        <f t="shared" si="38"/>
        <v>471.46600000000041</v>
      </c>
      <c r="D230" s="94">
        <v>0.53115837731221305</v>
      </c>
      <c r="E230" s="94">
        <f t="shared" si="42"/>
        <v>4.700189428848689</v>
      </c>
      <c r="F230" s="95">
        <f t="shared" si="40"/>
        <v>6.949860376699335</v>
      </c>
      <c r="G230" s="96">
        <f t="shared" si="37"/>
        <v>2.6087635664138662</v>
      </c>
    </row>
    <row r="231" spans="1:7">
      <c r="A231" s="91">
        <v>2011</v>
      </c>
      <c r="B231" s="92" t="s">
        <v>68</v>
      </c>
      <c r="C231" s="93">
        <f t="shared" si="38"/>
        <v>473.80800000000039</v>
      </c>
      <c r="D231" s="94">
        <v>0.49674843997233875</v>
      </c>
      <c r="E231" s="94">
        <f t="shared" si="42"/>
        <v>5.2202859864845852</v>
      </c>
      <c r="F231" s="95">
        <f t="shared" si="40"/>
        <v>5.948489063205753</v>
      </c>
      <c r="G231" s="96">
        <f t="shared" si="37"/>
        <v>2.5958686294931277</v>
      </c>
    </row>
    <row r="232" spans="1:7">
      <c r="A232" s="91">
        <v>2011</v>
      </c>
      <c r="B232" s="92" t="s">
        <v>69</v>
      </c>
      <c r="C232" s="93">
        <f t="shared" si="38"/>
        <v>473.25200000000041</v>
      </c>
      <c r="D232" s="94">
        <v>-0.11734711106607953</v>
      </c>
      <c r="E232" s="94">
        <f t="shared" si="42"/>
        <v>5.0968130206239692</v>
      </c>
      <c r="F232" s="95">
        <f t="shared" si="40"/>
        <v>5.0968130206239692</v>
      </c>
      <c r="G232" s="96">
        <f t="shared" si="37"/>
        <v>2.598918385137051</v>
      </c>
    </row>
    <row r="233" spans="1:7">
      <c r="A233" s="91">
        <f>2012</f>
        <v>2012</v>
      </c>
      <c r="B233" s="92" t="s">
        <v>70</v>
      </c>
      <c r="C233" s="93">
        <f t="shared" si="38"/>
        <v>474.42900000000031</v>
      </c>
      <c r="D233" s="94">
        <v>0.24870470700597558</v>
      </c>
      <c r="E233" s="94">
        <f t="shared" ref="E233:E244" si="43">100*((C233/$C$232-1))</f>
        <v>0.24870470700597558</v>
      </c>
      <c r="F233" s="95">
        <f t="shared" si="40"/>
        <v>4.5285596254475147</v>
      </c>
      <c r="G233" s="96">
        <f t="shared" si="37"/>
        <v>2.5924707882588964</v>
      </c>
    </row>
    <row r="234" spans="1:7">
      <c r="A234" s="91">
        <f>2012</f>
        <v>2012</v>
      </c>
      <c r="B234" s="92" t="s">
        <v>71</v>
      </c>
      <c r="C234" s="93">
        <f t="shared" si="38"/>
        <v>474.13800000000032</v>
      </c>
      <c r="D234" s="94">
        <v>-6.1336891294583307E-2</v>
      </c>
      <c r="E234" s="94">
        <f t="shared" si="43"/>
        <v>0.1872152679756045</v>
      </c>
      <c r="F234" s="95">
        <f t="shared" si="40"/>
        <v>3.4339229968782359</v>
      </c>
      <c r="G234" s="96">
        <f t="shared" si="37"/>
        <v>2.5940619051897968</v>
      </c>
    </row>
    <row r="235" spans="1:7">
      <c r="A235" s="91">
        <f>2012</f>
        <v>2012</v>
      </c>
      <c r="B235" s="92" t="s">
        <v>72</v>
      </c>
      <c r="C235" s="93">
        <f t="shared" si="38"/>
        <v>476.16600000000034</v>
      </c>
      <c r="D235" s="94">
        <v>0.42772357414930795</v>
      </c>
      <c r="E235" s="94">
        <f t="shared" si="43"/>
        <v>0.61573960596044142</v>
      </c>
      <c r="F235" s="95">
        <f t="shared" si="40"/>
        <v>3.2340449518589498</v>
      </c>
      <c r="G235" s="96">
        <f t="shared" si="37"/>
        <v>2.5830137464726164</v>
      </c>
    </row>
    <row r="236" spans="1:7">
      <c r="A236" s="91">
        <f>2012</f>
        <v>2012</v>
      </c>
      <c r="B236" s="92" t="s">
        <v>73</v>
      </c>
      <c r="C236" s="93">
        <f t="shared" si="38"/>
        <v>480.22900000000033</v>
      </c>
      <c r="D236" s="94">
        <v>0.85327385827631552</v>
      </c>
      <c r="E236" s="94">
        <f t="shared" si="43"/>
        <v>1.4742674093294772</v>
      </c>
      <c r="F236" s="95">
        <f t="shared" si="40"/>
        <v>3.6515429160973722</v>
      </c>
      <c r="G236" s="96">
        <f t="shared" si="37"/>
        <v>2.5611600374048216</v>
      </c>
    </row>
    <row r="237" spans="1:7">
      <c r="A237" s="91">
        <f>2012</f>
        <v>2012</v>
      </c>
      <c r="B237" s="92" t="s">
        <v>74</v>
      </c>
      <c r="C237" s="93">
        <f t="shared" si="38"/>
        <v>485.14000000000033</v>
      </c>
      <c r="D237" s="94">
        <v>1.0226371168754911</v>
      </c>
      <c r="E237" s="94">
        <f t="shared" si="43"/>
        <v>2.5119809319347652</v>
      </c>
      <c r="F237" s="95">
        <f t="shared" si="40"/>
        <v>4.2614509435624504</v>
      </c>
      <c r="G237" s="96">
        <f t="shared" si="37"/>
        <v>2.5352337956113287</v>
      </c>
    </row>
    <row r="238" spans="1:7">
      <c r="A238" s="91">
        <f>2012</f>
        <v>2012</v>
      </c>
      <c r="B238" s="92" t="s">
        <v>75</v>
      </c>
      <c r="C238" s="93">
        <f t="shared" si="38"/>
        <v>488.34200000000033</v>
      </c>
      <c r="D238" s="94">
        <v>0.66001566558107072</v>
      </c>
      <c r="E238" s="94">
        <f t="shared" si="43"/>
        <v>3.1885760651830131</v>
      </c>
      <c r="F238" s="95">
        <f t="shared" si="40"/>
        <v>5.1412060810010374</v>
      </c>
      <c r="G238" s="96">
        <f t="shared" si="37"/>
        <v>2.5186105712858611</v>
      </c>
    </row>
    <row r="239" spans="1:7">
      <c r="A239" s="91">
        <f>2012</f>
        <v>2012</v>
      </c>
      <c r="B239" s="92" t="s">
        <v>76</v>
      </c>
      <c r="C239" s="93">
        <f t="shared" si="38"/>
        <v>494.89100000000042</v>
      </c>
      <c r="D239" s="94">
        <v>1.3410683496402287</v>
      </c>
      <c r="E239" s="94">
        <f t="shared" si="43"/>
        <v>4.5724053992376223</v>
      </c>
      <c r="F239" s="95">
        <f t="shared" si="40"/>
        <v>6.6743259176551328</v>
      </c>
      <c r="G239" s="96">
        <f t="shared" si="37"/>
        <v>2.4852812510287716</v>
      </c>
    </row>
    <row r="240" spans="1:7">
      <c r="A240" s="91">
        <f>2012</f>
        <v>2012</v>
      </c>
      <c r="B240" s="92" t="s">
        <v>77</v>
      </c>
      <c r="C240" s="93">
        <f t="shared" si="38"/>
        <v>501.95700000000045</v>
      </c>
      <c r="D240" s="94">
        <v>1.4277891495299011</v>
      </c>
      <c r="E240" s="94">
        <f t="shared" si="43"/>
        <v>6.0654788569303397</v>
      </c>
      <c r="F240" s="95">
        <f t="shared" si="40"/>
        <v>7.7234917419221727</v>
      </c>
      <c r="G240" s="96">
        <f t="shared" si="37"/>
        <v>2.4502961879262162</v>
      </c>
    </row>
    <row r="241" spans="1:7">
      <c r="A241" s="91">
        <f>2012</f>
        <v>2012</v>
      </c>
      <c r="B241" s="92" t="s">
        <v>79</v>
      </c>
      <c r="C241" s="93">
        <f t="shared" si="38"/>
        <v>506.80400000000037</v>
      </c>
      <c r="D241" s="94">
        <v>0.96562056112374783</v>
      </c>
      <c r="E241" s="94">
        <f t="shared" si="43"/>
        <v>7.0896689290272263</v>
      </c>
      <c r="F241" s="95">
        <f t="shared" si="40"/>
        <v>8.0663148355455849</v>
      </c>
      <c r="G241" s="96">
        <f t="shared" si="37"/>
        <v>2.4268619103299893</v>
      </c>
    </row>
    <row r="242" spans="1:7">
      <c r="A242" s="91">
        <f>2012</f>
        <v>2012</v>
      </c>
      <c r="B242" s="92" t="s">
        <v>78</v>
      </c>
      <c r="C242" s="93">
        <f t="shared" si="38"/>
        <v>506.92600000000044</v>
      </c>
      <c r="D242" s="94">
        <v>2.4072422474974431E-2</v>
      </c>
      <c r="E242" s="94">
        <f t="shared" si="43"/>
        <v>7.1154480065588777</v>
      </c>
      <c r="F242" s="95">
        <f t="shared" si="40"/>
        <v>7.5212210424505654</v>
      </c>
      <c r="G242" s="96">
        <f t="shared" si="37"/>
        <v>2.4262778464763688</v>
      </c>
    </row>
    <row r="243" spans="1:7">
      <c r="A243" s="91">
        <f>2012</f>
        <v>2012</v>
      </c>
      <c r="B243" s="92" t="s">
        <v>68</v>
      </c>
      <c r="C243" s="93">
        <f t="shared" si="38"/>
        <v>506.79500000000047</v>
      </c>
      <c r="D243" s="94">
        <v>-2.5842036115719669E-2</v>
      </c>
      <c r="E243" s="94">
        <f t="shared" si="43"/>
        <v>7.0877671937995101</v>
      </c>
      <c r="F243" s="95">
        <f t="shared" si="40"/>
        <v>6.962102792692404</v>
      </c>
      <c r="G243" s="96">
        <f t="shared" si="37"/>
        <v>2.4269050081450678</v>
      </c>
    </row>
    <row r="244" spans="1:7">
      <c r="A244" s="91">
        <f>2012</f>
        <v>2012</v>
      </c>
      <c r="B244" s="92" t="s">
        <v>69</v>
      </c>
      <c r="C244" s="93">
        <f t="shared" si="38"/>
        <v>510.25200000000046</v>
      </c>
      <c r="D244" s="94">
        <v>0.68212985526692194</v>
      </c>
      <c r="E244" s="94">
        <f t="shared" si="43"/>
        <v>7.8182448251671532</v>
      </c>
      <c r="F244" s="95">
        <f t="shared" si="40"/>
        <v>7.8182448251671532</v>
      </c>
      <c r="G244" s="96">
        <f t="shared" si="37"/>
        <v>2.4104625236214257</v>
      </c>
    </row>
    <row r="245" spans="1:7">
      <c r="A245" s="91">
        <f>2013</f>
        <v>2013</v>
      </c>
      <c r="B245" s="92" t="s">
        <v>70</v>
      </c>
      <c r="C245" s="93">
        <f t="shared" si="38"/>
        <v>511.97700000000037</v>
      </c>
      <c r="D245" s="94">
        <v>0.33806824863007456</v>
      </c>
      <c r="E245" s="94">
        <f t="shared" ref="E245:E256" si="44">100*((C245/$C$244-1))</f>
        <v>0.33806824863007456</v>
      </c>
      <c r="F245" s="95">
        <f t="shared" si="40"/>
        <v>7.9143559942583597</v>
      </c>
      <c r="G245" s="96">
        <f t="shared" si="37"/>
        <v>2.4023409715727073</v>
      </c>
    </row>
    <row r="246" spans="1:7">
      <c r="A246" s="91">
        <f>2013</f>
        <v>2013</v>
      </c>
      <c r="B246" s="92" t="s">
        <v>71</v>
      </c>
      <c r="C246" s="93">
        <f t="shared" si="38"/>
        <v>513.46700000000033</v>
      </c>
      <c r="D246" s="94">
        <v>0.29102869855481828</v>
      </c>
      <c r="E246" s="94">
        <f t="shared" si="44"/>
        <v>0.63008082280908706</v>
      </c>
      <c r="F246" s="95">
        <f t="shared" si="40"/>
        <v>8.2948424298410863</v>
      </c>
      <c r="G246" s="96">
        <f t="shared" si="37"/>
        <v>2.3953697581400166</v>
      </c>
    </row>
    <row r="247" spans="1:7">
      <c r="A247" s="91">
        <f>2013</f>
        <v>2013</v>
      </c>
      <c r="B247" s="92" t="s">
        <v>72</v>
      </c>
      <c r="C247" s="93">
        <f t="shared" si="38"/>
        <v>514.52600000000029</v>
      </c>
      <c r="D247" s="94">
        <v>0.20624499724422041</v>
      </c>
      <c r="E247" s="94">
        <f t="shared" si="44"/>
        <v>0.83762533022895269</v>
      </c>
      <c r="F247" s="95">
        <f t="shared" si="40"/>
        <v>8.0560140791236421</v>
      </c>
      <c r="G247" s="96">
        <f t="shared" si="37"/>
        <v>2.3904395960609963</v>
      </c>
    </row>
    <row r="248" spans="1:7">
      <c r="A248" s="91">
        <f>2013</f>
        <v>2013</v>
      </c>
      <c r="B248" s="92" t="s">
        <v>73</v>
      </c>
      <c r="C248" s="93">
        <f t="shared" si="38"/>
        <v>515.27600000000029</v>
      </c>
      <c r="D248" s="94">
        <v>0.14576522857931984</v>
      </c>
      <c r="E248" s="94">
        <f t="shared" si="44"/>
        <v>0.98461152528550588</v>
      </c>
      <c r="F248" s="95">
        <f t="shared" si="40"/>
        <v>7.2979765903350202</v>
      </c>
      <c r="G248" s="96">
        <f t="shared" si="37"/>
        <v>2.3869602380139576</v>
      </c>
    </row>
    <row r="249" spans="1:7">
      <c r="A249" s="91">
        <f>2013</f>
        <v>2013</v>
      </c>
      <c r="B249" s="92" t="s">
        <v>74</v>
      </c>
      <c r="C249" s="93">
        <f t="shared" si="38"/>
        <v>515.29900000000032</v>
      </c>
      <c r="D249" s="94">
        <v>4.4636272599651861E-3</v>
      </c>
      <c r="E249" s="94">
        <f t="shared" si="44"/>
        <v>0.98911910193391073</v>
      </c>
      <c r="F249" s="95">
        <f t="shared" si="40"/>
        <v>6.2165560456775237</v>
      </c>
      <c r="G249" s="96">
        <f t="shared" si="37"/>
        <v>2.3868536977616492</v>
      </c>
    </row>
    <row r="250" spans="1:7">
      <c r="A250" s="91">
        <f>2013</f>
        <v>2013</v>
      </c>
      <c r="B250" s="92" t="s">
        <v>75</v>
      </c>
      <c r="C250" s="93">
        <f t="shared" si="38"/>
        <v>519.15300000000036</v>
      </c>
      <c r="D250" s="94">
        <v>0.74791528801725349</v>
      </c>
      <c r="E250" s="94">
        <f t="shared" si="44"/>
        <v>1.7444321629312309</v>
      </c>
      <c r="F250" s="95">
        <f t="shared" si="40"/>
        <v>6.3093078211581277</v>
      </c>
      <c r="G250" s="96">
        <f t="shared" si="37"/>
        <v>2.3691345780586452</v>
      </c>
    </row>
    <row r="251" spans="1:7">
      <c r="A251" s="91">
        <f>2013</f>
        <v>2013</v>
      </c>
      <c r="B251" s="92" t="s">
        <v>76</v>
      </c>
      <c r="C251" s="93">
        <f t="shared" si="38"/>
        <v>520.50800000000038</v>
      </c>
      <c r="D251" s="94">
        <v>0.26100205527079812</v>
      </c>
      <c r="E251" s="94">
        <f t="shared" si="44"/>
        <v>2.0099872220000981</v>
      </c>
      <c r="F251" s="95">
        <f t="shared" si="40"/>
        <v>5.1762913449628245</v>
      </c>
      <c r="G251" s="96">
        <f t="shared" si="37"/>
        <v>2.3629671851400551</v>
      </c>
    </row>
    <row r="252" spans="1:7">
      <c r="A252" s="91">
        <f>2013</f>
        <v>2013</v>
      </c>
      <c r="B252" s="92" t="s">
        <v>77</v>
      </c>
      <c r="C252" s="93">
        <f t="shared" si="38"/>
        <v>521.27000000000032</v>
      </c>
      <c r="D252" s="94">
        <v>0.14639544445040897</v>
      </c>
      <c r="E252" s="94">
        <f t="shared" si="44"/>
        <v>2.1593251961775417</v>
      </c>
      <c r="F252" s="95">
        <f t="shared" si="40"/>
        <v>3.8475407255999627</v>
      </c>
      <c r="G252" s="96">
        <f t="shared" si="37"/>
        <v>2.3595129656471312</v>
      </c>
    </row>
    <row r="253" spans="1:7">
      <c r="A253" s="91">
        <f>2013</f>
        <v>2013</v>
      </c>
      <c r="B253" s="92" t="s">
        <v>79</v>
      </c>
      <c r="C253" s="93">
        <f t="shared" si="38"/>
        <v>529.08500000000038</v>
      </c>
      <c r="D253" s="94">
        <v>1.4992230513937166</v>
      </c>
      <c r="E253" s="94">
        <f t="shared" si="44"/>
        <v>3.690921348666909</v>
      </c>
      <c r="F253" s="95">
        <f t="shared" si="40"/>
        <v>4.3963741406934487</v>
      </c>
      <c r="G253" s="96">
        <f t="shared" ref="G253:G316" si="45">+$C$405/C253</f>
        <v>2.3246611104130337</v>
      </c>
    </row>
    <row r="254" spans="1:7">
      <c r="A254" s="91">
        <f>2013</f>
        <v>2013</v>
      </c>
      <c r="B254" s="92" t="s">
        <v>78</v>
      </c>
      <c r="C254" s="93">
        <f t="shared" ref="C254:C317" si="46">+C253*(1+D254/100)</f>
        <v>533.62100000000032</v>
      </c>
      <c r="D254" s="94">
        <v>0.85732916261092029</v>
      </c>
      <c r="E254" s="94">
        <f t="shared" si="44"/>
        <v>4.5798938563689884</v>
      </c>
      <c r="F254" s="95">
        <f t="shared" si="40"/>
        <v>5.266054611521187</v>
      </c>
      <c r="G254" s="96">
        <f t="shared" si="45"/>
        <v>2.3049005260341704</v>
      </c>
    </row>
    <row r="255" spans="1:7">
      <c r="A255" s="91">
        <f>2013</f>
        <v>2013</v>
      </c>
      <c r="B255" s="92" t="s">
        <v>68</v>
      </c>
      <c r="C255" s="93">
        <f t="shared" si="46"/>
        <v>535.16800000000035</v>
      </c>
      <c r="D255" s="94">
        <v>0.28990613188011327</v>
      </c>
      <c r="E255" s="94">
        <f t="shared" si="44"/>
        <v>4.8830773813723249</v>
      </c>
      <c r="F255" s="95">
        <f t="shared" si="40"/>
        <v>5.5985161653133719</v>
      </c>
      <c r="G255" s="96">
        <f t="shared" si="45"/>
        <v>2.2982377937449177</v>
      </c>
    </row>
    <row r="256" spans="1:7">
      <c r="A256" s="91">
        <f>2013</f>
        <v>2013</v>
      </c>
      <c r="B256" s="92" t="s">
        <v>69</v>
      </c>
      <c r="C256" s="93">
        <f t="shared" si="46"/>
        <v>538.37000000000035</v>
      </c>
      <c r="D256" s="94">
        <v>0.59831679024155981</v>
      </c>
      <c r="E256" s="94">
        <f t="shared" si="44"/>
        <v>5.5106104434671233</v>
      </c>
      <c r="F256" s="95">
        <f t="shared" si="40"/>
        <v>5.5106104434671233</v>
      </c>
      <c r="G256" s="96">
        <f t="shared" si="45"/>
        <v>2.2845688348215538</v>
      </c>
    </row>
    <row r="257" spans="1:7">
      <c r="A257" s="91">
        <f>2014</f>
        <v>2014</v>
      </c>
      <c r="B257" s="92" t="s">
        <v>70</v>
      </c>
      <c r="C257" s="93">
        <f t="shared" si="46"/>
        <v>540.95900000000029</v>
      </c>
      <c r="D257" s="94">
        <v>0.48089603804073455</v>
      </c>
      <c r="E257" s="94">
        <f t="shared" ref="E257:E268" si="47">100*((C257/$C$256-1))</f>
        <v>0.48089603804073455</v>
      </c>
      <c r="F257" s="95">
        <f t="shared" si="40"/>
        <v>5.6608011688024762</v>
      </c>
      <c r="G257" s="96">
        <f t="shared" si="45"/>
        <v>2.2736350141191481</v>
      </c>
    </row>
    <row r="258" spans="1:7">
      <c r="A258" s="91">
        <f>2014</f>
        <v>2014</v>
      </c>
      <c r="B258" s="92" t="s">
        <v>71</v>
      </c>
      <c r="C258" s="93">
        <f t="shared" si="46"/>
        <v>543.03800000000035</v>
      </c>
      <c r="D258" s="94">
        <v>0.38431748062239812</v>
      </c>
      <c r="E258" s="94">
        <f t="shared" si="47"/>
        <v>0.86706168620094282</v>
      </c>
      <c r="F258" s="95">
        <f t="shared" si="40"/>
        <v>5.7590848097346159</v>
      </c>
      <c r="G258" s="96">
        <f t="shared" si="45"/>
        <v>2.2649304903208982</v>
      </c>
    </row>
    <row r="259" spans="1:7">
      <c r="A259" s="91">
        <f>2014</f>
        <v>2014</v>
      </c>
      <c r="B259" s="92" t="s">
        <v>72</v>
      </c>
      <c r="C259" s="93">
        <f t="shared" si="46"/>
        <v>552.08700000000033</v>
      </c>
      <c r="D259" s="94">
        <v>1.6663658896798994</v>
      </c>
      <c r="E259" s="94">
        <f t="shared" si="47"/>
        <v>2.5478759960621877</v>
      </c>
      <c r="F259" s="95">
        <f t="shared" si="40"/>
        <v>7.3001170008901495</v>
      </c>
      <c r="G259" s="96">
        <f t="shared" si="45"/>
        <v>2.2278070731657875</v>
      </c>
    </row>
    <row r="260" spans="1:7" ht="15" customHeight="1">
      <c r="A260" s="91">
        <f>2014</f>
        <v>2014</v>
      </c>
      <c r="B260" s="92" t="s">
        <v>73</v>
      </c>
      <c r="C260" s="93">
        <f t="shared" si="46"/>
        <v>556.4200000000003</v>
      </c>
      <c r="D260" s="94">
        <v>0.78484007049612892</v>
      </c>
      <c r="E260" s="94">
        <f t="shared" si="47"/>
        <v>3.3527128183219679</v>
      </c>
      <c r="F260" s="95">
        <f t="shared" si="40"/>
        <v>7.984846955806213</v>
      </c>
      <c r="G260" s="96">
        <f t="shared" si="45"/>
        <v>2.2104585090451101</v>
      </c>
    </row>
    <row r="261" spans="1:7">
      <c r="A261" s="91">
        <f>2014</f>
        <v>2014</v>
      </c>
      <c r="B261" s="92" t="s">
        <v>74</v>
      </c>
      <c r="C261" s="93">
        <f t="shared" si="46"/>
        <v>555.67900000000031</v>
      </c>
      <c r="D261" s="94">
        <v>-0.13317278314941561</v>
      </c>
      <c r="E261" s="94">
        <f t="shared" si="47"/>
        <v>3.2150751342013839</v>
      </c>
      <c r="F261" s="95">
        <f t="shared" si="40"/>
        <v>7.8362271225055791</v>
      </c>
      <c r="G261" s="96">
        <f t="shared" si="45"/>
        <v>2.2134061636356241</v>
      </c>
    </row>
    <row r="262" spans="1:7">
      <c r="A262" s="91">
        <f>2014</f>
        <v>2014</v>
      </c>
      <c r="B262" s="92" t="s">
        <v>75</v>
      </c>
      <c r="C262" s="93">
        <f t="shared" si="46"/>
        <v>551.55400000000031</v>
      </c>
      <c r="D262" s="94">
        <v>-0.74233505315118853</v>
      </c>
      <c r="E262" s="94">
        <f t="shared" si="47"/>
        <v>2.4488734513438581</v>
      </c>
      <c r="F262" s="95">
        <f t="shared" si="40"/>
        <v>6.2411273747815965</v>
      </c>
      <c r="G262" s="96">
        <f t="shared" si="45"/>
        <v>2.2299599379260782</v>
      </c>
    </row>
    <row r="263" spans="1:7">
      <c r="A263" s="91">
        <f>2014</f>
        <v>2014</v>
      </c>
      <c r="B263" s="92" t="s">
        <v>76</v>
      </c>
      <c r="C263" s="93">
        <f t="shared" si="46"/>
        <v>548.20200000000034</v>
      </c>
      <c r="D263" s="94">
        <v>-0.60773741102412293</v>
      </c>
      <c r="E263" s="94">
        <f t="shared" si="47"/>
        <v>1.8262533202072939</v>
      </c>
      <c r="F263" s="95">
        <f t="shared" si="40"/>
        <v>5.3205714417453587</v>
      </c>
      <c r="G263" s="96">
        <f t="shared" si="45"/>
        <v>2.2435951047294247</v>
      </c>
    </row>
    <row r="264" spans="1:7">
      <c r="A264" s="91">
        <f>2014</f>
        <v>2014</v>
      </c>
      <c r="B264" s="92" t="s">
        <v>77</v>
      </c>
      <c r="C264" s="93">
        <f t="shared" si="46"/>
        <v>546.74500000000035</v>
      </c>
      <c r="D264" s="94">
        <v>-0.26577794316693382</v>
      </c>
      <c r="E264" s="94">
        <f t="shared" si="47"/>
        <v>1.555621598528889</v>
      </c>
      <c r="F264" s="95">
        <f t="shared" si="40"/>
        <v>4.887102653135611</v>
      </c>
      <c r="G264" s="96">
        <f t="shared" si="45"/>
        <v>2.2495739761733167</v>
      </c>
    </row>
    <row r="265" spans="1:7">
      <c r="A265" s="91">
        <f>2014</f>
        <v>2014</v>
      </c>
      <c r="B265" s="92" t="s">
        <v>79</v>
      </c>
      <c r="C265" s="93">
        <f t="shared" si="46"/>
        <v>547.8390000000004</v>
      </c>
      <c r="D265" s="94">
        <v>0.20009327931669318</v>
      </c>
      <c r="E265" s="94">
        <f t="shared" si="47"/>
        <v>1.7588275721158286</v>
      </c>
      <c r="F265" s="95">
        <f t="shared" ref="F265:F328" si="48">+((C265/C253)-1)*100</f>
        <v>3.5446100343045073</v>
      </c>
      <c r="G265" s="96">
        <f t="shared" si="45"/>
        <v>2.2450817185393519</v>
      </c>
    </row>
    <row r="266" spans="1:7">
      <c r="A266" s="91">
        <f>2014</f>
        <v>2014</v>
      </c>
      <c r="B266" s="92" t="s">
        <v>78</v>
      </c>
      <c r="C266" s="93">
        <f t="shared" si="46"/>
        <v>549.3960000000003</v>
      </c>
      <c r="D266" s="94">
        <v>0.28420758653544542</v>
      </c>
      <c r="E266" s="94">
        <f t="shared" si="47"/>
        <v>2.048033880045308</v>
      </c>
      <c r="F266" s="95">
        <f t="shared" si="48"/>
        <v>2.9562179899216723</v>
      </c>
      <c r="G266" s="96">
        <f t="shared" si="45"/>
        <v>2.2387191089903826</v>
      </c>
    </row>
    <row r="267" spans="1:7">
      <c r="A267" s="91">
        <f>2014</f>
        <v>2014</v>
      </c>
      <c r="B267" s="92" t="s">
        <v>68</v>
      </c>
      <c r="C267" s="93">
        <f t="shared" si="46"/>
        <v>554.76900000000035</v>
      </c>
      <c r="D267" s="94">
        <v>0.97798309416159412</v>
      </c>
      <c r="E267" s="94">
        <f t="shared" si="47"/>
        <v>3.0460463993164488</v>
      </c>
      <c r="F267" s="95">
        <f t="shared" si="48"/>
        <v>3.6625881966036777</v>
      </c>
      <c r="G267" s="96">
        <f t="shared" si="45"/>
        <v>2.2170368632762107</v>
      </c>
    </row>
    <row r="268" spans="1:7">
      <c r="A268" s="91">
        <f>2014</f>
        <v>2014</v>
      </c>
      <c r="B268" s="92" t="s">
        <v>69</v>
      </c>
      <c r="C268" s="93">
        <f t="shared" si="46"/>
        <v>558.21300000000031</v>
      </c>
      <c r="D268" s="94">
        <v>0.62079892712101348</v>
      </c>
      <c r="E268" s="94">
        <f t="shared" si="47"/>
        <v>3.6857551498040264</v>
      </c>
      <c r="F268" s="95">
        <f t="shared" si="48"/>
        <v>3.6857551498040264</v>
      </c>
      <c r="G268" s="96">
        <f t="shared" si="45"/>
        <v>2.2033584377341269</v>
      </c>
    </row>
    <row r="269" spans="1:7">
      <c r="A269" s="91">
        <f>2015</f>
        <v>2015</v>
      </c>
      <c r="B269" s="92" t="s">
        <v>70</v>
      </c>
      <c r="C269" s="93">
        <f t="shared" si="46"/>
        <v>562.48200000000031</v>
      </c>
      <c r="D269" s="94">
        <v>0.76476183822304922</v>
      </c>
      <c r="E269" s="94">
        <f t="shared" ref="E269:E280" si="49">100*((C269/$C$268-1))</f>
        <v>0.76476183822304922</v>
      </c>
      <c r="F269" s="95">
        <f t="shared" si="48"/>
        <v>3.9786749088193352</v>
      </c>
      <c r="G269" s="96">
        <f t="shared" si="45"/>
        <v>2.1866358809755337</v>
      </c>
    </row>
    <row r="270" spans="1:7">
      <c r="A270" s="91">
        <f>2015</f>
        <v>2015</v>
      </c>
      <c r="B270" s="92" t="s">
        <v>71</v>
      </c>
      <c r="C270" s="93">
        <f t="shared" si="46"/>
        <v>564.00400000000036</v>
      </c>
      <c r="D270" s="94">
        <v>0.27058643654376269</v>
      </c>
      <c r="E270" s="94">
        <f t="shared" si="49"/>
        <v>1.0374176165728999</v>
      </c>
      <c r="F270" s="95">
        <f t="shared" si="48"/>
        <v>3.8608716148777811</v>
      </c>
      <c r="G270" s="96">
        <f t="shared" si="45"/>
        <v>2.1807351075575352</v>
      </c>
    </row>
    <row r="271" spans="1:7">
      <c r="A271" s="91">
        <f>2015</f>
        <v>2015</v>
      </c>
      <c r="B271" s="92" t="s">
        <v>72</v>
      </c>
      <c r="C271" s="93">
        <f t="shared" si="46"/>
        <v>569.53600000000029</v>
      </c>
      <c r="D271" s="94">
        <v>0.98084410748857653</v>
      </c>
      <c r="E271" s="94">
        <f t="shared" si="49"/>
        <v>2.0284371736236873</v>
      </c>
      <c r="F271" s="95">
        <f t="shared" si="48"/>
        <v>3.1605525940657797</v>
      </c>
      <c r="G271" s="96">
        <f t="shared" si="45"/>
        <v>2.1595532566912015</v>
      </c>
    </row>
    <row r="272" spans="1:7">
      <c r="A272" s="91">
        <f>2015</f>
        <v>2015</v>
      </c>
      <c r="B272" s="92" t="s">
        <v>73</v>
      </c>
      <c r="C272" s="93">
        <f t="shared" si="46"/>
        <v>576.17500000000041</v>
      </c>
      <c r="D272" s="94">
        <v>1.1656857512080121</v>
      </c>
      <c r="E272" s="94">
        <f t="shared" si="49"/>
        <v>3.2177681279368375</v>
      </c>
      <c r="F272" s="95">
        <f t="shared" si="48"/>
        <v>3.5503756155422339</v>
      </c>
      <c r="G272" s="96">
        <f t="shared" si="45"/>
        <v>2.1346697159767083</v>
      </c>
    </row>
    <row r="273" spans="1:7">
      <c r="A273" s="91">
        <f>2015</f>
        <v>2015</v>
      </c>
      <c r="B273" s="92" t="s">
        <v>74</v>
      </c>
      <c r="C273" s="93">
        <f t="shared" si="46"/>
        <v>578.51600000000042</v>
      </c>
      <c r="D273" s="94">
        <v>0.40630016921943124</v>
      </c>
      <c r="E273" s="94">
        <f t="shared" si="49"/>
        <v>3.6371420945051636</v>
      </c>
      <c r="F273" s="95">
        <f t="shared" si="48"/>
        <v>4.1097468142578863</v>
      </c>
      <c r="G273" s="96">
        <f t="shared" si="45"/>
        <v>2.1260316458021555</v>
      </c>
    </row>
    <row r="274" spans="1:7">
      <c r="A274" s="91">
        <f>2015</f>
        <v>2015</v>
      </c>
      <c r="B274" s="92" t="s">
        <v>75</v>
      </c>
      <c r="C274" s="93">
        <f t="shared" si="46"/>
        <v>582.40100000000041</v>
      </c>
      <c r="D274" s="94">
        <v>0.67154581722890239</v>
      </c>
      <c r="E274" s="94">
        <f t="shared" si="49"/>
        <v>4.3331129873363849</v>
      </c>
      <c r="F274" s="95">
        <f t="shared" si="48"/>
        <v>5.5927434122497566</v>
      </c>
      <c r="G274" s="96">
        <f t="shared" si="45"/>
        <v>2.1118496080928431</v>
      </c>
    </row>
    <row r="275" spans="1:7">
      <c r="A275" s="91">
        <f>2015</f>
        <v>2015</v>
      </c>
      <c r="B275" s="92" t="s">
        <v>76</v>
      </c>
      <c r="C275" s="93">
        <f t="shared" si="46"/>
        <v>586.4260000000005</v>
      </c>
      <c r="D275" s="94">
        <v>0.69110458258143659</v>
      </c>
      <c r="E275" s="94">
        <f t="shared" si="49"/>
        <v>5.054163912341747</v>
      </c>
      <c r="F275" s="95">
        <f t="shared" si="48"/>
        <v>6.9726122852525441</v>
      </c>
      <c r="G275" s="96">
        <f t="shared" si="45"/>
        <v>2.0973546936917526</v>
      </c>
    </row>
    <row r="276" spans="1:7">
      <c r="A276" s="91">
        <f>2015</f>
        <v>2015</v>
      </c>
      <c r="B276" s="92" t="s">
        <v>77</v>
      </c>
      <c r="C276" s="93">
        <f t="shared" si="46"/>
        <v>588.04200000000048</v>
      </c>
      <c r="D276" s="94">
        <v>0.27556759079576665</v>
      </c>
      <c r="E276" s="94">
        <f t="shared" si="49"/>
        <v>5.3436591408656087</v>
      </c>
      <c r="F276" s="95">
        <f t="shared" si="48"/>
        <v>7.5532469432733951</v>
      </c>
      <c r="G276" s="96">
        <f t="shared" si="45"/>
        <v>2.0915909469100504</v>
      </c>
    </row>
    <row r="277" spans="1:7">
      <c r="A277" s="91">
        <f>2015</f>
        <v>2015</v>
      </c>
      <c r="B277" s="92" t="s">
        <v>79</v>
      </c>
      <c r="C277" s="93">
        <f t="shared" si="46"/>
        <v>593.60600000000045</v>
      </c>
      <c r="D277" s="94">
        <v>0.9461909183357653</v>
      </c>
      <c r="E277" s="94">
        <f t="shared" si="49"/>
        <v>6.340411276699065</v>
      </c>
      <c r="F277" s="95">
        <f t="shared" si="48"/>
        <v>8.3540967327992313</v>
      </c>
      <c r="G277" s="96">
        <f t="shared" si="45"/>
        <v>2.0719860035155975</v>
      </c>
    </row>
    <row r="278" spans="1:7">
      <c r="A278" s="91">
        <f>2015</f>
        <v>2015</v>
      </c>
      <c r="B278" s="92" t="s">
        <v>78</v>
      </c>
      <c r="C278" s="93">
        <f t="shared" si="46"/>
        <v>604.83200000000045</v>
      </c>
      <c r="D278" s="94">
        <v>1.8911533913066991</v>
      </c>
      <c r="E278" s="94">
        <f t="shared" si="49"/>
        <v>8.3514715708878242</v>
      </c>
      <c r="F278" s="95">
        <f t="shared" si="48"/>
        <v>10.090353770322347</v>
      </c>
      <c r="G278" s="96">
        <f t="shared" si="45"/>
        <v>2.0335288536368443</v>
      </c>
    </row>
    <row r="279" spans="1:7">
      <c r="A279" s="91">
        <f>2015</f>
        <v>2015</v>
      </c>
      <c r="B279" s="92" t="s">
        <v>68</v>
      </c>
      <c r="C279" s="93">
        <f t="shared" si="46"/>
        <v>614.05100000000061</v>
      </c>
      <c r="D279" s="94">
        <v>1.5242249087350057</v>
      </c>
      <c r="E279" s="94">
        <f t="shared" si="49"/>
        <v>10.002991689552253</v>
      </c>
      <c r="F279" s="95">
        <f t="shared" si="48"/>
        <v>10.685889081762001</v>
      </c>
      <c r="G279" s="96">
        <f t="shared" si="45"/>
        <v>2.0029986493025489</v>
      </c>
    </row>
    <row r="280" spans="1:7">
      <c r="A280" s="91">
        <f>2015</f>
        <v>2015</v>
      </c>
      <c r="B280" s="92" t="s">
        <v>69</v>
      </c>
      <c r="C280" s="93">
        <f t="shared" si="46"/>
        <v>617.04400000000055</v>
      </c>
      <c r="D280" s="94">
        <v>0.48741879746143635</v>
      </c>
      <c r="E280" s="94">
        <f t="shared" si="49"/>
        <v>10.539166948817069</v>
      </c>
      <c r="F280" s="95">
        <f t="shared" si="48"/>
        <v>10.539166948817069</v>
      </c>
      <c r="G280" s="96">
        <f t="shared" si="45"/>
        <v>1.99328301320956</v>
      </c>
    </row>
    <row r="281" spans="1:7">
      <c r="A281" s="91">
        <f>2016</f>
        <v>2016</v>
      </c>
      <c r="B281" s="92" t="s">
        <v>70</v>
      </c>
      <c r="C281" s="93">
        <f t="shared" si="46"/>
        <v>624.06000000000051</v>
      </c>
      <c r="D281" s="94">
        <v>1.1370339878517433</v>
      </c>
      <c r="E281" s="94">
        <f t="shared" ref="E281:E292" si="50">100*((C281/$C$280-1))</f>
        <v>1.1370339878517433</v>
      </c>
      <c r="F281" s="95">
        <f t="shared" si="48"/>
        <v>10.947550321610322</v>
      </c>
      <c r="G281" s="96">
        <f t="shared" si="45"/>
        <v>1.9708735115259426</v>
      </c>
    </row>
    <row r="282" spans="1:7">
      <c r="A282" s="91">
        <f>2016</f>
        <v>2016</v>
      </c>
      <c r="B282" s="92" t="s">
        <v>71</v>
      </c>
      <c r="C282" s="93">
        <f t="shared" si="46"/>
        <v>632.1140000000006</v>
      </c>
      <c r="D282" s="94">
        <v>1.2905810338749601</v>
      </c>
      <c r="E282" s="94">
        <f t="shared" si="50"/>
        <v>2.4422893667226386</v>
      </c>
      <c r="F282" s="95">
        <f t="shared" si="48"/>
        <v>12.076155488258976</v>
      </c>
      <c r="G282" s="96">
        <f t="shared" si="45"/>
        <v>1.9457618777671111</v>
      </c>
    </row>
    <row r="283" spans="1:7">
      <c r="A283" s="91">
        <f>2016</f>
        <v>2016</v>
      </c>
      <c r="B283" s="92" t="s">
        <v>72</v>
      </c>
      <c r="C283" s="93">
        <f t="shared" si="46"/>
        <v>635.34900000000061</v>
      </c>
      <c r="D283" s="94">
        <v>0.51177477480328637</v>
      </c>
      <c r="E283" s="94">
        <f t="shared" si="50"/>
        <v>2.9665631624325117</v>
      </c>
      <c r="F283" s="95">
        <f t="shared" si="48"/>
        <v>11.555546971569886</v>
      </c>
      <c r="G283" s="96">
        <f t="shared" si="45"/>
        <v>1.9358546619304975</v>
      </c>
    </row>
    <row r="284" spans="1:7">
      <c r="A284" s="91">
        <f>2016</f>
        <v>2016</v>
      </c>
      <c r="B284" s="92" t="s">
        <v>73</v>
      </c>
      <c r="C284" s="93">
        <f t="shared" si="46"/>
        <v>637.43400000000054</v>
      </c>
      <c r="D284" s="94">
        <v>0.32816609454016099</v>
      </c>
      <c r="E284" s="94">
        <f t="shared" si="50"/>
        <v>3.3044645114448823</v>
      </c>
      <c r="F284" s="95">
        <f t="shared" si="48"/>
        <v>10.632012843320183</v>
      </c>
      <c r="G284" s="96">
        <f t="shared" si="45"/>
        <v>1.9295226228956719</v>
      </c>
    </row>
    <row r="285" spans="1:7">
      <c r="A285" s="91">
        <f>2016</f>
        <v>2016</v>
      </c>
      <c r="B285" s="92" t="s">
        <v>74</v>
      </c>
      <c r="C285" s="93">
        <f t="shared" si="46"/>
        <v>642.65100000000052</v>
      </c>
      <c r="D285" s="94">
        <v>0.81843767354736752</v>
      </c>
      <c r="E285" s="94">
        <f t="shared" si="50"/>
        <v>4.1499471674629307</v>
      </c>
      <c r="F285" s="95">
        <f t="shared" si="48"/>
        <v>11.086123806428883</v>
      </c>
      <c r="G285" s="96">
        <f t="shared" si="45"/>
        <v>1.9138588807966996</v>
      </c>
    </row>
    <row r="286" spans="1:7">
      <c r="A286" s="91">
        <f>2016</f>
        <v>2016</v>
      </c>
      <c r="B286" s="92" t="s">
        <v>75</v>
      </c>
      <c r="C286" s="93">
        <f t="shared" si="46"/>
        <v>653.49600000000055</v>
      </c>
      <c r="D286" s="94">
        <v>1.6875411381916505</v>
      </c>
      <c r="E286" s="94">
        <f t="shared" si="50"/>
        <v>5.9075203713187419</v>
      </c>
      <c r="F286" s="95">
        <f t="shared" si="48"/>
        <v>12.207224918913262</v>
      </c>
      <c r="G286" s="96">
        <f t="shared" si="45"/>
        <v>1.8820977077179963</v>
      </c>
    </row>
    <row r="287" spans="1:7">
      <c r="A287" s="91">
        <f>2016</f>
        <v>2016</v>
      </c>
      <c r="B287" s="92" t="s">
        <v>76</v>
      </c>
      <c r="C287" s="93">
        <f t="shared" si="46"/>
        <v>654.64100000000042</v>
      </c>
      <c r="D287" s="94">
        <v>0.17521147795853675</v>
      </c>
      <c r="E287" s="94">
        <f t="shared" si="50"/>
        <v>6.0930825030305558</v>
      </c>
      <c r="F287" s="95">
        <f t="shared" si="48"/>
        <v>11.632328716666706</v>
      </c>
      <c r="G287" s="96">
        <f t="shared" si="45"/>
        <v>1.8788058242653303</v>
      </c>
    </row>
    <row r="288" spans="1:7">
      <c r="A288" s="91">
        <f>2016</f>
        <v>2016</v>
      </c>
      <c r="B288" s="92" t="s">
        <v>77</v>
      </c>
      <c r="C288" s="93">
        <f t="shared" si="46"/>
        <v>655.62296150000043</v>
      </c>
      <c r="D288" s="94">
        <v>0.15</v>
      </c>
      <c r="E288" s="94">
        <f t="shared" si="50"/>
        <v>6.2522221267850897</v>
      </c>
      <c r="F288" s="95">
        <f t="shared" si="48"/>
        <v>11.492539903612297</v>
      </c>
      <c r="G288" s="96">
        <f t="shared" si="45"/>
        <v>1.8759918365105643</v>
      </c>
    </row>
    <row r="289" spans="1:7">
      <c r="A289" s="91">
        <f>2016</f>
        <v>2016</v>
      </c>
      <c r="B289" s="92" t="s">
        <v>79</v>
      </c>
      <c r="C289" s="93">
        <f t="shared" si="46"/>
        <v>656.91500280899277</v>
      </c>
      <c r="D289" s="94">
        <v>0.19707078379871401</v>
      </c>
      <c r="E289" s="94">
        <f t="shared" si="50"/>
        <v>6.4616142137339017</v>
      </c>
      <c r="F289" s="95">
        <f t="shared" si="48"/>
        <v>10.665155475010746</v>
      </c>
      <c r="G289" s="96">
        <f t="shared" si="45"/>
        <v>1.8723020761340474</v>
      </c>
    </row>
    <row r="290" spans="1:7">
      <c r="A290" s="91">
        <f>2016</f>
        <v>2016</v>
      </c>
      <c r="B290" s="92" t="s">
        <v>78</v>
      </c>
      <c r="C290" s="93">
        <f t="shared" si="46"/>
        <v>657.94803583700286</v>
      </c>
      <c r="D290" s="94">
        <v>0.15725520403595539</v>
      </c>
      <c r="E290" s="94">
        <f t="shared" si="50"/>
        <v>6.6290306423856693</v>
      </c>
      <c r="F290" s="95">
        <f t="shared" si="48"/>
        <v>8.7819486794684209</v>
      </c>
      <c r="G290" s="96">
        <f t="shared" si="45"/>
        <v>1.8693624064675853</v>
      </c>
    </row>
    <row r="291" spans="1:7">
      <c r="A291" s="91">
        <f>2016</f>
        <v>2016</v>
      </c>
      <c r="B291" s="92" t="s">
        <v>68</v>
      </c>
      <c r="C291" s="93">
        <f t="shared" si="46"/>
        <v>657.77303024174455</v>
      </c>
      <c r="D291" s="94">
        <v>-2.6598695599977518E-2</v>
      </c>
      <c r="E291" s="94">
        <f t="shared" si="50"/>
        <v>6.6006687111038964</v>
      </c>
      <c r="F291" s="95">
        <f t="shared" si="48"/>
        <v>7.120260408621415</v>
      </c>
      <c r="G291" s="96">
        <f t="shared" si="45"/>
        <v>1.8698597647745643</v>
      </c>
    </row>
    <row r="292" spans="1:7">
      <c r="A292" s="91">
        <f>2016</f>
        <v>2016</v>
      </c>
      <c r="B292" s="92" t="s">
        <v>69</v>
      </c>
      <c r="C292" s="93">
        <f t="shared" si="46"/>
        <v>661.32514380950056</v>
      </c>
      <c r="D292" s="94">
        <v>0.54002116299152192</v>
      </c>
      <c r="E292" s="94">
        <f t="shared" si="50"/>
        <v>7.1763348820343298</v>
      </c>
      <c r="F292" s="95">
        <f t="shared" si="48"/>
        <v>7.1763348820343298</v>
      </c>
      <c r="G292" s="96">
        <f t="shared" si="45"/>
        <v>1.8598163628225435</v>
      </c>
    </row>
    <row r="293" spans="1:7">
      <c r="A293" s="91">
        <f>2017</f>
        <v>2017</v>
      </c>
      <c r="B293" s="92" t="s">
        <v>70</v>
      </c>
      <c r="C293" s="93">
        <f t="shared" si="46"/>
        <v>665.56327931066903</v>
      </c>
      <c r="D293" s="94">
        <v>0.64085503792508103</v>
      </c>
      <c r="E293" s="94">
        <f t="shared" ref="E293:E304" si="51">100*((C293/$C$292-1))</f>
        <v>0.64085503792508103</v>
      </c>
      <c r="F293" s="95">
        <f t="shared" si="48"/>
        <v>6.6505270824389395</v>
      </c>
      <c r="G293" s="96">
        <f t="shared" si="45"/>
        <v>1.8479735313473817</v>
      </c>
    </row>
    <row r="294" spans="1:7">
      <c r="A294" s="91">
        <f>2017</f>
        <v>2017</v>
      </c>
      <c r="B294" s="92" t="s">
        <v>71</v>
      </c>
      <c r="C294" s="93">
        <f t="shared" si="46"/>
        <v>666.12029711957678</v>
      </c>
      <c r="D294" s="94">
        <v>8.3691187032530756E-2</v>
      </c>
      <c r="E294" s="94">
        <f t="shared" si="51"/>
        <v>0.7250825641460068</v>
      </c>
      <c r="F294" s="95">
        <f t="shared" si="48"/>
        <v>5.3797728130647648</v>
      </c>
      <c r="G294" s="96">
        <f t="shared" si="45"/>
        <v>1.8464282336409439</v>
      </c>
    </row>
    <row r="295" spans="1:7">
      <c r="A295" s="91">
        <f>2017</f>
        <v>2017</v>
      </c>
      <c r="B295" s="92" t="s">
        <v>72</v>
      </c>
      <c r="C295" s="93">
        <f t="shared" si="46"/>
        <v>666.21830025292138</v>
      </c>
      <c r="D295" s="94">
        <v>1.4712527717342105E-2</v>
      </c>
      <c r="E295" s="94">
        <f t="shared" si="51"/>
        <v>0.73990176983658174</v>
      </c>
      <c r="F295" s="95">
        <f t="shared" si="48"/>
        <v>4.8586367890593563</v>
      </c>
      <c r="G295" s="96">
        <f t="shared" si="45"/>
        <v>1.8461566173369124</v>
      </c>
    </row>
    <row r="296" spans="1:7">
      <c r="A296" s="91">
        <f>2017</f>
        <v>2017</v>
      </c>
      <c r="B296" s="92" t="s">
        <v>73</v>
      </c>
      <c r="C296" s="93">
        <f t="shared" si="46"/>
        <v>658.91906688269296</v>
      </c>
      <c r="D296" s="94">
        <v>-1.0956218656043126</v>
      </c>
      <c r="E296" s="94">
        <f t="shared" si="51"/>
        <v>-0.36382662134205601</v>
      </c>
      <c r="F296" s="95">
        <f t="shared" si="48"/>
        <v>3.3705555214645688</v>
      </c>
      <c r="G296" s="96">
        <f t="shared" si="45"/>
        <v>1.8666075781076874</v>
      </c>
    </row>
    <row r="297" spans="1:7">
      <c r="A297" s="91">
        <f>2017</f>
        <v>2017</v>
      </c>
      <c r="B297" s="92" t="s">
        <v>74</v>
      </c>
      <c r="C297" s="93">
        <f t="shared" si="46"/>
        <v>652.77887056906059</v>
      </c>
      <c r="D297" s="94">
        <v>-0.9318589523719889</v>
      </c>
      <c r="E297" s="94">
        <f t="shared" si="51"/>
        <v>-1.2922952227719553</v>
      </c>
      <c r="F297" s="95">
        <f t="shared" si="48"/>
        <v>1.5759518882037193</v>
      </c>
      <c r="G297" s="96">
        <f t="shared" si="45"/>
        <v>1.8841653415201332</v>
      </c>
    </row>
    <row r="298" spans="1:7">
      <c r="A298" s="91">
        <f>2017</f>
        <v>2017</v>
      </c>
      <c r="B298" s="92" t="s">
        <v>75</v>
      </c>
      <c r="C298" s="93">
        <f t="shared" si="46"/>
        <v>648.42973151889976</v>
      </c>
      <c r="D298" s="94">
        <v>-0.66624997319068013</v>
      </c>
      <c r="E298" s="94">
        <f t="shared" si="51"/>
        <v>-1.9499352793873825</v>
      </c>
      <c r="F298" s="95">
        <f t="shared" si="48"/>
        <v>-0.7752562343305569</v>
      </c>
      <c r="G298" s="96">
        <f t="shared" si="45"/>
        <v>1.8968027895973054</v>
      </c>
    </row>
    <row r="299" spans="1:7">
      <c r="A299" s="91">
        <f>2017</f>
        <v>2017</v>
      </c>
      <c r="B299" s="92" t="s">
        <v>76</v>
      </c>
      <c r="C299" s="93">
        <f t="shared" si="46"/>
        <v>643.78658306870511</v>
      </c>
      <c r="D299" s="94">
        <v>-0.71606038781077963</v>
      </c>
      <c r="E299" s="94">
        <f t="shared" si="51"/>
        <v>-2.6520329530745235</v>
      </c>
      <c r="F299" s="95">
        <f t="shared" si="48"/>
        <v>-1.6580716654311711</v>
      </c>
      <c r="G299" s="96">
        <f t="shared" si="45"/>
        <v>1.910483001587532</v>
      </c>
    </row>
    <row r="300" spans="1:7">
      <c r="A300" s="91">
        <f>2017</f>
        <v>2017</v>
      </c>
      <c r="B300" s="92" t="s">
        <v>77</v>
      </c>
      <c r="C300" s="93">
        <f t="shared" si="46"/>
        <v>644.40360279598713</v>
      </c>
      <c r="D300" s="94">
        <v>9.5842278094848687E-2</v>
      </c>
      <c r="E300" s="94">
        <f t="shared" si="51"/>
        <v>-2.5587324437777337</v>
      </c>
      <c r="F300" s="95">
        <f t="shared" si="48"/>
        <v>-1.7112516435276337</v>
      </c>
      <c r="G300" s="96">
        <f t="shared" si="45"/>
        <v>1.908653704396297</v>
      </c>
    </row>
    <row r="301" spans="1:7">
      <c r="A301" s="91">
        <f>2017</f>
        <v>2017</v>
      </c>
      <c r="B301" s="92" t="s">
        <v>79</v>
      </c>
      <c r="C301" s="93">
        <f t="shared" si="46"/>
        <v>647.42069925823921</v>
      </c>
      <c r="D301" s="94">
        <v>0.46819981284420553</v>
      </c>
      <c r="E301" s="94">
        <f t="shared" si="51"/>
        <v>-2.1025126114464832</v>
      </c>
      <c r="F301" s="95">
        <f t="shared" si="48"/>
        <v>-1.4452864541311339</v>
      </c>
      <c r="G301" s="96">
        <f t="shared" si="45"/>
        <v>1.8997590361445773</v>
      </c>
    </row>
    <row r="302" spans="1:7">
      <c r="A302" s="91">
        <f>2017</f>
        <v>2017</v>
      </c>
      <c r="B302" s="92" t="s">
        <v>78</v>
      </c>
      <c r="C302" s="93">
        <f t="shared" si="46"/>
        <v>648.69273992777346</v>
      </c>
      <c r="D302" s="94">
        <v>0.19647822057460296</v>
      </c>
      <c r="E302" s="94">
        <f t="shared" si="51"/>
        <v>-1.9101653702382038</v>
      </c>
      <c r="F302" s="95">
        <f t="shared" si="48"/>
        <v>-1.4066910158726076</v>
      </c>
      <c r="G302" s="96">
        <f t="shared" si="45"/>
        <v>1.8960337427852587</v>
      </c>
    </row>
    <row r="303" spans="1:7">
      <c r="A303" s="91">
        <f>2017</f>
        <v>2017</v>
      </c>
      <c r="B303" s="92" t="s">
        <v>68</v>
      </c>
      <c r="C303" s="93">
        <f t="shared" si="46"/>
        <v>652.09384866762093</v>
      </c>
      <c r="D303" s="94">
        <v>0.52430195846282501</v>
      </c>
      <c r="E303" s="94">
        <f t="shared" si="51"/>
        <v>-1.3958784462214213</v>
      </c>
      <c r="F303" s="95">
        <f t="shared" si="48"/>
        <v>-0.86339532224913862</v>
      </c>
      <c r="G303" s="96">
        <f t="shared" si="45"/>
        <v>1.8861446494487573</v>
      </c>
    </row>
    <row r="304" spans="1:7">
      <c r="A304" s="91">
        <f>2017</f>
        <v>2017</v>
      </c>
      <c r="B304" s="92" t="s">
        <v>69</v>
      </c>
      <c r="C304" s="93">
        <f t="shared" si="46"/>
        <v>657.88003366284522</v>
      </c>
      <c r="D304" s="94">
        <v>0.88732396526156609</v>
      </c>
      <c r="E304" s="94">
        <f t="shared" si="51"/>
        <v>-0.52094044493909974</v>
      </c>
      <c r="F304" s="95">
        <f t="shared" si="48"/>
        <v>-0.52094044493909974</v>
      </c>
      <c r="G304" s="96">
        <f t="shared" si="45"/>
        <v>1.8695556342620521</v>
      </c>
    </row>
    <row r="305" spans="1:7">
      <c r="A305" s="91">
        <f>2018</f>
        <v>2018</v>
      </c>
      <c r="B305" s="92" t="s">
        <v>70</v>
      </c>
      <c r="C305" s="93">
        <f t="shared" si="46"/>
        <v>662.84719247226076</v>
      </c>
      <c r="D305" s="94">
        <v>0.75502501295869884</v>
      </c>
      <c r="E305" s="94">
        <f t="shared" ref="E305:E316" si="52">100*((C305/$C$304-1))</f>
        <v>0.75502501295869884</v>
      </c>
      <c r="F305" s="95">
        <f t="shared" si="48"/>
        <v>-0.40808844520709986</v>
      </c>
      <c r="G305" s="96">
        <f t="shared" si="45"/>
        <v>1.855545799350055</v>
      </c>
    </row>
    <row r="306" spans="1:7">
      <c r="A306" s="91">
        <f>2018</f>
        <v>2018</v>
      </c>
      <c r="B306" s="92" t="s">
        <v>71</v>
      </c>
      <c r="C306" s="93">
        <f t="shared" si="46"/>
        <v>663.33220797911929</v>
      </c>
      <c r="D306" s="94">
        <v>7.3171541249128502E-2</v>
      </c>
      <c r="E306" s="94">
        <f t="shared" si="52"/>
        <v>0.8287490176466239</v>
      </c>
      <c r="F306" s="95">
        <f t="shared" si="48"/>
        <v>-0.41855640077530509</v>
      </c>
      <c r="G306" s="96">
        <f t="shared" si="45"/>
        <v>1.8541890606367144</v>
      </c>
    </row>
    <row r="307" spans="1:7">
      <c r="A307" s="91">
        <f>2018</f>
        <v>2018</v>
      </c>
      <c r="B307" s="92" t="s">
        <v>72</v>
      </c>
      <c r="C307" s="93">
        <f t="shared" si="46"/>
        <v>667.54534268096506</v>
      </c>
      <c r="D307" s="94">
        <v>0.63514701248734706</v>
      </c>
      <c r="E307" s="94">
        <f t="shared" si="52"/>
        <v>1.469159804760567</v>
      </c>
      <c r="F307" s="95">
        <f t="shared" si="48"/>
        <v>0.1991903295871511</v>
      </c>
      <c r="G307" s="96">
        <f t="shared" si="45"/>
        <v>1.8424865622809061</v>
      </c>
    </row>
    <row r="308" spans="1:7">
      <c r="A308" s="91">
        <f>2018</f>
        <v>2018</v>
      </c>
      <c r="B308" s="92" t="s">
        <v>73</v>
      </c>
      <c r="C308" s="93">
        <f t="shared" si="46"/>
        <v>671.34846427392006</v>
      </c>
      <c r="D308" s="94">
        <v>0.56971734349626768</v>
      </c>
      <c r="E308" s="94">
        <f t="shared" si="52"/>
        <v>2.0472472064682279</v>
      </c>
      <c r="F308" s="95">
        <f t="shared" si="48"/>
        <v>1.8863314200376458</v>
      </c>
      <c r="G308" s="96">
        <f t="shared" si="45"/>
        <v>1.8320490610388078</v>
      </c>
    </row>
    <row r="309" spans="1:7">
      <c r="A309" s="91">
        <f>2018</f>
        <v>2018</v>
      </c>
      <c r="B309" s="92" t="s">
        <v>74</v>
      </c>
      <c r="C309" s="93">
        <f t="shared" si="46"/>
        <v>680.60076008723058</v>
      </c>
      <c r="D309" s="94">
        <v>1.3781659310589278</v>
      </c>
      <c r="E309" s="94">
        <f t="shared" si="52"/>
        <v>3.4536276010512568</v>
      </c>
      <c r="F309" s="95">
        <f t="shared" si="48"/>
        <v>4.2620695571712108</v>
      </c>
      <c r="G309" s="96">
        <f t="shared" si="45"/>
        <v>1.8071436232972213</v>
      </c>
    </row>
    <row r="310" spans="1:7">
      <c r="A310" s="91">
        <f>2018</f>
        <v>2018</v>
      </c>
      <c r="B310" s="92" t="s">
        <v>75</v>
      </c>
      <c r="C310" s="93">
        <f t="shared" si="46"/>
        <v>693.30916639889836</v>
      </c>
      <c r="D310" s="94">
        <v>1.8672336348902974</v>
      </c>
      <c r="E310" s="94">
        <f t="shared" si="52"/>
        <v>5.3853485321322392</v>
      </c>
      <c r="F310" s="95">
        <f t="shared" si="48"/>
        <v>6.921248779705369</v>
      </c>
      <c r="G310" s="96">
        <f t="shared" si="45"/>
        <v>1.7740185522013245</v>
      </c>
    </row>
    <row r="311" spans="1:7">
      <c r="A311" s="91">
        <f>2018</f>
        <v>2018</v>
      </c>
      <c r="B311" s="92" t="s">
        <v>76</v>
      </c>
      <c r="C311" s="93">
        <f t="shared" si="46"/>
        <v>696.82227871971099</v>
      </c>
      <c r="D311" s="94">
        <v>0.5067165546158936</v>
      </c>
      <c r="E311" s="94">
        <f t="shared" si="52"/>
        <v>5.9193535392842112</v>
      </c>
      <c r="F311" s="95">
        <f t="shared" si="48"/>
        <v>8.2380865096944653</v>
      </c>
      <c r="G311" s="96">
        <f t="shared" si="45"/>
        <v>1.7650746268656714</v>
      </c>
    </row>
    <row r="312" spans="1:7">
      <c r="A312" s="91">
        <f>2018</f>
        <v>2018</v>
      </c>
      <c r="B312" s="92" t="s">
        <v>77</v>
      </c>
      <c r="C312" s="93">
        <f t="shared" si="46"/>
        <v>701.6994346515653</v>
      </c>
      <c r="D312" s="94">
        <v>0.69991389207808563</v>
      </c>
      <c r="E312" s="94">
        <f t="shared" si="52"/>
        <v>6.6606978091049651</v>
      </c>
      <c r="F312" s="95">
        <f t="shared" si="48"/>
        <v>8.8912960149475815</v>
      </c>
      <c r="G312" s="96">
        <f t="shared" si="45"/>
        <v>1.7528064907357654</v>
      </c>
    </row>
    <row r="313" spans="1:7">
      <c r="A313" s="91">
        <f>2018</f>
        <v>2018</v>
      </c>
      <c r="B313" s="92" t="s">
        <v>79</v>
      </c>
      <c r="C313" s="93">
        <f t="shared" si="46"/>
        <v>712.39577663374962</v>
      </c>
      <c r="D313" s="94">
        <v>1.5243480974864498</v>
      </c>
      <c r="E313" s="94">
        <f t="shared" si="52"/>
        <v>8.2865781269238159</v>
      </c>
      <c r="F313" s="95">
        <f t="shared" si="48"/>
        <v>10.035990114303338</v>
      </c>
      <c r="G313" s="96">
        <f t="shared" si="45"/>
        <v>1.7264887916863774</v>
      </c>
    </row>
    <row r="314" spans="1:7">
      <c r="A314" s="91">
        <f>2018</f>
        <v>2018</v>
      </c>
      <c r="B314" s="92" t="s">
        <v>78</v>
      </c>
      <c r="C314" s="93">
        <f t="shared" si="46"/>
        <v>718.70697841474862</v>
      </c>
      <c r="D314" s="94">
        <v>0.88591229594607857</v>
      </c>
      <c r="E314" s="94">
        <f t="shared" si="52"/>
        <v>9.2459022374095099</v>
      </c>
      <c r="F314" s="95">
        <f t="shared" si="48"/>
        <v>10.793128114054529</v>
      </c>
      <c r="G314" s="96">
        <f t="shared" si="45"/>
        <v>1.7113279271557453</v>
      </c>
    </row>
    <row r="315" spans="1:7">
      <c r="A315" s="91">
        <f>2018</f>
        <v>2018</v>
      </c>
      <c r="B315" s="92" t="s">
        <v>68</v>
      </c>
      <c r="C315" s="93">
        <f t="shared" si="46"/>
        <v>715.18886593407137</v>
      </c>
      <c r="D315" s="94">
        <v>-0.48950581896910483</v>
      </c>
      <c r="E315" s="94">
        <f t="shared" si="52"/>
        <v>8.7111371889720743</v>
      </c>
      <c r="F315" s="95">
        <f t="shared" si="48"/>
        <v>9.6757571621582059</v>
      </c>
      <c r="G315" s="96">
        <f t="shared" si="45"/>
        <v>1.7197461848018496</v>
      </c>
    </row>
    <row r="316" spans="1:7">
      <c r="A316" s="91">
        <f>2018</f>
        <v>2018</v>
      </c>
      <c r="B316" s="92" t="s">
        <v>69</v>
      </c>
      <c r="C316" s="93">
        <f t="shared" si="46"/>
        <v>707.46361894338577</v>
      </c>
      <c r="D316" s="94">
        <v>-1.0801687999709153</v>
      </c>
      <c r="E316" s="94">
        <f t="shared" si="52"/>
        <v>7.5368734029632289</v>
      </c>
      <c r="F316" s="95">
        <f t="shared" si="48"/>
        <v>7.5368734029632289</v>
      </c>
      <c r="G316" s="96">
        <f t="shared" si="45"/>
        <v>1.7385251915000679</v>
      </c>
    </row>
    <row r="317" spans="1:7">
      <c r="A317" s="91">
        <f>2019</f>
        <v>2019</v>
      </c>
      <c r="B317" s="92" t="s">
        <v>70</v>
      </c>
      <c r="C317" s="93">
        <f t="shared" si="46"/>
        <v>707.51062044611228</v>
      </c>
      <c r="D317" s="94">
        <v>6.6436635705269254E-3</v>
      </c>
      <c r="E317" s="94">
        <f t="shared" ref="E317:E328" si="53">100*((C317/$C$316-1))</f>
        <v>6.6436635705269254E-3</v>
      </c>
      <c r="F317" s="95">
        <f t="shared" si="48"/>
        <v>6.7381182995235545</v>
      </c>
      <c r="G317" s="96">
        <f t="shared" ref="G317:G372" si="54">+$C$405/C317</f>
        <v>1.7384096974082945</v>
      </c>
    </row>
    <row r="318" spans="1:7">
      <c r="A318" s="97">
        <f>2019</f>
        <v>2019</v>
      </c>
      <c r="B318" s="98" t="s">
        <v>71</v>
      </c>
      <c r="C318" s="99">
        <f t="shared" ref="C318:C381" si="55">+C317*(1+D318/100)</f>
        <v>713.76982056452016</v>
      </c>
      <c r="D318" s="100">
        <v>0.88467931611559969</v>
      </c>
      <c r="E318" s="100">
        <f t="shared" si="53"/>
        <v>0.8913817548035663</v>
      </c>
      <c r="F318" s="101">
        <f t="shared" si="48"/>
        <v>7.6036730884909032</v>
      </c>
      <c r="G318" s="96">
        <f t="shared" si="54"/>
        <v>1.7231652112022884</v>
      </c>
    </row>
    <row r="319" spans="1:7">
      <c r="A319" s="97">
        <f>2019</f>
        <v>2019</v>
      </c>
      <c r="B319" s="98" t="s">
        <v>72</v>
      </c>
      <c r="C319" s="99">
        <f t="shared" si="55"/>
        <v>722.7301070417426</v>
      </c>
      <c r="D319" s="100">
        <v>1.2553467825433984</v>
      </c>
      <c r="E319" s="100">
        <f t="shared" si="53"/>
        <v>2.1579184695260656</v>
      </c>
      <c r="F319" s="101">
        <f t="shared" si="48"/>
        <v>8.266818870931969</v>
      </c>
      <c r="G319" s="96">
        <f t="shared" si="54"/>
        <v>1.7018016983369466</v>
      </c>
    </row>
    <row r="320" spans="1:7">
      <c r="A320" s="97">
        <f>2019</f>
        <v>2019</v>
      </c>
      <c r="B320" s="98" t="s">
        <v>73</v>
      </c>
      <c r="C320" s="99">
        <f t="shared" si="55"/>
        <v>729.36931930985429</v>
      </c>
      <c r="D320" s="100">
        <v>0.91862954143242526</v>
      </c>
      <c r="E320" s="100">
        <f t="shared" si="53"/>
        <v>3.0963712874995997</v>
      </c>
      <c r="F320" s="101">
        <f t="shared" si="48"/>
        <v>8.6424350577289477</v>
      </c>
      <c r="G320" s="96">
        <f t="shared" si="54"/>
        <v>1.6863107496304903</v>
      </c>
    </row>
    <row r="321" spans="1:7">
      <c r="A321" s="97">
        <f>2019</f>
        <v>2019</v>
      </c>
      <c r="B321" s="98" t="s">
        <v>74</v>
      </c>
      <c r="C321" s="99">
        <f t="shared" si="55"/>
        <v>732.61842318982031</v>
      </c>
      <c r="D321" s="100">
        <v>0.44546758328694036</v>
      </c>
      <c r="E321" s="100">
        <f t="shared" si="53"/>
        <v>3.5556322011305541</v>
      </c>
      <c r="F321" s="101">
        <f t="shared" si="48"/>
        <v>7.6429040566929007</v>
      </c>
      <c r="G321" s="96">
        <f t="shared" si="54"/>
        <v>1.6788320968611574</v>
      </c>
    </row>
    <row r="322" spans="1:7">
      <c r="A322" s="97">
        <f>2019</f>
        <v>2019</v>
      </c>
      <c r="B322" s="98" t="s">
        <v>75</v>
      </c>
      <c r="C322" s="99">
        <f t="shared" si="55"/>
        <v>738.44460946396066</v>
      </c>
      <c r="D322" s="100">
        <v>0.79525522287211547</v>
      </c>
      <c r="E322" s="100">
        <f t="shared" si="53"/>
        <v>4.3791637747882639</v>
      </c>
      <c r="F322" s="101">
        <f t="shared" si="48"/>
        <v>6.5101465915270218</v>
      </c>
      <c r="G322" s="96">
        <f t="shared" si="54"/>
        <v>1.6655864337552693</v>
      </c>
    </row>
    <row r="323" spans="1:7">
      <c r="A323" s="97">
        <f>2019</f>
        <v>2019</v>
      </c>
      <c r="B323" s="98" t="s">
        <v>76</v>
      </c>
      <c r="C323" s="99">
        <f t="shared" si="55"/>
        <v>741.36970298470567</v>
      </c>
      <c r="D323" s="100">
        <v>0.39611549509019905</v>
      </c>
      <c r="E323" s="100">
        <f t="shared" si="53"/>
        <v>4.792625816145768</v>
      </c>
      <c r="F323" s="101">
        <f t="shared" si="48"/>
        <v>6.392939150401844</v>
      </c>
      <c r="G323" s="96">
        <f t="shared" si="54"/>
        <v>1.6590148189914018</v>
      </c>
    </row>
    <row r="324" spans="1:7">
      <c r="A324" s="97">
        <f>2019</f>
        <v>2019</v>
      </c>
      <c r="B324" s="98" t="s">
        <v>77</v>
      </c>
      <c r="C324" s="99">
        <f t="shared" si="55"/>
        <v>736.42554491066687</v>
      </c>
      <c r="D324" s="100">
        <v>-0.66689508003010545</v>
      </c>
      <c r="E324" s="100">
        <f t="shared" si="53"/>
        <v>4.0937689503435459</v>
      </c>
      <c r="F324" s="101">
        <f t="shared" si="48"/>
        <v>4.9488582353419019</v>
      </c>
      <c r="G324" s="96">
        <f t="shared" si="54"/>
        <v>1.6701529870912895</v>
      </c>
    </row>
    <row r="325" spans="1:7">
      <c r="A325" s="97">
        <f>2019</f>
        <v>2019</v>
      </c>
      <c r="B325" s="98" t="s">
        <v>79</v>
      </c>
      <c r="C325" s="99">
        <f t="shared" si="55"/>
        <v>736.38554363175058</v>
      </c>
      <c r="D325" s="100">
        <v>-5.4318157745480988E-3</v>
      </c>
      <c r="E325" s="100">
        <f t="shared" si="53"/>
        <v>4.0881147685813746</v>
      </c>
      <c r="F325" s="101">
        <f t="shared" si="48"/>
        <v>3.3674774310648914</v>
      </c>
      <c r="G325" s="96">
        <f t="shared" si="54"/>
        <v>1.6702437116526925</v>
      </c>
    </row>
    <row r="326" spans="1:7">
      <c r="A326" s="97">
        <f>2019</f>
        <v>2019</v>
      </c>
      <c r="B326" s="98" t="s">
        <v>78</v>
      </c>
      <c r="C326" s="99">
        <f t="shared" si="55"/>
        <v>741.35670256905792</v>
      </c>
      <c r="D326" s="100">
        <v>0.67507557424202336</v>
      </c>
      <c r="E326" s="100">
        <f t="shared" si="53"/>
        <v>4.7907882070730823</v>
      </c>
      <c r="F326" s="101">
        <f t="shared" si="48"/>
        <v>3.1514546031357282</v>
      </c>
      <c r="G326" s="96">
        <f t="shared" si="54"/>
        <v>1.6590439114406073</v>
      </c>
    </row>
    <row r="327" spans="1:7">
      <c r="A327" s="97">
        <f>2019</f>
        <v>2019</v>
      </c>
      <c r="B327" s="98" t="s">
        <v>68</v>
      </c>
      <c r="C327" s="99">
        <f t="shared" si="55"/>
        <v>743.58177370877002</v>
      </c>
      <c r="D327" s="100">
        <v>0.30013502703913897</v>
      </c>
      <c r="E327" s="100">
        <f t="shared" si="53"/>
        <v>5.1053020675928984</v>
      </c>
      <c r="F327" s="101">
        <f t="shared" si="48"/>
        <v>3.9699873875435943</v>
      </c>
      <c r="G327" s="96">
        <f t="shared" si="54"/>
        <v>1.6540794396671137</v>
      </c>
    </row>
    <row r="328" spans="1:7">
      <c r="A328" s="97">
        <f>2019</f>
        <v>2019</v>
      </c>
      <c r="B328" s="98" t="s">
        <v>69</v>
      </c>
      <c r="C328" s="99">
        <f t="shared" si="55"/>
        <v>759.13627101532336</v>
      </c>
      <c r="D328" s="100">
        <v>2.0918341272637697</v>
      </c>
      <c r="E328" s="100">
        <f t="shared" si="53"/>
        <v>7.3039306458064779</v>
      </c>
      <c r="F328" s="101">
        <f t="shared" si="48"/>
        <v>7.3039306458064779</v>
      </c>
      <c r="G328" s="96">
        <f t="shared" si="54"/>
        <v>1.6201877983749431</v>
      </c>
    </row>
    <row r="329" spans="1:7">
      <c r="A329" s="97">
        <f>2020</f>
        <v>2020</v>
      </c>
      <c r="B329" s="98" t="s">
        <v>70</v>
      </c>
      <c r="C329" s="99">
        <f t="shared" si="55"/>
        <v>762.75738678920982</v>
      </c>
      <c r="D329" s="100">
        <v>0.47700471076732587</v>
      </c>
      <c r="E329" s="100">
        <f t="shared" ref="E329:E340" si="56">100*((C329/$C$328-1))</f>
        <v>0.47700471076732587</v>
      </c>
      <c r="F329" s="101">
        <f t="shared" ref="F329:F389" si="57">+((C329/C317)-1)*100</f>
        <v>7.8086130082771543</v>
      </c>
      <c r="G329" s="96">
        <f t="shared" si="54"/>
        <v>1.6124961159409645</v>
      </c>
    </row>
    <row r="330" spans="1:7">
      <c r="A330" s="97">
        <f>2020</f>
        <v>2020</v>
      </c>
      <c r="B330" s="98" t="s">
        <v>71</v>
      </c>
      <c r="C330" s="99">
        <f t="shared" si="55"/>
        <v>762.4473768776096</v>
      </c>
      <c r="D330" s="100">
        <v>-4.0643318172928211E-2</v>
      </c>
      <c r="E330" s="100">
        <f t="shared" si="56"/>
        <v>0.43616752205208886</v>
      </c>
      <c r="F330" s="101">
        <f t="shared" si="57"/>
        <v>6.8197834807011581</v>
      </c>
      <c r="G330" s="96">
        <f t="shared" si="54"/>
        <v>1.6131517543410936</v>
      </c>
    </row>
    <row r="331" spans="1:7">
      <c r="A331" s="97">
        <f>2020</f>
        <v>2020</v>
      </c>
      <c r="B331" s="98" t="s">
        <v>72</v>
      </c>
      <c r="C331" s="99">
        <f t="shared" si="55"/>
        <v>771.93268014060675</v>
      </c>
      <c r="D331" s="100">
        <v>1.2440600559007198</v>
      </c>
      <c r="E331" s="100">
        <f t="shared" si="56"/>
        <v>1.6856537638714864</v>
      </c>
      <c r="F331" s="101">
        <f t="shared" si="57"/>
        <v>6.8078764976678086</v>
      </c>
      <c r="G331" s="96">
        <f t="shared" si="54"/>
        <v>1.5933297750509123</v>
      </c>
    </row>
    <row r="332" spans="1:7">
      <c r="A332" s="97">
        <f>2020</f>
        <v>2020</v>
      </c>
      <c r="B332" s="98" t="s">
        <v>73</v>
      </c>
      <c r="C332" s="99">
        <f t="shared" si="55"/>
        <v>778.12587814880305</v>
      </c>
      <c r="D332" s="100">
        <v>0.80229768314359351</v>
      </c>
      <c r="E332" s="100">
        <f t="shared" si="56"/>
        <v>2.5014754081084334</v>
      </c>
      <c r="F332" s="101">
        <f t="shared" si="57"/>
        <v>6.6847559320267758</v>
      </c>
      <c r="G332" s="96">
        <f t="shared" si="54"/>
        <v>1.5806482705972613</v>
      </c>
    </row>
    <row r="333" spans="1:7">
      <c r="A333" s="97">
        <f>2020</f>
        <v>2020</v>
      </c>
      <c r="B333" s="98" t="s">
        <v>74</v>
      </c>
      <c r="C333" s="99">
        <f t="shared" si="55"/>
        <v>780.30494781776144</v>
      </c>
      <c r="D333" s="100">
        <v>0.28004076591598981</v>
      </c>
      <c r="E333" s="100">
        <f t="shared" si="56"/>
        <v>2.7885213249164931</v>
      </c>
      <c r="F333" s="101">
        <f t="shared" si="57"/>
        <v>6.5090534333431149</v>
      </c>
      <c r="G333" s="96">
        <f t="shared" si="54"/>
        <v>1.5762341723483875</v>
      </c>
    </row>
    <row r="334" spans="1:7">
      <c r="A334" s="97">
        <f>2020</f>
        <v>2020</v>
      </c>
      <c r="B334" s="98" t="s">
        <v>75</v>
      </c>
      <c r="C334" s="99">
        <f t="shared" si="55"/>
        <v>792.45433625657563</v>
      </c>
      <c r="D334" s="100">
        <v>1.5570051776285343</v>
      </c>
      <c r="E334" s="100">
        <f t="shared" si="56"/>
        <v>4.3889439239532368</v>
      </c>
      <c r="F334" s="101">
        <f t="shared" si="57"/>
        <v>7.313984840626131</v>
      </c>
      <c r="G334" s="96">
        <f t="shared" si="54"/>
        <v>1.5520683871993577</v>
      </c>
    </row>
    <row r="335" spans="1:7">
      <c r="A335" s="97">
        <f>2020</f>
        <v>2020</v>
      </c>
      <c r="B335" s="98" t="s">
        <v>76</v>
      </c>
      <c r="C335" s="99">
        <f t="shared" si="55"/>
        <v>810.10890070622804</v>
      </c>
      <c r="D335" s="100">
        <v>2.2278336608074767</v>
      </c>
      <c r="E335" s="100">
        <f t="shared" si="56"/>
        <v>6.714555954852508</v>
      </c>
      <c r="F335" s="101">
        <f t="shared" si="57"/>
        <v>9.2719189150544992</v>
      </c>
      <c r="G335" s="96">
        <f t="shared" si="54"/>
        <v>1.5182444268056481</v>
      </c>
    </row>
    <row r="336" spans="1:7">
      <c r="A336" s="97">
        <f>2020</f>
        <v>2020</v>
      </c>
      <c r="B336" s="98" t="s">
        <v>77</v>
      </c>
      <c r="C336" s="99">
        <f t="shared" si="55"/>
        <v>832.33961146389049</v>
      </c>
      <c r="D336" s="100">
        <v>2.7441632524074722</v>
      </c>
      <c r="E336" s="100">
        <f t="shared" si="56"/>
        <v>9.6429775843353873</v>
      </c>
      <c r="F336" s="101">
        <f t="shared" si="57"/>
        <v>13.024272068788513</v>
      </c>
      <c r="G336" s="96">
        <f t="shared" si="54"/>
        <v>1.477694088642133</v>
      </c>
    </row>
    <row r="337" spans="1:7">
      <c r="A337" s="97">
        <f>2020</f>
        <v>2020</v>
      </c>
      <c r="B337" s="98" t="s">
        <v>79</v>
      </c>
      <c r="C337" s="99">
        <f t="shared" si="55"/>
        <v>868.4697666129498</v>
      </c>
      <c r="D337" s="100">
        <v>4.3407948692379072</v>
      </c>
      <c r="E337" s="100">
        <f t="shared" si="56"/>
        <v>14.402354329795886</v>
      </c>
      <c r="F337" s="101">
        <f t="shared" si="57"/>
        <v>17.936829983079015</v>
      </c>
      <c r="G337" s="96">
        <f t="shared" si="54"/>
        <v>1.4162189299918699</v>
      </c>
    </row>
    <row r="338" spans="1:7">
      <c r="A338" s="97">
        <f>2020</f>
        <v>2020</v>
      </c>
      <c r="B338" s="98" t="s">
        <v>78</v>
      </c>
      <c r="C338" s="99">
        <f t="shared" si="55"/>
        <v>896.53366386856283</v>
      </c>
      <c r="D338" s="100">
        <v>3.2314190239532303</v>
      </c>
      <c r="E338" s="100">
        <f t="shared" si="56"/>
        <v>18.099173771459288</v>
      </c>
      <c r="F338" s="101">
        <f t="shared" si="57"/>
        <v>20.931484231782484</v>
      </c>
      <c r="G338" s="96">
        <f t="shared" si="54"/>
        <v>1.371887496444526</v>
      </c>
    </row>
    <row r="339" spans="1:7">
      <c r="A339" s="97">
        <f>2020</f>
        <v>2020</v>
      </c>
      <c r="B339" s="98" t="s">
        <v>68</v>
      </c>
      <c r="C339" s="99">
        <f t="shared" si="55"/>
        <v>925.91660329643673</v>
      </c>
      <c r="D339" s="100">
        <v>3.2773938795656488</v>
      </c>
      <c r="E339" s="100">
        <f t="shared" si="56"/>
        <v>21.96974886446268</v>
      </c>
      <c r="F339" s="101">
        <f t="shared" si="57"/>
        <v>24.521153696147447</v>
      </c>
      <c r="G339" s="96">
        <f t="shared" si="54"/>
        <v>1.3283521639249711</v>
      </c>
    </row>
    <row r="340" spans="1:7">
      <c r="A340" s="97">
        <f>2020</f>
        <v>2020</v>
      </c>
      <c r="B340" s="98" t="s">
        <v>69</v>
      </c>
      <c r="C340" s="99">
        <f t="shared" si="55"/>
        <v>934.78788692807086</v>
      </c>
      <c r="D340" s="100">
        <v>0.95810827887206074</v>
      </c>
      <c r="E340" s="100">
        <f t="shared" si="56"/>
        <v>23.138351126052559</v>
      </c>
      <c r="F340" s="101">
        <f t="shared" si="57"/>
        <v>23.138351126052559</v>
      </c>
      <c r="G340" s="96">
        <f t="shared" si="54"/>
        <v>1.3157458935895703</v>
      </c>
    </row>
    <row r="341" spans="1:7">
      <c r="A341" s="97">
        <f>2021</f>
        <v>2021</v>
      </c>
      <c r="B341" s="98" t="s">
        <v>70</v>
      </c>
      <c r="C341" s="99">
        <f t="shared" si="55"/>
        <v>958.87465702744362</v>
      </c>
      <c r="D341" s="100">
        <v>2.5767096938458911</v>
      </c>
      <c r="E341" s="100">
        <f t="shared" ref="E341:E352" si="58">100*((C341/$C$340-1))</f>
        <v>2.5767096938458911</v>
      </c>
      <c r="F341" s="101">
        <f t="shared" si="57"/>
        <v>25.711618613590879</v>
      </c>
      <c r="G341" s="96">
        <f t="shared" si="54"/>
        <v>1.2826945780544068</v>
      </c>
    </row>
    <row r="342" spans="1:7">
      <c r="A342" s="97">
        <f>2021</f>
        <v>2021</v>
      </c>
      <c r="B342" s="98" t="s">
        <v>71</v>
      </c>
      <c r="C342" s="99">
        <f t="shared" si="55"/>
        <v>983.09443137921255</v>
      </c>
      <c r="D342" s="100">
        <v>2.525854049250964</v>
      </c>
      <c r="E342" s="100">
        <f t="shared" si="58"/>
        <v>5.1676476692362971</v>
      </c>
      <c r="F342" s="101">
        <f t="shared" si="57"/>
        <v>28.939315839107671</v>
      </c>
      <c r="G342" s="96">
        <f t="shared" si="54"/>
        <v>1.2510937752717779</v>
      </c>
    </row>
    <row r="343" spans="1:7">
      <c r="A343" s="97">
        <f>2021</f>
        <v>2021</v>
      </c>
      <c r="B343" s="98" t="s">
        <v>72</v>
      </c>
      <c r="C343" s="99">
        <f t="shared" si="55"/>
        <v>1011.9803549165531</v>
      </c>
      <c r="D343" s="100">
        <v>2.9382654010984055</v>
      </c>
      <c r="E343" s="100">
        <f t="shared" si="58"/>
        <v>8.2577522738505493</v>
      </c>
      <c r="F343" s="101">
        <f t="shared" si="57"/>
        <v>31.096970105245703</v>
      </c>
      <c r="G343" s="96">
        <f t="shared" si="54"/>
        <v>1.2153826085925361</v>
      </c>
    </row>
    <row r="344" spans="1:7">
      <c r="A344" s="97">
        <f>2021</f>
        <v>2021</v>
      </c>
      <c r="B344" s="98" t="s">
        <v>73</v>
      </c>
      <c r="C344" s="99">
        <f t="shared" si="55"/>
        <v>1027.2438429189913</v>
      </c>
      <c r="D344" s="100">
        <v>1.5082790815338365</v>
      </c>
      <c r="E344" s="100">
        <f t="shared" si="58"/>
        <v>9.8905813055357505</v>
      </c>
      <c r="F344" s="101">
        <f t="shared" si="57"/>
        <v>32.015124000611728</v>
      </c>
      <c r="G344" s="96">
        <f t="shared" si="54"/>
        <v>1.1973236267913796</v>
      </c>
    </row>
    <row r="345" spans="1:7">
      <c r="A345" s="97">
        <f>2021</f>
        <v>2021</v>
      </c>
      <c r="B345" s="98" t="s">
        <v>74</v>
      </c>
      <c r="C345" s="99">
        <f t="shared" si="55"/>
        <v>1069.323188274858</v>
      </c>
      <c r="D345" s="100">
        <v>4.0963346381609922</v>
      </c>
      <c r="E345" s="100">
        <f t="shared" si="58"/>
        <v>14.39206725163087</v>
      </c>
      <c r="F345" s="101">
        <f t="shared" si="57"/>
        <v>37.039139795970669</v>
      </c>
      <c r="G345" s="96">
        <f t="shared" si="54"/>
        <v>1.1502072872721967</v>
      </c>
    </row>
    <row r="346" spans="1:7">
      <c r="A346" s="97">
        <f>2021</f>
        <v>2021</v>
      </c>
      <c r="B346" s="98" t="s">
        <v>75</v>
      </c>
      <c r="C346" s="99">
        <f t="shared" si="55"/>
        <v>1075.7673943082532</v>
      </c>
      <c r="D346" s="100">
        <v>0.60264343877098892</v>
      </c>
      <c r="E346" s="100">
        <f t="shared" si="58"/>
        <v>15.081443539397332</v>
      </c>
      <c r="F346" s="101">
        <f t="shared" si="57"/>
        <v>35.75134176058674</v>
      </c>
      <c r="G346" s="96">
        <f t="shared" si="54"/>
        <v>1.1433171614145889</v>
      </c>
    </row>
    <row r="347" spans="1:7">
      <c r="A347" s="97">
        <f>2021</f>
        <v>2021</v>
      </c>
      <c r="B347" s="98" t="s">
        <v>76</v>
      </c>
      <c r="C347" s="99">
        <f t="shared" si="55"/>
        <v>1084.1296616656789</v>
      </c>
      <c r="D347" s="100">
        <v>0.77733043422485437</v>
      </c>
      <c r="E347" s="100">
        <f t="shared" si="58"/>
        <v>15.976006624174355</v>
      </c>
      <c r="F347" s="101">
        <f t="shared" si="57"/>
        <v>33.825175938761816</v>
      </c>
      <c r="G347" s="96">
        <f t="shared" si="54"/>
        <v>1.1344983603835457</v>
      </c>
    </row>
    <row r="348" spans="1:7">
      <c r="A348" s="97">
        <f>2021</f>
        <v>2021</v>
      </c>
      <c r="B348" s="98" t="s">
        <v>77</v>
      </c>
      <c r="C348" s="99">
        <f t="shared" si="55"/>
        <v>1091.3248917107253</v>
      </c>
      <c r="D348" s="100">
        <v>0.66368722298322247</v>
      </c>
      <c r="E348" s="100">
        <f t="shared" si="58"/>
        <v>16.745724561865181</v>
      </c>
      <c r="F348" s="101">
        <f t="shared" si="57"/>
        <v>31.115337619381144</v>
      </c>
      <c r="G348" s="96">
        <f t="shared" si="54"/>
        <v>1.1270184827131193</v>
      </c>
    </row>
    <row r="349" spans="1:7">
      <c r="A349" s="97">
        <f>2021</f>
        <v>2021</v>
      </c>
      <c r="B349" s="98" t="s">
        <v>79</v>
      </c>
      <c r="C349" s="99">
        <f t="shared" si="55"/>
        <v>1084.3466686037991</v>
      </c>
      <c r="D349" s="100">
        <v>-0.63942673349889345</v>
      </c>
      <c r="E349" s="100">
        <f t="shared" si="58"/>
        <v>15.999221188799639</v>
      </c>
      <c r="F349" s="101">
        <f t="shared" si="57"/>
        <v>24.857157990976898</v>
      </c>
      <c r="G349" s="96">
        <f t="shared" si="54"/>
        <v>1.1342713167427825</v>
      </c>
    </row>
    <row r="350" spans="1:7">
      <c r="A350" s="97">
        <f>2021</f>
        <v>2021</v>
      </c>
      <c r="B350" s="98" t="s">
        <v>78</v>
      </c>
      <c r="C350" s="99">
        <f t="shared" si="55"/>
        <v>1091.317891486915</v>
      </c>
      <c r="D350" s="100">
        <v>0.64289614059422906</v>
      </c>
      <c r="E350" s="100">
        <f t="shared" si="58"/>
        <v>16.74497570494178</v>
      </c>
      <c r="F350" s="101">
        <f t="shared" si="57"/>
        <v>21.726370739705846</v>
      </c>
      <c r="G350" s="96">
        <f t="shared" si="54"/>
        <v>1.1270257119372336</v>
      </c>
    </row>
    <row r="351" spans="1:7">
      <c r="A351" s="97">
        <f>2021</f>
        <v>2021</v>
      </c>
      <c r="B351" s="98" t="s">
        <v>68</v>
      </c>
      <c r="C351" s="99">
        <f t="shared" si="55"/>
        <v>1091.5178978814959</v>
      </c>
      <c r="D351" s="100">
        <v>1.8327051736344302E-2</v>
      </c>
      <c r="E351" s="100">
        <f t="shared" si="58"/>
        <v>16.766371617038821</v>
      </c>
      <c r="F351" s="101">
        <f t="shared" si="57"/>
        <v>17.885119890440194</v>
      </c>
      <c r="G351" s="96">
        <f t="shared" si="54"/>
        <v>1.126819199199621</v>
      </c>
    </row>
    <row r="352" spans="1:7">
      <c r="A352" s="97">
        <f>2021</f>
        <v>2021</v>
      </c>
      <c r="B352" s="98" t="s">
        <v>69</v>
      </c>
      <c r="C352" s="99">
        <f t="shared" si="55"/>
        <v>1101.0232017839514</v>
      </c>
      <c r="D352" s="100">
        <v>0.87083353565746702</v>
      </c>
      <c r="E352" s="100">
        <f t="shared" si="58"/>
        <v>17.783212339450415</v>
      </c>
      <c r="F352" s="101">
        <f t="shared" si="57"/>
        <v>17.783212339450415</v>
      </c>
      <c r="G352" s="96">
        <f t="shared" si="54"/>
        <v>1.1170911944544351</v>
      </c>
    </row>
    <row r="353" spans="1:7">
      <c r="A353" s="97">
        <f>2022</f>
        <v>2022</v>
      </c>
      <c r="B353" s="98" t="s">
        <v>70</v>
      </c>
      <c r="C353" s="99">
        <f t="shared" si="55"/>
        <v>1121.0348415937392</v>
      </c>
      <c r="D353" s="100">
        <v>1.8175493284213751</v>
      </c>
      <c r="E353" s="100">
        <f t="shared" ref="E353:E364" si="59">100*((C353/$C$352-1))</f>
        <v>1.8175493284213751</v>
      </c>
      <c r="F353" s="101">
        <f t="shared" si="57"/>
        <v>16.911510110090909</v>
      </c>
      <c r="G353" s="96">
        <f t="shared" si="54"/>
        <v>1.0971499528545516</v>
      </c>
    </row>
    <row r="354" spans="1:7">
      <c r="A354" s="97">
        <f>2022</f>
        <v>2022</v>
      </c>
      <c r="B354" s="98" t="s">
        <v>71</v>
      </c>
      <c r="C354" s="99">
        <f t="shared" si="55"/>
        <v>1141.5824985410036</v>
      </c>
      <c r="D354" s="100">
        <v>1.8329186734332481</v>
      </c>
      <c r="E354" s="100">
        <f t="shared" si="59"/>
        <v>3.6837822028941147</v>
      </c>
      <c r="F354" s="101">
        <f t="shared" si="57"/>
        <v>16.121347258517503</v>
      </c>
      <c r="G354" s="96">
        <f t="shared" si="54"/>
        <v>1.0774020495012901</v>
      </c>
    </row>
    <row r="355" spans="1:7">
      <c r="A355" s="97">
        <f>2022</f>
        <v>2022</v>
      </c>
      <c r="B355" s="98" t="s">
        <v>72</v>
      </c>
      <c r="C355" s="99">
        <f t="shared" si="55"/>
        <v>1161.4551339065574</v>
      </c>
      <c r="D355" s="100">
        <v>1.7407971295068103</v>
      </c>
      <c r="E355" s="100">
        <f t="shared" si="59"/>
        <v>5.4887065072461771</v>
      </c>
      <c r="F355" s="101">
        <f t="shared" si="57"/>
        <v>14.770521805468228</v>
      </c>
      <c r="G355" s="96">
        <f t="shared" si="54"/>
        <v>1.0589675723985679</v>
      </c>
    </row>
    <row r="356" spans="1:7">
      <c r="A356" s="97">
        <f>2022</f>
        <v>2022</v>
      </c>
      <c r="B356" s="98" t="s">
        <v>73</v>
      </c>
      <c r="C356" s="99">
        <f t="shared" si="55"/>
        <v>1177.8466579744318</v>
      </c>
      <c r="D356" s="100">
        <v>1.4112920585009014</v>
      </c>
      <c r="E356" s="100">
        <f t="shared" si="59"/>
        <v>6.9774602447982836</v>
      </c>
      <c r="F356" s="101">
        <f t="shared" si="57"/>
        <v>14.660863250101475</v>
      </c>
      <c r="G356" s="96">
        <f t="shared" si="54"/>
        <v>1.0442304312498885</v>
      </c>
    </row>
    <row r="357" spans="1:7">
      <c r="A357" s="97">
        <f>2022</f>
        <v>2022</v>
      </c>
      <c r="B357" s="98" t="s">
        <v>74</v>
      </c>
      <c r="C357" s="99">
        <f t="shared" si="55"/>
        <v>1183.9908544159557</v>
      </c>
      <c r="D357" s="100">
        <v>0.52164654880375583</v>
      </c>
      <c r="E357" s="100">
        <f t="shared" si="59"/>
        <v>7.5355044741631794</v>
      </c>
      <c r="F357" s="101">
        <f t="shared" si="57"/>
        <v>10.723387222724634</v>
      </c>
      <c r="G357" s="96">
        <f t="shared" si="54"/>
        <v>1.0388115068756951</v>
      </c>
    </row>
    <row r="358" spans="1:7">
      <c r="A358" s="97">
        <f>2022</f>
        <v>2022</v>
      </c>
      <c r="B358" s="98" t="s">
        <v>75</v>
      </c>
      <c r="C358" s="99">
        <f t="shared" si="55"/>
        <v>1190.9200759562098</v>
      </c>
      <c r="D358" s="100">
        <v>0.58524282636220892</v>
      </c>
      <c r="E358" s="100">
        <f t="shared" si="59"/>
        <v>8.164848299890636</v>
      </c>
      <c r="F358" s="101">
        <f t="shared" si="57"/>
        <v>10.70423608832305</v>
      </c>
      <c r="G358" s="96">
        <f t="shared" si="54"/>
        <v>1.0327673102792718</v>
      </c>
    </row>
    <row r="359" spans="1:7">
      <c r="A359" s="97">
        <f>2022</f>
        <v>2022</v>
      </c>
      <c r="B359" s="98" t="s">
        <v>76</v>
      </c>
      <c r="C359" s="99">
        <f t="shared" si="55"/>
        <v>1193.3751544496897</v>
      </c>
      <c r="D359" s="100">
        <v>0.20614972768082662</v>
      </c>
      <c r="E359" s="100">
        <f t="shared" si="59"/>
        <v>8.3878298401072193</v>
      </c>
      <c r="F359" s="101">
        <f t="shared" si="57"/>
        <v>10.076792163048442</v>
      </c>
      <c r="G359" s="96">
        <f t="shared" si="54"/>
        <v>1.0306426432767943</v>
      </c>
    </row>
    <row r="360" spans="1:7">
      <c r="A360" s="97">
        <f>2022</f>
        <v>2022</v>
      </c>
      <c r="B360" s="98" t="s">
        <v>77</v>
      </c>
      <c r="C360" s="99">
        <f t="shared" si="55"/>
        <v>1185.0418880194782</v>
      </c>
      <c r="D360" s="100">
        <v>-0.698293943789563</v>
      </c>
      <c r="E360" s="100">
        <f t="shared" si="59"/>
        <v>7.6309641885288215</v>
      </c>
      <c r="F360" s="101">
        <f t="shared" si="57"/>
        <v>8.5874515481677562</v>
      </c>
      <c r="G360" s="96">
        <f t="shared" si="54"/>
        <v>1.0378901674593504</v>
      </c>
    </row>
    <row r="361" spans="1:7">
      <c r="A361" s="97">
        <f>2022</f>
        <v>2022</v>
      </c>
      <c r="B361" s="98" t="s">
        <v>79</v>
      </c>
      <c r="C361" s="99">
        <f t="shared" si="55"/>
        <v>1173.8305295712482</v>
      </c>
      <c r="D361" s="100">
        <v>-0.94607275587255124</v>
      </c>
      <c r="E361" s="100">
        <f t="shared" si="59"/>
        <v>6.6126969594582086</v>
      </c>
      <c r="F361" s="101">
        <f t="shared" si="57"/>
        <v>8.2523295877939375</v>
      </c>
      <c r="G361" s="96">
        <f t="shared" si="54"/>
        <v>1.0478031475737202</v>
      </c>
    </row>
    <row r="362" spans="1:7">
      <c r="A362" s="97">
        <f>2022</f>
        <v>2022</v>
      </c>
      <c r="B362" s="98" t="s">
        <v>78</v>
      </c>
      <c r="C362" s="99">
        <f t="shared" si="55"/>
        <v>1162.4281650161936</v>
      </c>
      <c r="D362" s="100">
        <v>-0.97138081416398014</v>
      </c>
      <c r="E362" s="100">
        <f t="shared" si="59"/>
        <v>5.5770816757312325</v>
      </c>
      <c r="F362" s="101">
        <f t="shared" si="57"/>
        <v>6.5159999743421571</v>
      </c>
      <c r="G362" s="96">
        <f t="shared" si="54"/>
        <v>1.0580811448127176</v>
      </c>
    </row>
    <row r="363" spans="1:7">
      <c r="A363" s="97">
        <f>2022</f>
        <v>2022</v>
      </c>
      <c r="B363" s="98" t="s">
        <v>68</v>
      </c>
      <c r="C363" s="99">
        <f t="shared" si="55"/>
        <v>1155.8659552099955</v>
      </c>
      <c r="D363" s="100">
        <v>-0.56452605018449953</v>
      </c>
      <c r="E363" s="100">
        <f t="shared" si="59"/>
        <v>4.9810715466471756</v>
      </c>
      <c r="F363" s="101">
        <f t="shared" si="57"/>
        <v>5.8952819237679366</v>
      </c>
      <c r="G363" s="96">
        <f t="shared" si="54"/>
        <v>1.0640881998980818</v>
      </c>
    </row>
    <row r="364" spans="1:7">
      <c r="A364" s="97">
        <f>2022</f>
        <v>2022</v>
      </c>
      <c r="B364" s="98" t="s">
        <v>69</v>
      </c>
      <c r="C364" s="99">
        <f t="shared" si="55"/>
        <v>1161.043120733721</v>
      </c>
      <c r="D364" s="100">
        <v>0.4479036258823843</v>
      </c>
      <c r="E364" s="100">
        <f t="shared" si="59"/>
        <v>5.4512855725947773</v>
      </c>
      <c r="F364" s="101">
        <f t="shared" si="57"/>
        <v>5.4512855725947773</v>
      </c>
      <c r="G364" s="96">
        <f t="shared" si="54"/>
        <v>1.0593433625666016</v>
      </c>
    </row>
    <row r="365" spans="1:7">
      <c r="A365" s="97">
        <f>2023</f>
        <v>2023</v>
      </c>
      <c r="B365" s="98" t="s">
        <v>70</v>
      </c>
      <c r="C365" s="99">
        <f t="shared" si="55"/>
        <v>1163.5021993550924</v>
      </c>
      <c r="D365" s="100">
        <v>0.21179907769639517</v>
      </c>
      <c r="E365" s="100">
        <f t="shared" ref="E365:E376" si="60">100*((C365/$C$364-1))</f>
        <v>0.21179907769639517</v>
      </c>
      <c r="F365" s="101">
        <f t="shared" si="57"/>
        <v>3.788228178615638</v>
      </c>
      <c r="G365" s="96">
        <f t="shared" si="54"/>
        <v>1.057104425143859</v>
      </c>
    </row>
    <row r="366" spans="1:7">
      <c r="A366" s="97">
        <f>2023</f>
        <v>2023</v>
      </c>
      <c r="B366" s="98" t="s">
        <v>71</v>
      </c>
      <c r="C366" s="99">
        <f t="shared" si="55"/>
        <v>1162.798176846168</v>
      </c>
      <c r="D366" s="100">
        <v>-6.050891088257293E-2</v>
      </c>
      <c r="E366" s="100">
        <f t="shared" si="60"/>
        <v>0.151162009498651</v>
      </c>
      <c r="F366" s="101">
        <f t="shared" si="57"/>
        <v>1.8584446005679878</v>
      </c>
      <c r="G366" s="96">
        <f t="shared" si="54"/>
        <v>1.0577444547933754</v>
      </c>
    </row>
    <row r="367" spans="1:7">
      <c r="A367" s="97">
        <f>2023</f>
        <v>2023</v>
      </c>
      <c r="B367" s="98" t="s">
        <v>72</v>
      </c>
      <c r="C367" s="99">
        <f t="shared" si="55"/>
        <v>1163.3961959659646</v>
      </c>
      <c r="D367" s="100">
        <v>5.1429313504658403E-2</v>
      </c>
      <c r="E367" s="100">
        <f t="shared" si="60"/>
        <v>0.20266906458707989</v>
      </c>
      <c r="F367" s="101">
        <f t="shared" si="57"/>
        <v>0.16712329238912638</v>
      </c>
      <c r="G367" s="96">
        <f t="shared" si="54"/>
        <v>1.05720074370852</v>
      </c>
    </row>
    <row r="368" spans="1:7">
      <c r="A368" s="97">
        <f>2023</f>
        <v>2023</v>
      </c>
      <c r="B368" s="98" t="s">
        <v>73</v>
      </c>
      <c r="C368" s="99">
        <f t="shared" si="55"/>
        <v>1152.3438426014266</v>
      </c>
      <c r="D368" s="100">
        <v>-0.9500076932399959</v>
      </c>
      <c r="E368" s="100">
        <f t="shared" si="60"/>
        <v>-0.74926400035830731</v>
      </c>
      <c r="F368" s="101">
        <f t="shared" si="57"/>
        <v>-2.1652067525379737</v>
      </c>
      <c r="G368" s="96">
        <f t="shared" si="54"/>
        <v>1.0673405611525399</v>
      </c>
    </row>
    <row r="369" spans="1:7">
      <c r="A369" s="97">
        <f>2023</f>
        <v>2023</v>
      </c>
      <c r="B369" s="98" t="s">
        <v>74</v>
      </c>
      <c r="C369" s="99">
        <f t="shared" si="55"/>
        <v>1131.0941632091833</v>
      </c>
      <c r="D369" s="100">
        <v>-1.8440398261921565</v>
      </c>
      <c r="E369" s="100">
        <f t="shared" si="60"/>
        <v>-2.5794870999805264</v>
      </c>
      <c r="F369" s="101">
        <f t="shared" si="57"/>
        <v>-4.4676604561160627</v>
      </c>
      <c r="G369" s="96">
        <f t="shared" si="54"/>
        <v>1.0873925121434973</v>
      </c>
    </row>
    <row r="370" spans="1:7">
      <c r="A370" s="97">
        <f>2023</f>
        <v>2023</v>
      </c>
      <c r="B370" s="98" t="s">
        <v>75</v>
      </c>
      <c r="C370" s="99">
        <f t="shared" si="55"/>
        <v>1109.2654653046284</v>
      </c>
      <c r="D370" s="100">
        <v>-1.9298745068776268</v>
      </c>
      <c r="E370" s="100">
        <f t="shared" si="60"/>
        <v>-4.459580742907443</v>
      </c>
      <c r="F370" s="101">
        <f t="shared" si="57"/>
        <v>-6.8564307798757662</v>
      </c>
      <c r="G370" s="96">
        <f t="shared" si="54"/>
        <v>1.1087907827952723</v>
      </c>
    </row>
    <row r="371" spans="1:7">
      <c r="A371" s="97">
        <f>2023</f>
        <v>2023</v>
      </c>
      <c r="B371" s="98" t="s">
        <v>76</v>
      </c>
      <c r="C371" s="99">
        <f t="shared" si="55"/>
        <v>1101.2392086900984</v>
      </c>
      <c r="D371" s="100">
        <v>-0.72356499553745124</v>
      </c>
      <c r="E371" s="100">
        <f t="shared" si="60"/>
        <v>-5.1508777732414917</v>
      </c>
      <c r="F371" s="101">
        <f t="shared" si="57"/>
        <v>-7.7206187355290385</v>
      </c>
      <c r="G371" s="96">
        <f t="shared" si="54"/>
        <v>1.116872078198045</v>
      </c>
    </row>
    <row r="372" spans="1:7">
      <c r="A372" s="97">
        <f>2023</f>
        <v>2023</v>
      </c>
      <c r="B372" s="98" t="s">
        <v>77</v>
      </c>
      <c r="C372" s="99">
        <f t="shared" si="55"/>
        <v>1099.7451609225795</v>
      </c>
      <c r="D372" s="100">
        <v>-0.13566968518093914</v>
      </c>
      <c r="E372" s="100">
        <f t="shared" si="60"/>
        <v>-5.2795592787634131</v>
      </c>
      <c r="F372" s="101">
        <f t="shared" si="57"/>
        <v>-7.1977816108637516</v>
      </c>
      <c r="G372" s="96">
        <f t="shared" si="54"/>
        <v>1.1183893935673948</v>
      </c>
    </row>
    <row r="373" spans="1:7">
      <c r="A373" s="97">
        <f>2023</f>
        <v>2023</v>
      </c>
      <c r="B373" s="98" t="s">
        <v>79</v>
      </c>
      <c r="C373" s="99">
        <f t="shared" si="55"/>
        <v>1103.775289773384</v>
      </c>
      <c r="D373" s="100">
        <v>0.36646024861100024</v>
      </c>
      <c r="E373" s="100">
        <f t="shared" si="60"/>
        <v>-4.9324465162109306</v>
      </c>
      <c r="F373" s="101">
        <f t="shared" si="57"/>
        <v>-5.9680880700429988</v>
      </c>
      <c r="G373" s="96">
        <f t="shared" ref="G373:G405" si="61">+$C$405/C373</f>
        <v>1.1143059053762658</v>
      </c>
    </row>
    <row r="374" spans="1:7">
      <c r="A374" s="97">
        <f>2023</f>
        <v>2023</v>
      </c>
      <c r="B374" s="98" t="s">
        <v>78</v>
      </c>
      <c r="C374" s="99">
        <f t="shared" si="55"/>
        <v>1109.2714654964661</v>
      </c>
      <c r="D374" s="100">
        <v>0.49794335622521668</v>
      </c>
      <c r="E374" s="100">
        <f t="shared" si="60"/>
        <v>-4.459063949712549</v>
      </c>
      <c r="F374" s="101">
        <f t="shared" si="57"/>
        <v>-4.5729018892954105</v>
      </c>
      <c r="G374" s="96">
        <f t="shared" si="61"/>
        <v>1.1087847852035089</v>
      </c>
    </row>
    <row r="375" spans="1:7">
      <c r="A375" s="97">
        <f>2023</f>
        <v>2023</v>
      </c>
      <c r="B375" s="98" t="s">
        <v>68</v>
      </c>
      <c r="C375" s="99">
        <f t="shared" si="55"/>
        <v>1115.8506758462036</v>
      </c>
      <c r="D375" s="100">
        <v>0.59311093401224202</v>
      </c>
      <c r="E375" s="100">
        <f t="shared" si="60"/>
        <v>-3.8924002115406475</v>
      </c>
      <c r="F375" s="101">
        <f t="shared" si="57"/>
        <v>-3.4619307873396177</v>
      </c>
      <c r="G375" s="96">
        <f t="shared" si="61"/>
        <v>1.1022472363250175</v>
      </c>
    </row>
    <row r="376" spans="1:7">
      <c r="A376" s="97">
        <f>2023</f>
        <v>2023</v>
      </c>
      <c r="B376" s="98" t="s">
        <v>69</v>
      </c>
      <c r="C376" s="99">
        <f t="shared" si="55"/>
        <v>1124.1079398464742</v>
      </c>
      <c r="D376" s="100">
        <v>0.73999722176165683</v>
      </c>
      <c r="E376" s="100">
        <f t="shared" si="60"/>
        <v>-3.1812066432042263</v>
      </c>
      <c r="F376" s="101">
        <f t="shared" si="57"/>
        <v>-3.1812066432042263</v>
      </c>
      <c r="G376" s="96">
        <f t="shared" si="61"/>
        <v>1.0941505526336386</v>
      </c>
    </row>
    <row r="377" spans="1:7">
      <c r="A377" s="97">
        <f>2024</f>
        <v>2024</v>
      </c>
      <c r="B377" s="98" t="s">
        <v>70</v>
      </c>
      <c r="C377" s="99">
        <f t="shared" si="55"/>
        <v>1124.9149656486079</v>
      </c>
      <c r="D377" s="100">
        <v>7.1792554213612192E-2</v>
      </c>
      <c r="E377" s="100">
        <f t="shared" ref="E377:E388" si="62">100*((C377/$C$376-1))</f>
        <v>7.1792554213612192E-2</v>
      </c>
      <c r="F377" s="101">
        <f t="shared" si="57"/>
        <v>-3.316472777436319</v>
      </c>
      <c r="G377" s="96">
        <f t="shared" si="61"/>
        <v>1.0933655975442689</v>
      </c>
    </row>
    <row r="378" spans="1:7">
      <c r="A378" s="97">
        <f>2024</f>
        <v>2024</v>
      </c>
      <c r="B378" s="98" t="s">
        <v>71</v>
      </c>
      <c r="C378" s="99">
        <f t="shared" si="55"/>
        <v>1119.0967796302507</v>
      </c>
      <c r="D378" s="100">
        <v>-0.51721118449183923</v>
      </c>
      <c r="E378" s="100">
        <f t="shared" si="62"/>
        <v>-0.44578994939826755</v>
      </c>
      <c r="F378" s="101">
        <f t="shared" si="57"/>
        <v>-3.7582959868794785</v>
      </c>
      <c r="G378" s="96">
        <f t="shared" si="61"/>
        <v>1.09905000710417</v>
      </c>
    </row>
    <row r="379" spans="1:7">
      <c r="A379" s="97">
        <f>2024</f>
        <v>2024</v>
      </c>
      <c r="B379" s="98" t="s">
        <v>72</v>
      </c>
      <c r="C379" s="99">
        <f t="shared" si="55"/>
        <v>1113.8726126037986</v>
      </c>
      <c r="D379" s="100">
        <v>-0.46681994994016707</v>
      </c>
      <c r="E379" s="100">
        <f t="shared" si="62"/>
        <v>-0.91052886291982382</v>
      </c>
      <c r="F379" s="101">
        <f t="shared" si="57"/>
        <v>-4.2568115259347783</v>
      </c>
      <c r="G379" s="96">
        <f t="shared" si="61"/>
        <v>1.1042046547205737</v>
      </c>
    </row>
    <row r="380" spans="1:7">
      <c r="A380" s="97">
        <f>2024</f>
        <v>2024</v>
      </c>
      <c r="B380" s="98" t="s">
        <v>73</v>
      </c>
      <c r="C380" s="99">
        <f t="shared" si="55"/>
        <v>1117.315722686508</v>
      </c>
      <c r="D380" s="100">
        <v>0.30911165637341753</v>
      </c>
      <c r="E380" s="100">
        <f t="shared" si="62"/>
        <v>-0.60423175739634516</v>
      </c>
      <c r="F380" s="101">
        <f t="shared" si="57"/>
        <v>-3.0397281280075461</v>
      </c>
      <c r="G380" s="96">
        <f t="shared" si="61"/>
        <v>1.1008019475869968</v>
      </c>
    </row>
    <row r="381" spans="1:7">
      <c r="A381" s="97">
        <f>2024</f>
        <v>2024</v>
      </c>
      <c r="B381" s="98" t="s">
        <v>74</v>
      </c>
      <c r="C381" s="99">
        <f t="shared" si="55"/>
        <v>1127.2690409128243</v>
      </c>
      <c r="D381" s="100">
        <v>0.8908241443505549</v>
      </c>
      <c r="E381" s="100">
        <f t="shared" si="62"/>
        <v>0.28120974457148673</v>
      </c>
      <c r="F381" s="101">
        <f t="shared" si="57"/>
        <v>-0.33817894396220849</v>
      </c>
      <c r="G381" s="96">
        <f t="shared" si="61"/>
        <v>1.0910823228205704</v>
      </c>
    </row>
    <row r="382" spans="1:7">
      <c r="A382" s="97">
        <f>2024</f>
        <v>2024</v>
      </c>
      <c r="B382" s="98" t="s">
        <v>75</v>
      </c>
      <c r="C382" s="99">
        <f t="shared" ref="C382:C389" si="63">+C381*(1+D382/100)</f>
        <v>1136.4453342961942</v>
      </c>
      <c r="D382" s="100">
        <v>0.81402868794651084</v>
      </c>
      <c r="E382" s="100">
        <f t="shared" si="62"/>
        <v>1.0975275605121126</v>
      </c>
      <c r="F382" s="101">
        <f t="shared" si="57"/>
        <v>2.4502582872803824</v>
      </c>
      <c r="G382" s="96">
        <f t="shared" si="61"/>
        <v>1.0822723156891574</v>
      </c>
    </row>
    <row r="383" spans="1:7">
      <c r="A383" s="97">
        <f>2024</f>
        <v>2024</v>
      </c>
      <c r="B383" s="98" t="s">
        <v>76</v>
      </c>
      <c r="C383" s="99">
        <f t="shared" si="63"/>
        <v>1143.3495550371254</v>
      </c>
      <c r="D383" s="100">
        <v>0.60752774749230909</v>
      </c>
      <c r="E383" s="100">
        <f t="shared" si="62"/>
        <v>1.7117230924709181</v>
      </c>
      <c r="F383" s="101">
        <f t="shared" si="57"/>
        <v>3.8239054707393194</v>
      </c>
      <c r="G383" s="96">
        <f t="shared" si="61"/>
        <v>1.0757369154378547</v>
      </c>
    </row>
    <row r="384" spans="1:7">
      <c r="A384" s="97">
        <f>2024</f>
        <v>2024</v>
      </c>
      <c r="B384" s="98" t="s">
        <v>77</v>
      </c>
      <c r="C384" s="99">
        <f t="shared" si="63"/>
        <v>1146.611659332739</v>
      </c>
      <c r="D384" s="100">
        <v>0.28531119649648495</v>
      </c>
      <c r="E384" s="100">
        <f t="shared" si="62"/>
        <v>2.0019180266032333</v>
      </c>
      <c r="F384" s="101">
        <f t="shared" si="57"/>
        <v>4.2615780523956204</v>
      </c>
      <c r="G384" s="96">
        <f t="shared" si="61"/>
        <v>1.0726764494254628</v>
      </c>
    </row>
    <row r="385" spans="1:7">
      <c r="A385" s="97">
        <f>2024</f>
        <v>2024</v>
      </c>
      <c r="B385" s="98" t="s">
        <v>79</v>
      </c>
      <c r="C385" s="99">
        <f t="shared" si="63"/>
        <v>1153.7548877151944</v>
      </c>
      <c r="D385" s="100">
        <v>0.62298584915945199</v>
      </c>
      <c r="E385" s="100">
        <f t="shared" si="62"/>
        <v>2.6373755417802069</v>
      </c>
      <c r="F385" s="101">
        <f t="shared" si="57"/>
        <v>4.528059144363672</v>
      </c>
      <c r="G385" s="96">
        <f t="shared" si="61"/>
        <v>1.0660352009763217</v>
      </c>
    </row>
    <row r="386" spans="1:7">
      <c r="A386" s="97">
        <f>2024</f>
        <v>2024</v>
      </c>
      <c r="B386" s="98" t="s">
        <v>78</v>
      </c>
      <c r="C386" s="99">
        <f t="shared" si="63"/>
        <v>1171.3094489675564</v>
      </c>
      <c r="D386" s="100">
        <v>1.5215156563388899</v>
      </c>
      <c r="E386" s="100">
        <f t="shared" si="62"/>
        <v>4.1990192799037374</v>
      </c>
      <c r="F386" s="101">
        <f t="shared" si="57"/>
        <v>5.5926782037365896</v>
      </c>
      <c r="G386" s="96">
        <f t="shared" si="61"/>
        <v>1.0500583980493001</v>
      </c>
    </row>
    <row r="387" spans="1:7">
      <c r="A387" s="97">
        <f>2024</f>
        <v>2024</v>
      </c>
      <c r="B387" s="98" t="s">
        <v>68</v>
      </c>
      <c r="C387" s="99">
        <f t="shared" si="63"/>
        <v>1186.4999346359725</v>
      </c>
      <c r="D387" s="100">
        <v>1.296880656243804</v>
      </c>
      <c r="E387" s="100">
        <f t="shared" si="62"/>
        <v>5.5503562049405542</v>
      </c>
      <c r="F387" s="101">
        <f t="shared" si="57"/>
        <v>6.3314259084166657</v>
      </c>
      <c r="G387" s="96">
        <f t="shared" si="61"/>
        <v>1.0366147419807799</v>
      </c>
    </row>
    <row r="388" spans="1:7">
      <c r="A388" s="97">
        <f>2024</f>
        <v>2024</v>
      </c>
      <c r="B388" s="98" t="s">
        <v>69</v>
      </c>
      <c r="C388" s="99">
        <f t="shared" si="63"/>
        <v>1197.6002895352099</v>
      </c>
      <c r="D388" s="100">
        <v>0.93555461531846795</v>
      </c>
      <c r="E388" s="100">
        <f t="shared" si="62"/>
        <v>6.5378374339009504</v>
      </c>
      <c r="F388" s="101">
        <f t="shared" si="57"/>
        <v>6.5378374339009504</v>
      </c>
      <c r="G388" s="96">
        <f t="shared" si="61"/>
        <v>1.0270065349434938</v>
      </c>
    </row>
    <row r="389" spans="1:7">
      <c r="A389" s="97">
        <f>2025</f>
        <v>2025</v>
      </c>
      <c r="B389" s="98" t="s">
        <v>70</v>
      </c>
      <c r="C389" s="99">
        <f t="shared" si="63"/>
        <v>1200.8133922641516</v>
      </c>
      <c r="D389" s="100">
        <v>0.26829508618344544</v>
      </c>
      <c r="E389" s="100">
        <f t="shared" ref="E389:E394" si="64">100*((C389/$C$388-1))</f>
        <v>0.26829508618344544</v>
      </c>
      <c r="F389" s="101">
        <f t="shared" si="57"/>
        <v>6.7470367924016283</v>
      </c>
      <c r="G389" s="96">
        <f t="shared" si="61"/>
        <v>1.0242584997189317</v>
      </c>
    </row>
    <row r="390" spans="1:7">
      <c r="A390" s="97">
        <f>2025</f>
        <v>2025</v>
      </c>
      <c r="B390" s="98" t="s">
        <v>71</v>
      </c>
      <c r="C390" s="99">
        <f t="shared" ref="C390:C395" si="65">+C389*(1+D390/100)</f>
        <v>1213.5527995669793</v>
      </c>
      <c r="D390" s="100">
        <v>1.060898169931912</v>
      </c>
      <c r="E390" s="100">
        <f t="shared" si="64"/>
        <v>1.3320395937747032</v>
      </c>
      <c r="F390" s="101">
        <f t="shared" ref="F390:F395" si="66">+((C390/C378)-1)*100</f>
        <v>8.440379925669772</v>
      </c>
      <c r="G390" s="96">
        <f t="shared" si="61"/>
        <v>1.0135062306656537</v>
      </c>
    </row>
    <row r="391" spans="1:7">
      <c r="A391" s="97">
        <f>2025</f>
        <v>2025</v>
      </c>
      <c r="B391" s="98" t="s">
        <v>72</v>
      </c>
      <c r="C391" s="99">
        <f t="shared" si="65"/>
        <v>1209.4706690535841</v>
      </c>
      <c r="D391" s="100">
        <v>-0.33637848430260187</v>
      </c>
      <c r="E391" s="100">
        <f t="shared" si="64"/>
        <v>0.99118041487624708</v>
      </c>
      <c r="F391" s="101">
        <f t="shared" si="66"/>
        <v>8.5824945660809995</v>
      </c>
      <c r="G391" s="96">
        <f t="shared" si="61"/>
        <v>1.016926954140456</v>
      </c>
    </row>
    <row r="392" spans="1:7">
      <c r="A392" s="97">
        <f>2025</f>
        <v>2025</v>
      </c>
      <c r="B392" s="98" t="s">
        <v>73</v>
      </c>
      <c r="C392" s="99">
        <f t="shared" si="65"/>
        <v>1212.334760623982</v>
      </c>
      <c r="D392" s="100">
        <v>0.23680537640811128</v>
      </c>
      <c r="E392" s="100">
        <f t="shared" si="64"/>
        <v>1.2303329597966872</v>
      </c>
      <c r="F392" s="101">
        <f t="shared" si="66"/>
        <v>8.5042245453243339</v>
      </c>
      <c r="G392" s="96">
        <f t="shared" si="61"/>
        <v>1.0145245055662975</v>
      </c>
    </row>
    <row r="393" spans="1:7">
      <c r="A393" s="97">
        <f>2025</f>
        <v>2025</v>
      </c>
      <c r="B393" s="98" t="s">
        <v>74</v>
      </c>
      <c r="C393" s="99">
        <f t="shared" si="65"/>
        <v>1206.4165714083342</v>
      </c>
      <c r="D393" s="100">
        <v>-0.4881646066637324</v>
      </c>
      <c r="E393" s="100">
        <f t="shared" si="64"/>
        <v>0.73616230307909092</v>
      </c>
      <c r="F393" s="101">
        <f t="shared" si="66"/>
        <v>7.0211748591462175</v>
      </c>
      <c r="G393" s="96">
        <f t="shared" si="61"/>
        <v>1.0195013503230332</v>
      </c>
    </row>
    <row r="394" spans="1:7">
      <c r="A394" s="97">
        <f>2025</f>
        <v>2025</v>
      </c>
      <c r="B394" s="98" t="s">
        <v>75</v>
      </c>
      <c r="C394" s="99">
        <f t="shared" si="65"/>
        <v>1186.2969281454727</v>
      </c>
      <c r="D394" s="100">
        <v>-1.6677194046973653</v>
      </c>
      <c r="E394" s="100">
        <f t="shared" si="64"/>
        <v>-0.94383422319678223</v>
      </c>
      <c r="F394" s="101">
        <f t="shared" si="66"/>
        <v>4.3866248859345092</v>
      </c>
      <c r="G394" s="96">
        <f t="shared" si="61"/>
        <v>1.0367921339269082</v>
      </c>
    </row>
    <row r="395" spans="1:7">
      <c r="A395" s="97">
        <f>2025</f>
        <v>2025</v>
      </c>
      <c r="B395" s="98" t="s">
        <v>76</v>
      </c>
      <c r="C395" s="99">
        <f t="shared" si="65"/>
        <v>1177.2056374797996</v>
      </c>
      <c r="D395" s="100">
        <v>-0.76635877999662316</v>
      </c>
      <c r="E395" s="100">
        <f t="shared" ref="E395" si="67">100*((C395/$C$388-1))</f>
        <v>-1.7029598467553364</v>
      </c>
      <c r="F395" s="101">
        <f t="shared" si="66"/>
        <v>2.9611313787212712</v>
      </c>
      <c r="G395" s="96">
        <f t="shared" si="61"/>
        <v>1.0447990431272345</v>
      </c>
    </row>
    <row r="396" spans="1:7">
      <c r="A396" s="97">
        <f>2025</f>
        <v>2025</v>
      </c>
      <c r="B396" s="98" t="s">
        <v>77</v>
      </c>
      <c r="C396" s="99">
        <f t="shared" ref="C396" si="68">+C395*(1+D396/100)</f>
        <v>1181.4067717979706</v>
      </c>
      <c r="D396" s="100">
        <v>0.35687344542154609</v>
      </c>
      <c r="E396" s="100">
        <f t="shared" ref="E396" si="69">100*((C396/$C$388-1))</f>
        <v>-1.3521638128130342</v>
      </c>
      <c r="F396" s="101">
        <f t="shared" ref="F396" si="70">+((C396/C384)-1)*100</f>
        <v>3.0346030569303961</v>
      </c>
      <c r="G396" s="96">
        <f t="shared" si="61"/>
        <v>1.041083691886278</v>
      </c>
    </row>
    <row r="397" spans="1:7">
      <c r="A397" s="97">
        <f>2025</f>
        <v>2025</v>
      </c>
      <c r="B397" s="98" t="s">
        <v>79</v>
      </c>
      <c r="C397" s="99">
        <f t="shared" ref="C397" si="71">+C396*(1+D397/100)</f>
        <v>1186.3209289128224</v>
      </c>
      <c r="D397" s="100">
        <v>0.41595809607328782</v>
      </c>
      <c r="E397" s="100">
        <f t="shared" ref="E397" si="72">100*((C397/$C$388-1))</f>
        <v>-0.94183015159131633</v>
      </c>
      <c r="F397" s="101">
        <f t="shared" ref="F397" si="73">+((C397/C385)-1)*100</f>
        <v>2.8226134982725082</v>
      </c>
      <c r="G397" s="96">
        <f t="shared" si="61"/>
        <v>1.0367711583155117</v>
      </c>
    </row>
    <row r="398" spans="1:7">
      <c r="A398" s="97">
        <f>2025</f>
        <v>2025</v>
      </c>
      <c r="B398" s="98" t="s">
        <v>78</v>
      </c>
      <c r="C398" s="99">
        <f t="shared" ref="C398" si="74">+C397*(1+D398/100)</f>
        <v>1182.0427921327382</v>
      </c>
      <c r="D398" s="100">
        <v>-0.36062221240629189</v>
      </c>
      <c r="E398" s="100">
        <f t="shared" ref="E398" si="75">100*((C398/$C$388-1))</f>
        <v>-1.2990559152678216</v>
      </c>
      <c r="F398" s="101">
        <f t="shared" ref="F398" si="76">+((C398/C386)-1)*100</f>
        <v>0.9163541858765667</v>
      </c>
      <c r="G398" s="96">
        <f t="shared" si="61"/>
        <v>1.0405235172440048</v>
      </c>
    </row>
    <row r="399" spans="1:7">
      <c r="A399" s="97">
        <f>2025</f>
        <v>2025</v>
      </c>
      <c r="B399" s="98" t="s">
        <v>68</v>
      </c>
      <c r="C399" s="99">
        <f t="shared" ref="C399" si="77">+C398*(1+D399/100)</f>
        <v>1185.2128934868447</v>
      </c>
      <c r="D399" s="100">
        <v>0.26818837483766345</v>
      </c>
      <c r="E399" s="100">
        <f t="shared" ref="E399" si="78">100*((C399/$C$388-1))</f>
        <v>-1.034351457377547</v>
      </c>
      <c r="F399" s="101">
        <f t="shared" ref="F399" si="79">+((C399/C387)-1)*100</f>
        <v>-0.10847376485719762</v>
      </c>
      <c r="G399" s="96">
        <f t="shared" si="61"/>
        <v>1.037740418081718</v>
      </c>
    </row>
    <row r="400" spans="1:7">
      <c r="A400" s="97">
        <f>2025</f>
        <v>2025</v>
      </c>
      <c r="B400" s="98" t="s">
        <v>69</v>
      </c>
      <c r="C400" s="99">
        <f t="shared" ref="C400" si="80">+C399*(1+D400/100)</f>
        <v>1185.0358878276406</v>
      </c>
      <c r="D400" s="100">
        <v>-1.493450334337787E-2</v>
      </c>
      <c r="E400" s="100">
        <f t="shared" ref="E400" si="81">100*((C400/$C$388-1))</f>
        <v>-1.0491314854679468</v>
      </c>
      <c r="F400" s="101">
        <f t="shared" ref="F400" si="82">+((C400/C388)-1)*100</f>
        <v>-1.0491314854679468</v>
      </c>
      <c r="G400" s="96">
        <f t="shared" si="61"/>
        <v>1.0378954226083081</v>
      </c>
    </row>
    <row r="401" spans="1:7">
      <c r="A401" s="97">
        <f>2026</f>
        <v>2026</v>
      </c>
      <c r="B401" s="98" t="s">
        <v>70</v>
      </c>
      <c r="C401" s="99">
        <f t="shared" ref="C401" si="83">+C400*(1+D401/100)</f>
        <v>1189.8580420009851</v>
      </c>
      <c r="D401" s="100">
        <v>0.40692051800930162</v>
      </c>
      <c r="E401" s="100">
        <f>100*((C401/$C$400-1))</f>
        <v>0.40692051800930162</v>
      </c>
      <c r="F401" s="101">
        <f t="shared" ref="F401" si="84">+((C401/C389)-1)*100</f>
        <v>-0.91232745518519121</v>
      </c>
      <c r="G401" s="96">
        <f t="shared" si="61"/>
        <v>1.0336891294481518</v>
      </c>
    </row>
    <row r="402" spans="1:7">
      <c r="A402" s="97">
        <f>2026</f>
        <v>2026</v>
      </c>
      <c r="B402" s="98" t="s">
        <v>71</v>
      </c>
      <c r="C402" s="99">
        <f t="shared" ref="C402" si="85">+C401*(1+D402/100)</f>
        <v>1181.1897648598508</v>
      </c>
      <c r="D402" s="100">
        <v>-0.72851355667242768</v>
      </c>
      <c r="E402" s="100">
        <f>100*((C402/$C$400-1))</f>
        <v>-0.32455750980169285</v>
      </c>
      <c r="F402" s="101">
        <f t="shared" ref="F402" si="86">+((C402/C390)-1)*100</f>
        <v>-2.6668007126411153</v>
      </c>
      <c r="G402" s="96">
        <f t="shared" si="61"/>
        <v>1.041274958684403</v>
      </c>
    </row>
    <row r="403" spans="1:7">
      <c r="A403" s="97">
        <f>2026</f>
        <v>2026</v>
      </c>
      <c r="B403" s="98" t="s">
        <v>72</v>
      </c>
      <c r="C403" s="99">
        <f t="shared" ref="C403" si="87">+C402*(1+D403/100)</f>
        <v>1187.3399614932121</v>
      </c>
      <c r="D403" s="100">
        <v>0.52067811763429894</v>
      </c>
      <c r="E403" s="100">
        <f>100*((C403/$C$400-1))</f>
        <v>0.19443070789992856</v>
      </c>
      <c r="F403" s="101">
        <f t="shared" ref="F403" si="88">+((C403/C391)-1)*100</f>
        <v>-1.8297845600248719</v>
      </c>
      <c r="G403" s="96">
        <f t="shared" si="61"/>
        <v>1.0358813511642364</v>
      </c>
    </row>
    <row r="404" spans="1:7">
      <c r="A404" s="91">
        <f>2026</f>
        <v>2026</v>
      </c>
      <c r="B404" s="92" t="s">
        <v>73</v>
      </c>
      <c r="C404" s="93">
        <f t="shared" ref="C404" si="89">+C403*(1+D404/100)</f>
        <v>1219.7169966479617</v>
      </c>
      <c r="D404" s="94">
        <v>2.7268546671360916</v>
      </c>
      <c r="E404" s="94">
        <f>100*((C404/$C$400-1))</f>
        <v>2.9265872178687369</v>
      </c>
      <c r="F404" s="95">
        <f t="shared" ref="F404" si="90">+((C404/C392)-1)*100</f>
        <v>0.60892719269882711</v>
      </c>
      <c r="G404" s="96">
        <f t="shared" si="61"/>
        <v>1.0083841800868754</v>
      </c>
    </row>
    <row r="405" spans="1:7" ht="16.5" thickBot="1">
      <c r="A405" s="103">
        <f>2026</f>
        <v>2026</v>
      </c>
      <c r="B405" s="104" t="s">
        <v>74</v>
      </c>
      <c r="C405" s="105">
        <f t="shared" ref="C405" si="91">+C404*(1+D405/100)</f>
        <v>1229.9433236028808</v>
      </c>
      <c r="D405" s="106">
        <v>0.83841800868753591</v>
      </c>
      <c r="E405" s="106">
        <f>100*((C405/$C$400-1))</f>
        <v>3.7895422608308138</v>
      </c>
      <c r="F405" s="107">
        <f t="shared" ref="F405" si="92">+((C405/C393)-1)*100</f>
        <v>1.950135032303324</v>
      </c>
      <c r="G405" s="108">
        <f t="shared" si="61"/>
        <v>1</v>
      </c>
    </row>
    <row r="406" spans="1:7">
      <c r="A406" s="109" t="s">
        <v>80</v>
      </c>
      <c r="B406" s="110"/>
      <c r="C406" s="110"/>
      <c r="D406" s="110"/>
      <c r="E406" s="110"/>
      <c r="F406" s="110"/>
      <c r="G406" s="110"/>
    </row>
    <row r="407" spans="1:7" ht="15" customHeight="1">
      <c r="A407" s="705" t="s">
        <v>81</v>
      </c>
      <c r="B407" s="705"/>
      <c r="C407" s="705"/>
      <c r="D407" s="705"/>
      <c r="E407" s="705"/>
      <c r="F407" s="705"/>
      <c r="G407" s="705"/>
    </row>
    <row r="408" spans="1:7" ht="15" customHeight="1">
      <c r="A408" s="705"/>
      <c r="B408" s="705"/>
      <c r="C408" s="705"/>
      <c r="D408" s="705"/>
      <c r="E408" s="705"/>
      <c r="F408" s="705"/>
      <c r="G408" s="705"/>
    </row>
    <row r="409" spans="1:7">
      <c r="A409" s="705"/>
      <c r="B409" s="705"/>
      <c r="C409" s="705"/>
      <c r="D409" s="705"/>
      <c r="E409" s="705"/>
      <c r="F409" s="705"/>
      <c r="G409" s="705"/>
    </row>
    <row r="410" spans="1:7">
      <c r="A410" s="705"/>
      <c r="B410" s="705"/>
      <c r="C410" s="705"/>
      <c r="D410" s="705"/>
      <c r="E410" s="705"/>
      <c r="F410" s="705"/>
      <c r="G410" s="705"/>
    </row>
    <row r="411" spans="1:7">
      <c r="A411" s="633">
        <v>28655</v>
      </c>
    </row>
    <row r="412" spans="1:7" ht="16.5" thickBot="1">
      <c r="A412" s="111" t="s">
        <v>82</v>
      </c>
      <c r="B412" s="111"/>
      <c r="C412" s="111"/>
    </row>
    <row r="413" spans="1:7" ht="16.5" thickBot="1">
      <c r="A413" s="112" t="s">
        <v>83</v>
      </c>
      <c r="B413" s="113">
        <v>0.6</v>
      </c>
      <c r="C413" s="111"/>
      <c r="E413" s="114"/>
    </row>
    <row r="414" spans="1:7" ht="16.5" thickBot="1">
      <c r="A414" s="115" t="s">
        <v>84</v>
      </c>
      <c r="B414" s="116">
        <v>0.3</v>
      </c>
      <c r="C414" s="111"/>
      <c r="E414" s="114"/>
    </row>
    <row r="415" spans="1:7" ht="16.5" thickBot="1">
      <c r="A415" s="117" t="s">
        <v>85</v>
      </c>
      <c r="B415" s="118">
        <v>0.1</v>
      </c>
      <c r="C415" s="111"/>
    </row>
  </sheetData>
  <mergeCells count="7">
    <mergeCell ref="A407:G410"/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0E4E9-CE82-4C90-B16C-3A53F81A5D4A}">
  <sheetPr>
    <tabColor rgb="FF92D050"/>
  </sheetPr>
  <dimension ref="A1:G397"/>
  <sheetViews>
    <sheetView showGridLines="0" zoomScale="120" zoomScaleNormal="120" workbookViewId="0">
      <pane ySplit="3120" topLeftCell="A386" activePane="bottomLeft"/>
      <selection pane="bottomLeft" activeCell="F392" sqref="F392"/>
      <selection activeCell="I1" sqref="I1:K1048576"/>
    </sheetView>
  </sheetViews>
  <sheetFormatPr defaultRowHeight="15"/>
  <cols>
    <col min="1" max="1" width="9.140625" style="126"/>
    <col min="2" max="2" width="11.42578125" style="126" customWidth="1"/>
    <col min="3" max="3" width="15.7109375" style="126" customWidth="1"/>
    <col min="4" max="4" width="9.140625" style="126"/>
    <col min="5" max="5" width="11" style="126" customWidth="1"/>
    <col min="6" max="6" width="9.140625" style="126"/>
    <col min="7" max="7" width="13.140625" style="126" bestFit="1" customWidth="1"/>
    <col min="8" max="16384" width="9.140625" style="126"/>
  </cols>
  <sheetData>
    <row r="1" spans="1:7" s="119" customFormat="1" ht="21" customHeight="1">
      <c r="A1" s="721" t="s">
        <v>86</v>
      </c>
      <c r="B1" s="721"/>
      <c r="C1" s="721"/>
      <c r="D1" s="721"/>
      <c r="E1" s="721"/>
      <c r="F1" s="721"/>
      <c r="G1" s="721"/>
    </row>
    <row r="2" spans="1:7" s="119" customFormat="1" ht="15.75" customHeight="1">
      <c r="A2" s="721"/>
      <c r="B2" s="721"/>
      <c r="C2" s="721"/>
      <c r="D2" s="721"/>
      <c r="E2" s="721"/>
      <c r="F2" s="721"/>
      <c r="G2" s="721"/>
    </row>
    <row r="3" spans="1:7" s="119" customFormat="1" ht="15" customHeight="1" thickBot="1">
      <c r="A3" s="722"/>
      <c r="B3" s="722"/>
      <c r="C3" s="722"/>
      <c r="D3" s="722"/>
      <c r="E3" s="722"/>
      <c r="F3" s="722"/>
      <c r="G3" s="722"/>
    </row>
    <row r="4" spans="1:7" s="119" customFormat="1" ht="17.25" customHeight="1" thickBot="1">
      <c r="A4" s="723" t="s">
        <v>87</v>
      </c>
      <c r="B4" s="724"/>
      <c r="C4" s="725"/>
      <c r="D4" s="726" t="s">
        <v>45</v>
      </c>
      <c r="E4" s="727"/>
      <c r="F4" s="727"/>
      <c r="G4" s="727"/>
    </row>
    <row r="5" spans="1:7" s="119" customFormat="1" ht="15" customHeight="1" thickBot="1">
      <c r="A5" s="728" t="s">
        <v>46</v>
      </c>
      <c r="B5" s="729"/>
      <c r="C5" s="730"/>
      <c r="D5" s="731" t="s">
        <v>47</v>
      </c>
      <c r="E5" s="732"/>
      <c r="F5" s="732"/>
      <c r="G5" s="733" t="s">
        <v>48</v>
      </c>
    </row>
    <row r="6" spans="1:7" s="119" customFormat="1" ht="15.75" customHeight="1" thickBot="1">
      <c r="A6" s="120" t="s">
        <v>49</v>
      </c>
      <c r="B6" s="121" t="s">
        <v>50</v>
      </c>
      <c r="C6" s="121" t="s">
        <v>51</v>
      </c>
      <c r="D6" s="121" t="s">
        <v>52</v>
      </c>
      <c r="E6" s="121" t="s">
        <v>53</v>
      </c>
      <c r="F6" s="634" t="s">
        <v>54</v>
      </c>
      <c r="G6" s="734"/>
    </row>
    <row r="7" spans="1:7">
      <c r="A7" s="122">
        <v>1994</v>
      </c>
      <c r="B7" s="123" t="s">
        <v>63</v>
      </c>
      <c r="C7" s="124">
        <v>100</v>
      </c>
      <c r="D7" s="125"/>
      <c r="E7" s="125"/>
      <c r="F7" s="635"/>
      <c r="G7" s="637">
        <f t="shared" ref="G7:G70" si="0">$C$388/C7</f>
        <v>12.118310000000035</v>
      </c>
    </row>
    <row r="8" spans="1:7">
      <c r="A8" s="127">
        <v>1994</v>
      </c>
      <c r="B8" s="128" t="s">
        <v>64</v>
      </c>
      <c r="C8" s="129">
        <f t="shared" ref="C8:C71" si="1">C7*(1+D8/100)</f>
        <v>101.54900000000001</v>
      </c>
      <c r="D8" s="130">
        <v>1.5490000000000004</v>
      </c>
      <c r="E8" s="131">
        <f>(C8)-100</f>
        <v>1.5490000000000066</v>
      </c>
      <c r="F8" s="132"/>
      <c r="G8" s="638">
        <f t="shared" si="0"/>
        <v>11.933460693852263</v>
      </c>
    </row>
    <row r="9" spans="1:7">
      <c r="A9" s="127">
        <v>1994</v>
      </c>
      <c r="B9" s="128" t="s">
        <v>65</v>
      </c>
      <c r="C9" s="129">
        <f t="shared" si="1"/>
        <v>104.14300000000001</v>
      </c>
      <c r="D9" s="130">
        <v>2.5544318506336872</v>
      </c>
      <c r="E9" s="131">
        <f>(C9/$C$7-1)*100</f>
        <v>4.1430000000000078</v>
      </c>
      <c r="F9" s="636"/>
      <c r="G9" s="638">
        <f t="shared" si="0"/>
        <v>11.636221349490636</v>
      </c>
    </row>
    <row r="10" spans="1:7">
      <c r="A10" s="127">
        <v>1994</v>
      </c>
      <c r="B10" s="128" t="s">
        <v>66</v>
      </c>
      <c r="C10" s="129">
        <f t="shared" si="1"/>
        <v>106.72000000000001</v>
      </c>
      <c r="D10" s="130">
        <v>2.4744822023563762</v>
      </c>
      <c r="E10" s="131">
        <f>(C10/$C$7-1)*100</f>
        <v>6.7200000000000149</v>
      </c>
      <c r="F10" s="636"/>
      <c r="G10" s="638">
        <f t="shared" si="0"/>
        <v>11.355238005997034</v>
      </c>
    </row>
    <row r="11" spans="1:7">
      <c r="A11" s="127">
        <v>1994</v>
      </c>
      <c r="B11" s="128" t="s">
        <v>55</v>
      </c>
      <c r="C11" s="129">
        <f t="shared" si="1"/>
        <v>107.32500000000002</v>
      </c>
      <c r="D11" s="130">
        <v>0.56690404797601346</v>
      </c>
      <c r="E11" s="131">
        <f>(C11/$C$7-1)*100</f>
        <v>7.3250000000000259</v>
      </c>
      <c r="F11" s="636"/>
      <c r="G11" s="638">
        <f t="shared" si="0"/>
        <v>11.29122757978107</v>
      </c>
    </row>
    <row r="12" spans="1:7">
      <c r="A12" s="127">
        <v>1995</v>
      </c>
      <c r="B12" s="128" t="s">
        <v>56</v>
      </c>
      <c r="C12" s="129">
        <f t="shared" si="1"/>
        <v>108.785</v>
      </c>
      <c r="D12" s="130">
        <v>1.3603540647565637</v>
      </c>
      <c r="E12" s="131">
        <f>(C12/$C$11-1)*100</f>
        <v>1.3603540647565637</v>
      </c>
      <c r="F12" s="636"/>
      <c r="G12" s="638">
        <f t="shared" si="0"/>
        <v>11.139688376154833</v>
      </c>
    </row>
    <row r="13" spans="1:7">
      <c r="A13" s="127">
        <v>1995</v>
      </c>
      <c r="B13" s="128" t="s">
        <v>57</v>
      </c>
      <c r="C13" s="129">
        <f t="shared" si="1"/>
        <v>110.03900000000002</v>
      </c>
      <c r="D13" s="130">
        <v>1.1527324539228889</v>
      </c>
      <c r="E13" s="131">
        <f t="shared" ref="E13:E23" si="2">(C13/$C$11-1)*100</f>
        <v>2.5287677614721726</v>
      </c>
      <c r="F13" s="636"/>
      <c r="G13" s="638">
        <f t="shared" si="0"/>
        <v>11.012740937304077</v>
      </c>
    </row>
    <row r="14" spans="1:7">
      <c r="A14" s="127">
        <v>1995</v>
      </c>
      <c r="B14" s="128" t="s">
        <v>58</v>
      </c>
      <c r="C14" s="129">
        <f t="shared" si="1"/>
        <v>112.03500000000001</v>
      </c>
      <c r="D14" s="130">
        <v>1.8139023437145019</v>
      </c>
      <c r="E14" s="131">
        <f t="shared" si="2"/>
        <v>4.3885394828790947</v>
      </c>
      <c r="F14" s="636"/>
      <c r="G14" s="638">
        <f t="shared" si="0"/>
        <v>10.816539474271464</v>
      </c>
    </row>
    <row r="15" spans="1:7">
      <c r="A15" s="127">
        <v>1995</v>
      </c>
      <c r="B15" s="128" t="s">
        <v>59</v>
      </c>
      <c r="C15" s="129">
        <f t="shared" si="1"/>
        <v>114.61400000000002</v>
      </c>
      <c r="D15" s="130">
        <v>2.301959209175708</v>
      </c>
      <c r="E15" s="131">
        <f t="shared" si="2"/>
        <v>6.7915210808292548</v>
      </c>
      <c r="F15" s="636"/>
      <c r="G15" s="638">
        <f t="shared" si="0"/>
        <v>10.573149876978409</v>
      </c>
    </row>
    <row r="16" spans="1:7">
      <c r="A16" s="127">
        <v>1995</v>
      </c>
      <c r="B16" s="128" t="s">
        <v>60</v>
      </c>
      <c r="C16" s="129">
        <f t="shared" si="1"/>
        <v>115.07100000000001</v>
      </c>
      <c r="D16" s="130">
        <v>0.39872964908300723</v>
      </c>
      <c r="E16" s="131">
        <f t="shared" si="2"/>
        <v>7.2173305380852426</v>
      </c>
      <c r="F16" s="636"/>
      <c r="G16" s="638">
        <f t="shared" si="0"/>
        <v>10.531159023559397</v>
      </c>
    </row>
    <row r="17" spans="1:7">
      <c r="A17" s="127">
        <v>1995</v>
      </c>
      <c r="B17" s="128" t="s">
        <v>61</v>
      </c>
      <c r="C17" s="129">
        <f t="shared" si="1"/>
        <v>118.09000000000002</v>
      </c>
      <c r="D17" s="130">
        <v>2.6235976049569398</v>
      </c>
      <c r="E17" s="131">
        <f t="shared" si="2"/>
        <v>10.030281854181222</v>
      </c>
      <c r="F17" s="636"/>
      <c r="G17" s="638">
        <f t="shared" si="0"/>
        <v>10.261927343551557</v>
      </c>
    </row>
    <row r="18" spans="1:7">
      <c r="A18" s="127">
        <v>1995</v>
      </c>
      <c r="B18" s="128" t="s">
        <v>62</v>
      </c>
      <c r="C18" s="129">
        <f t="shared" si="1"/>
        <v>120.73300000000003</v>
      </c>
      <c r="D18" s="130">
        <v>2.2381234651537074</v>
      </c>
      <c r="E18" s="131">
        <f t="shared" si="2"/>
        <v>12.492895411134409</v>
      </c>
      <c r="F18" s="636"/>
      <c r="G18" s="638">
        <f t="shared" si="0"/>
        <v>10.0372806109349</v>
      </c>
    </row>
    <row r="19" spans="1:7">
      <c r="A19" s="127">
        <v>1995</v>
      </c>
      <c r="B19" s="128" t="s">
        <v>63</v>
      </c>
      <c r="C19" s="129">
        <f t="shared" si="1"/>
        <v>122.28900000000003</v>
      </c>
      <c r="D19" s="130">
        <v>1.2887942815965836</v>
      </c>
      <c r="E19" s="131">
        <f t="shared" si="2"/>
        <v>13.942697414395532</v>
      </c>
      <c r="F19" s="132">
        <f>100*(C19/C7-1)</f>
        <v>22.289000000000026</v>
      </c>
      <c r="G19" s="638">
        <f t="shared" si="0"/>
        <v>9.9095666822036588</v>
      </c>
    </row>
    <row r="20" spans="1:7">
      <c r="A20" s="127">
        <v>1995</v>
      </c>
      <c r="B20" s="128" t="s">
        <v>64</v>
      </c>
      <c r="C20" s="129">
        <f t="shared" si="1"/>
        <v>120.96700000000003</v>
      </c>
      <c r="D20" s="130">
        <v>-1.081045719565954</v>
      </c>
      <c r="E20" s="131">
        <f t="shared" si="2"/>
        <v>12.710924761239228</v>
      </c>
      <c r="F20" s="132">
        <f t="shared" ref="F20:F83" si="3">100*(C20/C8-1)</f>
        <v>19.12180326738817</v>
      </c>
      <c r="G20" s="638">
        <f t="shared" si="0"/>
        <v>10.017864376234868</v>
      </c>
    </row>
    <row r="21" spans="1:7">
      <c r="A21" s="127">
        <v>1995</v>
      </c>
      <c r="B21" s="128" t="s">
        <v>65</v>
      </c>
      <c r="C21" s="129">
        <f t="shared" si="1"/>
        <v>121.24100000000004</v>
      </c>
      <c r="D21" s="130">
        <v>0.22650805591608592</v>
      </c>
      <c r="E21" s="131">
        <f t="shared" si="2"/>
        <v>12.966224085720967</v>
      </c>
      <c r="F21" s="132">
        <f t="shared" si="3"/>
        <v>16.417810126460751</v>
      </c>
      <c r="G21" s="638">
        <f t="shared" si="0"/>
        <v>9.9952243877896354</v>
      </c>
    </row>
    <row r="22" spans="1:7">
      <c r="A22" s="127">
        <v>1995</v>
      </c>
      <c r="B22" s="128" t="s">
        <v>66</v>
      </c>
      <c r="C22" s="129">
        <f t="shared" si="1"/>
        <v>122.85000000000002</v>
      </c>
      <c r="D22" s="130">
        <v>1.327108816324496</v>
      </c>
      <c r="E22" s="131">
        <f t="shared" si="2"/>
        <v>14.465408805031444</v>
      </c>
      <c r="F22" s="132">
        <f t="shared" si="3"/>
        <v>15.114317841079462</v>
      </c>
      <c r="G22" s="638">
        <f t="shared" si="0"/>
        <v>9.8643142043142316</v>
      </c>
    </row>
    <row r="23" spans="1:7">
      <c r="A23" s="127">
        <v>1995</v>
      </c>
      <c r="B23" s="128" t="s">
        <v>55</v>
      </c>
      <c r="C23" s="129">
        <f t="shared" si="1"/>
        <v>123.18700000000003</v>
      </c>
      <c r="D23" s="130">
        <v>0.27431827431827482</v>
      </c>
      <c r="E23" s="131">
        <f t="shared" si="2"/>
        <v>14.779408339156763</v>
      </c>
      <c r="F23" s="132">
        <f t="shared" si="3"/>
        <v>14.779408339156763</v>
      </c>
      <c r="G23" s="638">
        <f t="shared" si="0"/>
        <v>9.8373286142206826</v>
      </c>
    </row>
    <row r="24" spans="1:7">
      <c r="A24" s="127">
        <v>1996</v>
      </c>
      <c r="B24" s="128" t="s">
        <v>56</v>
      </c>
      <c r="C24" s="129">
        <f t="shared" si="1"/>
        <v>125.39700000000005</v>
      </c>
      <c r="D24" s="130">
        <v>1.7940204729395282</v>
      </c>
      <c r="E24" s="131">
        <f>(C24/$C$23-1)*100</f>
        <v>1.7940204729395282</v>
      </c>
      <c r="F24" s="132">
        <f t="shared" si="3"/>
        <v>15.270487659144226</v>
      </c>
      <c r="G24" s="638">
        <f t="shared" si="0"/>
        <v>9.6639552780369797</v>
      </c>
    </row>
    <row r="25" spans="1:7">
      <c r="A25" s="127">
        <v>1996</v>
      </c>
      <c r="B25" s="128" t="s">
        <v>57</v>
      </c>
      <c r="C25" s="129">
        <f t="shared" si="1"/>
        <v>126.35300000000004</v>
      </c>
      <c r="D25" s="130">
        <v>0.76237868529549502</v>
      </c>
      <c r="E25" s="131">
        <f t="shared" ref="E25:E35" si="4">(C25/$C$23-1)*100</f>
        <v>2.5700763879305422</v>
      </c>
      <c r="F25" s="132">
        <f t="shared" si="3"/>
        <v>14.82565272312546</v>
      </c>
      <c r="G25" s="638">
        <f t="shared" si="0"/>
        <v>9.590836782664466</v>
      </c>
    </row>
    <row r="26" spans="1:7">
      <c r="A26" s="127">
        <v>1996</v>
      </c>
      <c r="B26" s="128" t="s">
        <v>58</v>
      </c>
      <c r="C26" s="129">
        <f t="shared" si="1"/>
        <v>126.62700000000005</v>
      </c>
      <c r="D26" s="130">
        <v>0.21685278545029441</v>
      </c>
      <c r="E26" s="131">
        <f t="shared" si="4"/>
        <v>2.7925024556162859</v>
      </c>
      <c r="F26" s="132">
        <f t="shared" si="3"/>
        <v>13.024501271923983</v>
      </c>
      <c r="G26" s="638">
        <f t="shared" si="0"/>
        <v>9.5700837893972306</v>
      </c>
    </row>
    <row r="27" spans="1:7">
      <c r="A27" s="127">
        <v>1996</v>
      </c>
      <c r="B27" s="128" t="s">
        <v>59</v>
      </c>
      <c r="C27" s="129">
        <f t="shared" si="1"/>
        <v>127.50900000000006</v>
      </c>
      <c r="D27" s="130">
        <v>0.69653391456798719</v>
      </c>
      <c r="E27" s="131">
        <f t="shared" si="4"/>
        <v>3.5084870968527859</v>
      </c>
      <c r="F27" s="132">
        <f t="shared" si="3"/>
        <v>11.250807056729585</v>
      </c>
      <c r="G27" s="638">
        <f t="shared" si="0"/>
        <v>9.5038860002039307</v>
      </c>
    </row>
    <row r="28" spans="1:7">
      <c r="A28" s="127">
        <v>1996</v>
      </c>
      <c r="B28" s="128" t="s">
        <v>60</v>
      </c>
      <c r="C28" s="129">
        <f t="shared" si="1"/>
        <v>129.65500000000006</v>
      </c>
      <c r="D28" s="130">
        <v>1.6830184535993498</v>
      </c>
      <c r="E28" s="131">
        <f t="shared" si="4"/>
        <v>5.2505540357343117</v>
      </c>
      <c r="F28" s="132">
        <f t="shared" si="3"/>
        <v>12.673914365913252</v>
      </c>
      <c r="G28" s="638">
        <f t="shared" si="0"/>
        <v>9.3465813119432575</v>
      </c>
    </row>
    <row r="29" spans="1:7">
      <c r="A29" s="127">
        <v>1996</v>
      </c>
      <c r="B29" s="128" t="s">
        <v>61</v>
      </c>
      <c r="C29" s="129">
        <f t="shared" si="1"/>
        <v>131.24000000000007</v>
      </c>
      <c r="D29" s="130">
        <v>1.2224750298870157</v>
      </c>
      <c r="E29" s="131">
        <f t="shared" si="4"/>
        <v>6.537215777638905</v>
      </c>
      <c r="F29" s="132">
        <f t="shared" si="3"/>
        <v>11.135574561774963</v>
      </c>
      <c r="G29" s="638">
        <f t="shared" si="0"/>
        <v>9.233701615361193</v>
      </c>
    </row>
    <row r="30" spans="1:7">
      <c r="A30" s="127">
        <v>1996</v>
      </c>
      <c r="B30" s="128" t="s">
        <v>62</v>
      </c>
      <c r="C30" s="129">
        <f t="shared" si="1"/>
        <v>132.67400000000006</v>
      </c>
      <c r="D30" s="130">
        <v>1.0926546784516988</v>
      </c>
      <c r="E30" s="131">
        <f t="shared" si="4"/>
        <v>7.7012996501254483</v>
      </c>
      <c r="F30" s="132">
        <f t="shared" si="3"/>
        <v>9.8904193551059283</v>
      </c>
      <c r="G30" s="638">
        <f t="shared" si="0"/>
        <v>9.1338996336886122</v>
      </c>
    </row>
    <row r="31" spans="1:7">
      <c r="A31" s="127">
        <v>1996</v>
      </c>
      <c r="B31" s="128" t="s">
        <v>63</v>
      </c>
      <c r="C31" s="129">
        <f t="shared" si="1"/>
        <v>132.67900000000006</v>
      </c>
      <c r="D31" s="130">
        <v>3.7686359045441264E-3</v>
      </c>
      <c r="E31" s="131">
        <f t="shared" si="4"/>
        <v>7.7053585199737151</v>
      </c>
      <c r="F31" s="132">
        <f t="shared" si="3"/>
        <v>8.496267039553862</v>
      </c>
      <c r="G31" s="638">
        <f t="shared" si="0"/>
        <v>9.1335554232395708</v>
      </c>
    </row>
    <row r="32" spans="1:7">
      <c r="A32" s="127">
        <v>1996</v>
      </c>
      <c r="B32" s="128" t="s">
        <v>64</v>
      </c>
      <c r="C32" s="129">
        <f t="shared" si="1"/>
        <v>132.84900000000005</v>
      </c>
      <c r="D32" s="130">
        <v>0.12812879204695538</v>
      </c>
      <c r="E32" s="131">
        <f t="shared" si="4"/>
        <v>7.8433600948152105</v>
      </c>
      <c r="F32" s="132">
        <f t="shared" si="3"/>
        <v>9.8225135780833028</v>
      </c>
      <c r="G32" s="638">
        <f t="shared" si="0"/>
        <v>9.1218676843634743</v>
      </c>
    </row>
    <row r="33" spans="1:7">
      <c r="A33" s="127">
        <v>1996</v>
      </c>
      <c r="B33" s="128" t="s">
        <v>65</v>
      </c>
      <c r="C33" s="129">
        <f t="shared" si="1"/>
        <v>133.14100000000005</v>
      </c>
      <c r="D33" s="130">
        <v>0.21979841775248143</v>
      </c>
      <c r="E33" s="131">
        <f t="shared" si="4"/>
        <v>8.0803980939547326</v>
      </c>
      <c r="F33" s="132">
        <f t="shared" si="3"/>
        <v>9.815161537763629</v>
      </c>
      <c r="G33" s="638">
        <f t="shared" si="0"/>
        <v>9.1018619358424768</v>
      </c>
    </row>
    <row r="34" spans="1:7">
      <c r="A34" s="127">
        <v>1996</v>
      </c>
      <c r="B34" s="128" t="s">
        <v>66</v>
      </c>
      <c r="C34" s="129">
        <f t="shared" si="1"/>
        <v>133.51700000000005</v>
      </c>
      <c r="D34" s="130">
        <v>0.28240737263502957</v>
      </c>
      <c r="E34" s="131">
        <f t="shared" si="4"/>
        <v>8.3856251065453478</v>
      </c>
      <c r="F34" s="132">
        <f t="shared" si="3"/>
        <v>8.6829466829467137</v>
      </c>
      <c r="G34" s="638">
        <f t="shared" si="0"/>
        <v>9.0762299931844108</v>
      </c>
    </row>
    <row r="35" spans="1:7">
      <c r="A35" s="127">
        <v>1996</v>
      </c>
      <c r="B35" s="128" t="s">
        <v>55</v>
      </c>
      <c r="C35" s="129">
        <f t="shared" si="1"/>
        <v>134.68900000000005</v>
      </c>
      <c r="D35" s="130">
        <v>0.87779084311361277</v>
      </c>
      <c r="E35" s="131">
        <f t="shared" si="4"/>
        <v>9.337024198982057</v>
      </c>
      <c r="F35" s="132">
        <f t="shared" si="3"/>
        <v>9.337024198982057</v>
      </c>
      <c r="G35" s="638">
        <f t="shared" si="0"/>
        <v>8.9972529308258515</v>
      </c>
    </row>
    <row r="36" spans="1:7">
      <c r="A36" s="127">
        <v>1997</v>
      </c>
      <c r="B36" s="128" t="s">
        <v>56</v>
      </c>
      <c r="C36" s="129">
        <f t="shared" si="1"/>
        <v>136.81400000000005</v>
      </c>
      <c r="D36" s="130">
        <v>1.5777086473282909</v>
      </c>
      <c r="E36" s="131">
        <f>(C36/$C$35-1)*100</f>
        <v>1.5777086473282909</v>
      </c>
      <c r="F36" s="132">
        <f t="shared" si="3"/>
        <v>9.1046835251242122</v>
      </c>
      <c r="G36" s="638">
        <f t="shared" si="0"/>
        <v>8.8575072726475579</v>
      </c>
    </row>
    <row r="37" spans="1:7">
      <c r="A37" s="127">
        <v>1997</v>
      </c>
      <c r="B37" s="128" t="s">
        <v>57</v>
      </c>
      <c r="C37" s="129">
        <f t="shared" si="1"/>
        <v>137.39000000000004</v>
      </c>
      <c r="D37" s="130">
        <v>0.42100954580670535</v>
      </c>
      <c r="E37" s="131">
        <f t="shared" ref="E37:E47" si="5">(C37/$C$35-1)*100</f>
        <v>2.0053604971452588</v>
      </c>
      <c r="F37" s="132">
        <f t="shared" si="3"/>
        <v>8.7350517993241219</v>
      </c>
      <c r="G37" s="638">
        <f t="shared" si="0"/>
        <v>8.8203726617657985</v>
      </c>
    </row>
    <row r="38" spans="1:7">
      <c r="A38" s="127">
        <v>1997</v>
      </c>
      <c r="B38" s="128" t="s">
        <v>58</v>
      </c>
      <c r="C38" s="129">
        <f t="shared" si="1"/>
        <v>138.99000000000007</v>
      </c>
      <c r="D38" s="130">
        <v>1.1645680180508267</v>
      </c>
      <c r="E38" s="131">
        <f t="shared" si="5"/>
        <v>3.1932823021924683</v>
      </c>
      <c r="F38" s="132">
        <f t="shared" si="3"/>
        <v>9.7633206188253663</v>
      </c>
      <c r="G38" s="638">
        <f t="shared" si="0"/>
        <v>8.71883588747394</v>
      </c>
    </row>
    <row r="39" spans="1:7">
      <c r="A39" s="127">
        <v>1997</v>
      </c>
      <c r="B39" s="128" t="s">
        <v>59</v>
      </c>
      <c r="C39" s="129">
        <f t="shared" si="1"/>
        <v>139.80700000000004</v>
      </c>
      <c r="D39" s="130">
        <v>0.58781207281097814</v>
      </c>
      <c r="E39" s="131">
        <f t="shared" si="5"/>
        <v>3.7998648738946761</v>
      </c>
      <c r="F39" s="132">
        <f t="shared" si="3"/>
        <v>9.6448093860041162</v>
      </c>
      <c r="G39" s="638">
        <f t="shared" si="0"/>
        <v>8.6678850129106788</v>
      </c>
    </row>
    <row r="40" spans="1:7">
      <c r="A40" s="127">
        <v>1997</v>
      </c>
      <c r="B40" s="128" t="s">
        <v>60</v>
      </c>
      <c r="C40" s="129">
        <f t="shared" si="1"/>
        <v>140.22900000000007</v>
      </c>
      <c r="D40" s="130">
        <v>0.3018446858884305</v>
      </c>
      <c r="E40" s="131">
        <f t="shared" si="5"/>
        <v>4.1131792499758735</v>
      </c>
      <c r="F40" s="132">
        <f t="shared" si="3"/>
        <v>8.1554895684701876</v>
      </c>
      <c r="G40" s="638">
        <f t="shared" si="0"/>
        <v>8.6418001982471733</v>
      </c>
    </row>
    <row r="41" spans="1:7">
      <c r="A41" s="127">
        <v>1997</v>
      </c>
      <c r="B41" s="128" t="s">
        <v>61</v>
      </c>
      <c r="C41" s="129">
        <f t="shared" si="1"/>
        <v>141.20700000000005</v>
      </c>
      <c r="D41" s="130">
        <v>0.69743063132445826</v>
      </c>
      <c r="E41" s="131">
        <f t="shared" si="5"/>
        <v>4.8392964533109595</v>
      </c>
      <c r="F41" s="132">
        <f t="shared" si="3"/>
        <v>7.5944833892105823</v>
      </c>
      <c r="G41" s="638">
        <f t="shared" si="0"/>
        <v>8.581947070612669</v>
      </c>
    </row>
    <row r="42" spans="1:7">
      <c r="A42" s="127">
        <v>1997</v>
      </c>
      <c r="B42" s="128" t="s">
        <v>62</v>
      </c>
      <c r="C42" s="129">
        <f t="shared" si="1"/>
        <v>141.33000000000007</v>
      </c>
      <c r="D42" s="130">
        <v>8.7106163292194339E-2</v>
      </c>
      <c r="E42" s="131">
        <f t="shared" si="5"/>
        <v>4.9306179420739671</v>
      </c>
      <c r="F42" s="132">
        <f t="shared" si="3"/>
        <v>6.5242624779534797</v>
      </c>
      <c r="G42" s="638">
        <f t="shared" si="0"/>
        <v>8.5744781716550129</v>
      </c>
    </row>
    <row r="43" spans="1:7">
      <c r="A43" s="127">
        <v>1997</v>
      </c>
      <c r="B43" s="128" t="s">
        <v>63</v>
      </c>
      <c r="C43" s="129">
        <f t="shared" si="1"/>
        <v>141.26800000000006</v>
      </c>
      <c r="D43" s="130">
        <v>-4.3868959173576361E-2</v>
      </c>
      <c r="E43" s="131">
        <f t="shared" si="5"/>
        <v>4.8845859721283968</v>
      </c>
      <c r="F43" s="132">
        <f t="shared" si="3"/>
        <v>6.4735187934789939</v>
      </c>
      <c r="G43" s="638">
        <f t="shared" si="0"/>
        <v>8.5782413568536615</v>
      </c>
    </row>
    <row r="44" spans="1:7">
      <c r="A44" s="127">
        <v>1997</v>
      </c>
      <c r="B44" s="128" t="s">
        <v>64</v>
      </c>
      <c r="C44" s="129">
        <f t="shared" si="1"/>
        <v>142.10100000000006</v>
      </c>
      <c r="D44" s="130">
        <v>0.58965937084123343</v>
      </c>
      <c r="E44" s="131">
        <f t="shared" si="5"/>
        <v>5.5030477618810858</v>
      </c>
      <c r="F44" s="132">
        <f t="shared" si="3"/>
        <v>6.9642978118013676</v>
      </c>
      <c r="G44" s="638">
        <f t="shared" si="0"/>
        <v>8.5279554682936993</v>
      </c>
    </row>
    <row r="45" spans="1:7">
      <c r="A45" s="127">
        <v>1997</v>
      </c>
      <c r="B45" s="128" t="s">
        <v>65</v>
      </c>
      <c r="C45" s="129">
        <f t="shared" si="1"/>
        <v>142.58700000000005</v>
      </c>
      <c r="D45" s="130">
        <v>0.34201026030780124</v>
      </c>
      <c r="E45" s="131">
        <f t="shared" si="5"/>
        <v>5.8638790101641414</v>
      </c>
      <c r="F45" s="132">
        <f t="shared" si="3"/>
        <v>7.0947341540171571</v>
      </c>
      <c r="G45" s="638">
        <f t="shared" si="0"/>
        <v>8.4988883979605649</v>
      </c>
    </row>
    <row r="46" spans="1:7">
      <c r="A46" s="127">
        <v>1997</v>
      </c>
      <c r="B46" s="128" t="s">
        <v>66</v>
      </c>
      <c r="C46" s="129">
        <f t="shared" si="1"/>
        <v>143.77100000000004</v>
      </c>
      <c r="D46" s="130">
        <v>0.83037023010512634</v>
      </c>
      <c r="E46" s="131">
        <f t="shared" si="5"/>
        <v>6.7429411458990618</v>
      </c>
      <c r="F46" s="132">
        <f t="shared" si="3"/>
        <v>7.6799209089479126</v>
      </c>
      <c r="G46" s="638">
        <f t="shared" si="0"/>
        <v>8.4288973436924213</v>
      </c>
    </row>
    <row r="47" spans="1:7">
      <c r="A47" s="127">
        <v>1997</v>
      </c>
      <c r="B47" s="128" t="s">
        <v>55</v>
      </c>
      <c r="C47" s="129">
        <f t="shared" si="1"/>
        <v>144.76500000000004</v>
      </c>
      <c r="D47" s="130">
        <v>0.69137725966990082</v>
      </c>
      <c r="E47" s="131">
        <f t="shared" si="5"/>
        <v>7.480937567284629</v>
      </c>
      <c r="F47" s="132">
        <f t="shared" si="3"/>
        <v>7.480937567284629</v>
      </c>
      <c r="G47" s="638">
        <f t="shared" si="0"/>
        <v>8.3710220011743388</v>
      </c>
    </row>
    <row r="48" spans="1:7">
      <c r="A48" s="127">
        <v>1998</v>
      </c>
      <c r="B48" s="128" t="s">
        <v>56</v>
      </c>
      <c r="C48" s="129">
        <f t="shared" si="1"/>
        <v>146.03800000000007</v>
      </c>
      <c r="D48" s="130">
        <v>0.87935619797605558</v>
      </c>
      <c r="E48" s="131">
        <f>(C48/$C$47-1)*100</f>
        <v>0.87935619797605558</v>
      </c>
      <c r="F48" s="132">
        <f t="shared" si="3"/>
        <v>6.7420000877103314</v>
      </c>
      <c r="G48" s="638">
        <f t="shared" si="0"/>
        <v>8.298052561662054</v>
      </c>
    </row>
    <row r="49" spans="1:7">
      <c r="A49" s="127">
        <v>1998</v>
      </c>
      <c r="B49" s="128" t="s">
        <v>57</v>
      </c>
      <c r="C49" s="129">
        <f t="shared" si="1"/>
        <v>146.06700000000006</v>
      </c>
      <c r="D49" s="130">
        <v>1.9857845218362868E-2</v>
      </c>
      <c r="E49" s="131">
        <f t="shared" ref="E49:E58" si="6">(C49/$C$47-1)*100</f>
        <v>0.89938866438712406</v>
      </c>
      <c r="F49" s="132">
        <f t="shared" si="3"/>
        <v>6.3155979328917811</v>
      </c>
      <c r="G49" s="638">
        <f t="shared" si="0"/>
        <v>8.2964050743836939</v>
      </c>
    </row>
    <row r="50" spans="1:7">
      <c r="A50" s="127">
        <v>1998</v>
      </c>
      <c r="B50" s="128" t="s">
        <v>58</v>
      </c>
      <c r="C50" s="129">
        <f t="shared" si="1"/>
        <v>146.40800000000004</v>
      </c>
      <c r="D50" s="130">
        <v>0.23345451060128308</v>
      </c>
      <c r="E50" s="131">
        <f t="shared" si="6"/>
        <v>1.1349428383932603</v>
      </c>
      <c r="F50" s="132">
        <f t="shared" si="3"/>
        <v>5.3370746096841337</v>
      </c>
      <c r="G50" s="638">
        <f t="shared" si="0"/>
        <v>8.2770818534506532</v>
      </c>
    </row>
    <row r="51" spans="1:7">
      <c r="A51" s="127">
        <v>1998</v>
      </c>
      <c r="B51" s="128" t="s">
        <v>59</v>
      </c>
      <c r="C51" s="129">
        <f t="shared" si="1"/>
        <v>146.21100000000007</v>
      </c>
      <c r="D51" s="130">
        <v>-0.13455548877109313</v>
      </c>
      <c r="E51" s="131">
        <f t="shared" si="6"/>
        <v>0.99886022173869549</v>
      </c>
      <c r="F51" s="132">
        <f t="shared" si="3"/>
        <v>4.5806003991216704</v>
      </c>
      <c r="G51" s="638">
        <f t="shared" si="0"/>
        <v>8.2882341273912559</v>
      </c>
    </row>
    <row r="52" spans="1:7">
      <c r="A52" s="127">
        <v>1998</v>
      </c>
      <c r="B52" s="128" t="s">
        <v>60</v>
      </c>
      <c r="C52" s="129">
        <f t="shared" si="1"/>
        <v>146.54400000000007</v>
      </c>
      <c r="D52" s="130">
        <v>0.2277530418367979</v>
      </c>
      <c r="E52" s="131">
        <f t="shared" si="6"/>
        <v>1.2288881981141975</v>
      </c>
      <c r="F52" s="132">
        <f t="shared" si="3"/>
        <v>4.5033480949019156</v>
      </c>
      <c r="G52" s="638">
        <f t="shared" si="0"/>
        <v>8.2694003166284737</v>
      </c>
    </row>
    <row r="53" spans="1:7">
      <c r="A53" s="127">
        <v>1998</v>
      </c>
      <c r="B53" s="128" t="s">
        <v>61</v>
      </c>
      <c r="C53" s="129">
        <f t="shared" si="1"/>
        <v>146.95100000000005</v>
      </c>
      <c r="D53" s="130">
        <v>0.27773228518395143</v>
      </c>
      <c r="E53" s="131">
        <f t="shared" si="6"/>
        <v>1.5100335025731493</v>
      </c>
      <c r="F53" s="132">
        <f t="shared" si="3"/>
        <v>4.0677870077262535</v>
      </c>
      <c r="G53" s="638">
        <f t="shared" si="0"/>
        <v>8.246497131696982</v>
      </c>
    </row>
    <row r="54" spans="1:7">
      <c r="A54" s="127">
        <v>1998</v>
      </c>
      <c r="B54" s="128" t="s">
        <v>62</v>
      </c>
      <c r="C54" s="129">
        <f t="shared" si="1"/>
        <v>146.39800000000005</v>
      </c>
      <c r="D54" s="130">
        <v>-0.37631591482875093</v>
      </c>
      <c r="E54" s="131">
        <f t="shared" si="6"/>
        <v>1.1280350913549508</v>
      </c>
      <c r="F54" s="132">
        <f t="shared" si="3"/>
        <v>3.5859336305101408</v>
      </c>
      <c r="G54" s="638">
        <f t="shared" si="0"/>
        <v>8.2776472356179944</v>
      </c>
    </row>
    <row r="55" spans="1:7">
      <c r="A55" s="127">
        <v>1998</v>
      </c>
      <c r="B55" s="128" t="s">
        <v>63</v>
      </c>
      <c r="C55" s="129">
        <f t="shared" si="1"/>
        <v>146.14400000000006</v>
      </c>
      <c r="D55" s="130">
        <v>-0.17349963797318457</v>
      </c>
      <c r="E55" s="131">
        <f t="shared" si="6"/>
        <v>0.95257831658206449</v>
      </c>
      <c r="F55" s="132">
        <f t="shared" si="3"/>
        <v>3.4515955488858108</v>
      </c>
      <c r="G55" s="638">
        <f t="shared" si="0"/>
        <v>8.2920338843880224</v>
      </c>
    </row>
    <row r="56" spans="1:7">
      <c r="A56" s="127">
        <v>1998</v>
      </c>
      <c r="B56" s="128" t="s">
        <v>64</v>
      </c>
      <c r="C56" s="129">
        <f t="shared" si="1"/>
        <v>146.11100000000005</v>
      </c>
      <c r="D56" s="130">
        <v>-2.2580468578947688E-2</v>
      </c>
      <c r="E56" s="131">
        <f t="shared" si="6"/>
        <v>0.92978275135564559</v>
      </c>
      <c r="F56" s="132">
        <f t="shared" si="3"/>
        <v>2.8219365099471538</v>
      </c>
      <c r="G56" s="638">
        <f t="shared" si="0"/>
        <v>8.2939066873815328</v>
      </c>
    </row>
    <row r="57" spans="1:7">
      <c r="A57" s="127">
        <v>1998</v>
      </c>
      <c r="B57" s="128" t="s">
        <v>65</v>
      </c>
      <c r="C57" s="129">
        <f t="shared" si="1"/>
        <v>146.06300000000005</v>
      </c>
      <c r="D57" s="130">
        <v>-3.2851736008920884E-2</v>
      </c>
      <c r="E57" s="131">
        <f t="shared" si="6"/>
        <v>0.89662556557179585</v>
      </c>
      <c r="F57" s="132">
        <f t="shared" si="3"/>
        <v>2.4378098985180952</v>
      </c>
      <c r="G57" s="638">
        <f t="shared" si="0"/>
        <v>8.2966322751141846</v>
      </c>
    </row>
    <row r="58" spans="1:7">
      <c r="A58" s="127">
        <v>1998</v>
      </c>
      <c r="B58" s="128" t="s">
        <v>66</v>
      </c>
      <c r="C58" s="129">
        <f t="shared" si="1"/>
        <v>145.79700000000005</v>
      </c>
      <c r="D58" s="130">
        <v>-0.18211319772973855</v>
      </c>
      <c r="E58" s="131">
        <f t="shared" si="6"/>
        <v>0.71287949435292486</v>
      </c>
      <c r="F58" s="132">
        <f t="shared" si="3"/>
        <v>1.4091854407356275</v>
      </c>
      <c r="G58" s="638">
        <f t="shared" si="0"/>
        <v>8.3117691036166939</v>
      </c>
    </row>
    <row r="59" spans="1:7">
      <c r="A59" s="127">
        <v>1998</v>
      </c>
      <c r="B59" s="128" t="s">
        <v>55</v>
      </c>
      <c r="C59" s="129">
        <f t="shared" si="1"/>
        <v>147.23100000000005</v>
      </c>
      <c r="D59" s="130">
        <v>0.98355933249654193</v>
      </c>
      <c r="E59" s="131">
        <f>(C59/$C$58-1)*100</f>
        <v>0.98355933249654193</v>
      </c>
      <c r="F59" s="132">
        <f t="shared" si="3"/>
        <v>1.7034504196456357</v>
      </c>
      <c r="G59" s="638">
        <f t="shared" si="0"/>
        <v>8.2308141627782412</v>
      </c>
    </row>
    <row r="60" spans="1:7">
      <c r="A60" s="127">
        <v>1999</v>
      </c>
      <c r="B60" s="128" t="s">
        <v>56</v>
      </c>
      <c r="C60" s="129">
        <f t="shared" si="1"/>
        <v>148.92100000000005</v>
      </c>
      <c r="D60" s="130">
        <v>1.1478560900897161</v>
      </c>
      <c r="E60" s="131">
        <f t="shared" ref="E60:E71" si="7">(C60/$C$58-1)*100</f>
        <v>2.1427052682839731</v>
      </c>
      <c r="F60" s="132">
        <f t="shared" si="3"/>
        <v>1.9741437160190944</v>
      </c>
      <c r="G60" s="638">
        <f t="shared" si="0"/>
        <v>8.1374084246009843</v>
      </c>
    </row>
    <row r="61" spans="1:7">
      <c r="A61" s="127">
        <v>1999</v>
      </c>
      <c r="B61" s="128" t="s">
        <v>57</v>
      </c>
      <c r="C61" s="129">
        <f t="shared" si="1"/>
        <v>155.52800000000005</v>
      </c>
      <c r="D61" s="130">
        <v>4.4365804688391908</v>
      </c>
      <c r="E61" s="131">
        <f t="shared" si="7"/>
        <v>6.6743485805606406</v>
      </c>
      <c r="F61" s="132">
        <f t="shared" si="3"/>
        <v>6.4771645888530571</v>
      </c>
      <c r="G61" s="638">
        <f t="shared" si="0"/>
        <v>7.791722390823538</v>
      </c>
    </row>
    <row r="62" spans="1:7">
      <c r="A62" s="127">
        <v>1999</v>
      </c>
      <c r="B62" s="128" t="s">
        <v>58</v>
      </c>
      <c r="C62" s="129">
        <f t="shared" si="1"/>
        <v>158.60000000000005</v>
      </c>
      <c r="D62" s="130">
        <v>1.975207036675064</v>
      </c>
      <c r="E62" s="131">
        <f t="shared" si="7"/>
        <v>8.7813878200511564</v>
      </c>
      <c r="F62" s="132">
        <f t="shared" si="3"/>
        <v>8.3274138025244646</v>
      </c>
      <c r="G62" s="638">
        <f t="shared" si="0"/>
        <v>7.6408007566204486</v>
      </c>
    </row>
    <row r="63" spans="1:7">
      <c r="A63" s="127">
        <v>1999</v>
      </c>
      <c r="B63" s="128" t="s">
        <v>59</v>
      </c>
      <c r="C63" s="129">
        <f t="shared" si="1"/>
        <v>158.64700000000005</v>
      </c>
      <c r="D63" s="130">
        <v>2.9634300126102353E-2</v>
      </c>
      <c r="E63" s="131">
        <f t="shared" si="7"/>
        <v>8.813624422999089</v>
      </c>
      <c r="F63" s="132">
        <f t="shared" si="3"/>
        <v>8.505516000848079</v>
      </c>
      <c r="G63" s="638">
        <f t="shared" si="0"/>
        <v>7.6385371296022182</v>
      </c>
    </row>
    <row r="64" spans="1:7">
      <c r="A64" s="127">
        <v>1999</v>
      </c>
      <c r="B64" s="128" t="s">
        <v>60</v>
      </c>
      <c r="C64" s="129">
        <f t="shared" si="1"/>
        <v>158.10000000000005</v>
      </c>
      <c r="D64" s="130">
        <v>-0.34479063581409619</v>
      </c>
      <c r="E64" s="131">
        <f t="shared" si="7"/>
        <v>8.4384452354986585</v>
      </c>
      <c r="F64" s="132">
        <f t="shared" si="3"/>
        <v>7.885686210284959</v>
      </c>
      <c r="G64" s="638">
        <f t="shared" si="0"/>
        <v>7.6649652118912277</v>
      </c>
    </row>
    <row r="65" spans="1:7">
      <c r="A65" s="127">
        <v>1999</v>
      </c>
      <c r="B65" s="128" t="s">
        <v>61</v>
      </c>
      <c r="C65" s="129">
        <f t="shared" si="1"/>
        <v>159.71100000000007</v>
      </c>
      <c r="D65" s="130">
        <v>1.018975332068317</v>
      </c>
      <c r="E65" s="131">
        <f t="shared" si="7"/>
        <v>9.5434062429268209</v>
      </c>
      <c r="F65" s="132">
        <f t="shared" si="3"/>
        <v>8.6831664976761083</v>
      </c>
      <c r="G65" s="638">
        <f t="shared" si="0"/>
        <v>7.5876489408995189</v>
      </c>
    </row>
    <row r="66" spans="1:7">
      <c r="A66" s="127">
        <v>1999</v>
      </c>
      <c r="B66" s="128" t="s">
        <v>62</v>
      </c>
      <c r="C66" s="129">
        <f t="shared" si="1"/>
        <v>162.25300000000007</v>
      </c>
      <c r="D66" s="130">
        <v>1.591624872425812</v>
      </c>
      <c r="E66" s="131">
        <f t="shared" si="7"/>
        <v>11.286926342791691</v>
      </c>
      <c r="F66" s="132">
        <f t="shared" si="3"/>
        <v>10.830065984507996</v>
      </c>
      <c r="G66" s="638">
        <f t="shared" si="0"/>
        <v>7.4687740750556415</v>
      </c>
    </row>
    <row r="67" spans="1:7">
      <c r="A67" s="127">
        <v>1999</v>
      </c>
      <c r="B67" s="128" t="s">
        <v>63</v>
      </c>
      <c r="C67" s="129">
        <f t="shared" si="1"/>
        <v>164.61200000000008</v>
      </c>
      <c r="D67" s="130">
        <v>1.453902239095739</v>
      </c>
      <c r="E67" s="131">
        <f t="shared" si="7"/>
        <v>12.904929456710379</v>
      </c>
      <c r="F67" s="132">
        <f t="shared" si="3"/>
        <v>12.636851324720833</v>
      </c>
      <c r="G67" s="638">
        <f t="shared" si="0"/>
        <v>7.3617415498262764</v>
      </c>
    </row>
    <row r="68" spans="1:7">
      <c r="A68" s="127">
        <v>1999</v>
      </c>
      <c r="B68" s="128" t="s">
        <v>64</v>
      </c>
      <c r="C68" s="129">
        <f t="shared" si="1"/>
        <v>167.02800000000008</v>
      </c>
      <c r="D68" s="130">
        <v>1.46769372828226</v>
      </c>
      <c r="E68" s="131">
        <f t="shared" si="7"/>
        <v>14.562028025268026</v>
      </c>
      <c r="F68" s="132">
        <f t="shared" si="3"/>
        <v>14.315828377055805</v>
      </c>
      <c r="G68" s="638">
        <f t="shared" si="0"/>
        <v>7.2552566036832324</v>
      </c>
    </row>
    <row r="69" spans="1:7">
      <c r="A69" s="127">
        <v>1999</v>
      </c>
      <c r="B69" s="128" t="s">
        <v>65</v>
      </c>
      <c r="C69" s="129">
        <f t="shared" si="1"/>
        <v>170.18200000000007</v>
      </c>
      <c r="D69" s="130">
        <v>1.8883061522618982</v>
      </c>
      <c r="E69" s="131">
        <f t="shared" si="7"/>
        <v>16.725309848625148</v>
      </c>
      <c r="F69" s="132">
        <f t="shared" si="3"/>
        <v>16.51273765429988</v>
      </c>
      <c r="G69" s="638">
        <f t="shared" si="0"/>
        <v>7.1207942085532139</v>
      </c>
    </row>
    <row r="70" spans="1:7">
      <c r="A70" s="127">
        <v>1999</v>
      </c>
      <c r="B70" s="128" t="s">
        <v>66</v>
      </c>
      <c r="C70" s="129">
        <f t="shared" si="1"/>
        <v>174.49600000000009</v>
      </c>
      <c r="D70" s="130">
        <v>2.5349331891739491</v>
      </c>
      <c r="E70" s="131">
        <f t="shared" si="7"/>
        <v>19.684218468144078</v>
      </c>
      <c r="F70" s="132">
        <f t="shared" si="3"/>
        <v>19.684218468144078</v>
      </c>
      <c r="G70" s="638">
        <f t="shared" si="0"/>
        <v>6.9447494498441387</v>
      </c>
    </row>
    <row r="71" spans="1:7">
      <c r="A71" s="127">
        <v>1999</v>
      </c>
      <c r="B71" s="128" t="s">
        <v>55</v>
      </c>
      <c r="C71" s="129">
        <f t="shared" si="1"/>
        <v>176.64700000000005</v>
      </c>
      <c r="D71" s="130">
        <v>1.2326930130203362</v>
      </c>
      <c r="E71" s="131">
        <f t="shared" si="7"/>
        <v>21.159557466888891</v>
      </c>
      <c r="F71" s="132">
        <f t="shared" si="3"/>
        <v>19.979488015431524</v>
      </c>
      <c r="G71" s="638">
        <f t="shared" ref="G71:G134" si="8">$C$388/C71</f>
        <v>6.8601844356258708</v>
      </c>
    </row>
    <row r="72" spans="1:7">
      <c r="A72" s="127">
        <v>2000</v>
      </c>
      <c r="B72" s="128" t="s">
        <v>56</v>
      </c>
      <c r="C72" s="129">
        <f t="shared" ref="C72:C135" si="9">C71*(1+D72/100)</f>
        <v>178.45400000000006</v>
      </c>
      <c r="D72" s="130">
        <v>1.0229440635844522</v>
      </c>
      <c r="E72" s="131">
        <f>(C72/$C$71-1)*100</f>
        <v>1.0229440635844522</v>
      </c>
      <c r="F72" s="132">
        <f t="shared" si="3"/>
        <v>19.831319961590378</v>
      </c>
      <c r="G72" s="638">
        <f t="shared" si="8"/>
        <v>6.7907191769307671</v>
      </c>
    </row>
    <row r="73" spans="1:7">
      <c r="A73" s="127">
        <v>2000</v>
      </c>
      <c r="B73" s="128" t="s">
        <v>57</v>
      </c>
      <c r="C73" s="129">
        <f t="shared" si="9"/>
        <v>178.8000000000001</v>
      </c>
      <c r="D73" s="130">
        <v>0.19388750042028668</v>
      </c>
      <c r="E73" s="131">
        <f t="shared" ref="E73:E83" si="10">(C73/$C$71-1)*100</f>
        <v>1.2188149246803226</v>
      </c>
      <c r="F73" s="132">
        <f t="shared" si="3"/>
        <v>14.963222056478598</v>
      </c>
      <c r="G73" s="638">
        <f t="shared" si="8"/>
        <v>6.7775782997763026</v>
      </c>
    </row>
    <row r="74" spans="1:7">
      <c r="A74" s="127">
        <v>2000</v>
      </c>
      <c r="B74" s="128" t="s">
        <v>58</v>
      </c>
      <c r="C74" s="129">
        <f t="shared" si="9"/>
        <v>179.12800000000007</v>
      </c>
      <c r="D74" s="130">
        <v>0.18344519015658367</v>
      </c>
      <c r="E74" s="131">
        <f t="shared" si="10"/>
        <v>1.4044959721931427</v>
      </c>
      <c r="F74" s="132">
        <f t="shared" si="3"/>
        <v>12.94325346784364</v>
      </c>
      <c r="G74" s="638">
        <f t="shared" si="8"/>
        <v>6.7651679246125846</v>
      </c>
    </row>
    <row r="75" spans="1:7">
      <c r="A75" s="127">
        <v>2000</v>
      </c>
      <c r="B75" s="128" t="s">
        <v>59</v>
      </c>
      <c r="C75" s="129">
        <f t="shared" si="9"/>
        <v>179.35700000000008</v>
      </c>
      <c r="D75" s="130">
        <v>0.12784154347729171</v>
      </c>
      <c r="E75" s="131">
        <f t="shared" si="10"/>
        <v>1.534133044999364</v>
      </c>
      <c r="F75" s="132">
        <f t="shared" si="3"/>
        <v>13.054139063455361</v>
      </c>
      <c r="G75" s="638">
        <f t="shared" si="8"/>
        <v>6.7565302720273142</v>
      </c>
    </row>
    <row r="76" spans="1:7">
      <c r="A76" s="127">
        <v>2000</v>
      </c>
      <c r="B76" s="128" t="s">
        <v>60</v>
      </c>
      <c r="C76" s="129">
        <f t="shared" si="9"/>
        <v>180.56300000000007</v>
      </c>
      <c r="D76" s="130">
        <v>0.6724019692568417</v>
      </c>
      <c r="E76" s="131">
        <f t="shared" si="10"/>
        <v>2.2168505550618001</v>
      </c>
      <c r="F76" s="132">
        <f t="shared" si="3"/>
        <v>14.20809614168248</v>
      </c>
      <c r="G76" s="638">
        <f t="shared" si="8"/>
        <v>6.711402668320769</v>
      </c>
    </row>
    <row r="77" spans="1:7">
      <c r="A77" s="127">
        <v>2000</v>
      </c>
      <c r="B77" s="128" t="s">
        <v>61</v>
      </c>
      <c r="C77" s="129">
        <f t="shared" si="9"/>
        <v>182.23600000000008</v>
      </c>
      <c r="D77" s="130">
        <v>0.92654641316327613</v>
      </c>
      <c r="E77" s="131">
        <f t="shared" si="10"/>
        <v>3.1639371175281816</v>
      </c>
      <c r="F77" s="132">
        <f t="shared" si="3"/>
        <v>14.103599626825947</v>
      </c>
      <c r="G77" s="638">
        <f t="shared" si="8"/>
        <v>6.6497892842248678</v>
      </c>
    </row>
    <row r="78" spans="1:7">
      <c r="A78" s="127">
        <v>2000</v>
      </c>
      <c r="B78" s="128" t="s">
        <v>62</v>
      </c>
      <c r="C78" s="129">
        <f t="shared" si="9"/>
        <v>186.35300000000009</v>
      </c>
      <c r="D78" s="130">
        <v>2.2591584538730114</v>
      </c>
      <c r="E78" s="131">
        <f t="shared" si="10"/>
        <v>5.4945739242670655</v>
      </c>
      <c r="F78" s="132">
        <f t="shared" si="3"/>
        <v>14.853346317171345</v>
      </c>
      <c r="G78" s="638">
        <f t="shared" si="8"/>
        <v>6.5028789447983284</v>
      </c>
    </row>
    <row r="79" spans="1:7">
      <c r="A79" s="127">
        <v>2000</v>
      </c>
      <c r="B79" s="128" t="s">
        <v>63</v>
      </c>
      <c r="C79" s="129">
        <f t="shared" si="9"/>
        <v>189.74600000000009</v>
      </c>
      <c r="D79" s="130">
        <v>1.8207380616357183</v>
      </c>
      <c r="E79" s="131">
        <f t="shared" si="10"/>
        <v>7.4153537846666229</v>
      </c>
      <c r="F79" s="132">
        <f t="shared" si="3"/>
        <v>15.268631691492729</v>
      </c>
      <c r="G79" s="638">
        <f t="shared" si="8"/>
        <v>6.3865957648646239</v>
      </c>
    </row>
    <row r="80" spans="1:7">
      <c r="A80" s="127">
        <v>2000</v>
      </c>
      <c r="B80" s="128" t="s">
        <v>64</v>
      </c>
      <c r="C80" s="129">
        <f t="shared" si="9"/>
        <v>191.04900000000006</v>
      </c>
      <c r="D80" s="130">
        <v>0.68670749317507607</v>
      </c>
      <c r="E80" s="131">
        <f t="shared" si="10"/>
        <v>8.1529830679264457</v>
      </c>
      <c r="F80" s="132">
        <f t="shared" si="3"/>
        <v>14.381421079100498</v>
      </c>
      <c r="G80" s="638">
        <f t="shared" si="8"/>
        <v>6.3430376500269725</v>
      </c>
    </row>
    <row r="81" spans="1:7">
      <c r="A81" s="127">
        <v>2000</v>
      </c>
      <c r="B81" s="128" t="s">
        <v>65</v>
      </c>
      <c r="C81" s="129">
        <f t="shared" si="9"/>
        <v>191.76300000000003</v>
      </c>
      <c r="D81" s="130">
        <v>0.37372611214923079</v>
      </c>
      <c r="E81" s="131">
        <f t="shared" si="10"/>
        <v>8.5571790067195952</v>
      </c>
      <c r="F81" s="132">
        <f t="shared" si="3"/>
        <v>12.681129614177733</v>
      </c>
      <c r="G81" s="638">
        <f t="shared" si="8"/>
        <v>6.3194203261317528</v>
      </c>
    </row>
    <row r="82" spans="1:7">
      <c r="A82" s="127">
        <v>2000</v>
      </c>
      <c r="B82" s="128" t="s">
        <v>66</v>
      </c>
      <c r="C82" s="129">
        <f t="shared" si="9"/>
        <v>192.506</v>
      </c>
      <c r="D82" s="130">
        <v>0.38745743443728831</v>
      </c>
      <c r="E82" s="131">
        <f t="shared" si="10"/>
        <v>8.9777918673965331</v>
      </c>
      <c r="F82" s="132">
        <f t="shared" si="3"/>
        <v>10.321153493489765</v>
      </c>
      <c r="G82" s="638">
        <f t="shared" si="8"/>
        <v>6.295029765306035</v>
      </c>
    </row>
    <row r="83" spans="1:7">
      <c r="A83" s="127">
        <v>2000</v>
      </c>
      <c r="B83" s="128" t="s">
        <v>55</v>
      </c>
      <c r="C83" s="129">
        <f t="shared" si="9"/>
        <v>193.97</v>
      </c>
      <c r="D83" s="130">
        <v>0.76049577675501023</v>
      </c>
      <c r="E83" s="131">
        <f t="shared" si="10"/>
        <v>9.8065633721489363</v>
      </c>
      <c r="F83" s="132">
        <f t="shared" si="3"/>
        <v>9.8065633721489363</v>
      </c>
      <c r="G83" s="638">
        <f t="shared" si="8"/>
        <v>6.2475176573697144</v>
      </c>
    </row>
    <row r="84" spans="1:7">
      <c r="A84" s="127">
        <v>2001</v>
      </c>
      <c r="B84" s="128" t="s">
        <v>56</v>
      </c>
      <c r="C84" s="129">
        <f t="shared" si="9"/>
        <v>194.92000000000002</v>
      </c>
      <c r="D84" s="130">
        <v>0.48976645873073377</v>
      </c>
      <c r="E84" s="131">
        <f>(C84/$C$83-1)*100</f>
        <v>0.48976645873073377</v>
      </c>
      <c r="F84" s="132">
        <f t="shared" ref="F84:F147" si="11">100*(C84/C72-1)</f>
        <v>9.2270276934111486</v>
      </c>
      <c r="G84" s="638">
        <f t="shared" si="8"/>
        <v>6.2170685409398905</v>
      </c>
    </row>
    <row r="85" spans="1:7">
      <c r="A85" s="127">
        <v>2001</v>
      </c>
      <c r="B85" s="128" t="s">
        <v>57</v>
      </c>
      <c r="C85" s="129">
        <f t="shared" si="9"/>
        <v>195.58000000000004</v>
      </c>
      <c r="D85" s="130">
        <v>0.33860045146727469</v>
      </c>
      <c r="E85" s="131">
        <f t="shared" ref="E85:E95" si="12">(C85/$C$83-1)*100</f>
        <v>0.83002526163842294</v>
      </c>
      <c r="F85" s="132">
        <f t="shared" si="11"/>
        <v>9.3847874720357503</v>
      </c>
      <c r="G85" s="638">
        <f t="shared" si="8"/>
        <v>6.196088557112196</v>
      </c>
    </row>
    <row r="86" spans="1:7">
      <c r="A86" s="127">
        <v>2001</v>
      </c>
      <c r="B86" s="128" t="s">
        <v>58</v>
      </c>
      <c r="C86" s="129">
        <f t="shared" si="9"/>
        <v>197.15100000000004</v>
      </c>
      <c r="D86" s="130">
        <v>0.80325186624399247</v>
      </c>
      <c r="E86" s="131">
        <f t="shared" si="12"/>
        <v>1.6399443212868237</v>
      </c>
      <c r="F86" s="132">
        <f t="shared" si="11"/>
        <v>10.061520253673329</v>
      </c>
      <c r="G86" s="638">
        <f t="shared" si="8"/>
        <v>6.1467149545272575</v>
      </c>
    </row>
    <row r="87" spans="1:7">
      <c r="A87" s="127">
        <v>2001</v>
      </c>
      <c r="B87" s="128" t="s">
        <v>59</v>
      </c>
      <c r="C87" s="129">
        <f t="shared" si="9"/>
        <v>199.374</v>
      </c>
      <c r="D87" s="130">
        <v>1.127562122434056</v>
      </c>
      <c r="E87" s="131">
        <f t="shared" si="12"/>
        <v>2.7859978347167136</v>
      </c>
      <c r="F87" s="132">
        <f t="shared" si="11"/>
        <v>11.160423066844283</v>
      </c>
      <c r="G87" s="638">
        <f t="shared" si="8"/>
        <v>6.0781797024687449</v>
      </c>
    </row>
    <row r="88" spans="1:7">
      <c r="A88" s="127">
        <v>2001</v>
      </c>
      <c r="B88" s="128" t="s">
        <v>60</v>
      </c>
      <c r="C88" s="129">
        <f t="shared" si="9"/>
        <v>200.251</v>
      </c>
      <c r="D88" s="130">
        <v>0.43987681442916315</v>
      </c>
      <c r="E88" s="131">
        <f t="shared" si="12"/>
        <v>3.2381296076712918</v>
      </c>
      <c r="F88" s="132">
        <f t="shared" si="11"/>
        <v>10.903673510076771</v>
      </c>
      <c r="G88" s="638">
        <f t="shared" si="8"/>
        <v>6.0515602918337663</v>
      </c>
    </row>
    <row r="89" spans="1:7">
      <c r="A89" s="127">
        <v>2001</v>
      </c>
      <c r="B89" s="128" t="s">
        <v>61</v>
      </c>
      <c r="C89" s="129">
        <f t="shared" si="9"/>
        <v>203.167</v>
      </c>
      <c r="D89" s="130">
        <v>1.4561725035080908</v>
      </c>
      <c r="E89" s="131">
        <f t="shared" si="12"/>
        <v>4.7414548641542487</v>
      </c>
      <c r="F89" s="132">
        <f t="shared" si="11"/>
        <v>11.485655962597896</v>
      </c>
      <c r="G89" s="638">
        <f t="shared" si="8"/>
        <v>5.9647039135292816</v>
      </c>
    </row>
    <row r="90" spans="1:7">
      <c r="A90" s="127">
        <v>2001</v>
      </c>
      <c r="B90" s="128" t="s">
        <v>62</v>
      </c>
      <c r="C90" s="129">
        <f t="shared" si="9"/>
        <v>206.45</v>
      </c>
      <c r="D90" s="130">
        <v>1.6159120329581</v>
      </c>
      <c r="E90" s="131">
        <f t="shared" si="12"/>
        <v>6.4339846367994946</v>
      </c>
      <c r="F90" s="132">
        <f t="shared" si="11"/>
        <v>10.784371595842245</v>
      </c>
      <c r="G90" s="638">
        <f t="shared" si="8"/>
        <v>5.8698522644708335</v>
      </c>
    </row>
    <row r="91" spans="1:7">
      <c r="A91" s="127">
        <v>2001</v>
      </c>
      <c r="B91" s="128" t="s">
        <v>63</v>
      </c>
      <c r="C91" s="129">
        <f t="shared" si="9"/>
        <v>208.31500000000003</v>
      </c>
      <c r="D91" s="130">
        <v>0.90336643255026772</v>
      </c>
      <c r="E91" s="131">
        <f t="shared" si="12"/>
        <v>7.395473526834051</v>
      </c>
      <c r="F91" s="132">
        <f t="shared" si="11"/>
        <v>9.786240553160507</v>
      </c>
      <c r="G91" s="638">
        <f t="shared" si="8"/>
        <v>5.8173007224635933</v>
      </c>
    </row>
    <row r="92" spans="1:7">
      <c r="A92" s="127">
        <v>2001</v>
      </c>
      <c r="B92" s="128" t="s">
        <v>64</v>
      </c>
      <c r="C92" s="129">
        <f t="shared" si="9"/>
        <v>209.11100000000005</v>
      </c>
      <c r="D92" s="130">
        <v>0.38211362599909204</v>
      </c>
      <c r="E92" s="131">
        <f t="shared" si="12"/>
        <v>7.8058462648863403</v>
      </c>
      <c r="F92" s="132">
        <f t="shared" si="11"/>
        <v>9.454119100335511</v>
      </c>
      <c r="G92" s="638">
        <f t="shared" si="8"/>
        <v>5.7951566392968488</v>
      </c>
    </row>
    <row r="93" spans="1:7">
      <c r="A93" s="127">
        <v>2001</v>
      </c>
      <c r="B93" s="128" t="s">
        <v>65</v>
      </c>
      <c r="C93" s="129">
        <f t="shared" si="9"/>
        <v>212.13500000000002</v>
      </c>
      <c r="D93" s="130">
        <v>1.4461219161115313</v>
      </c>
      <c r="E93" s="131">
        <f t="shared" si="12"/>
        <v>9.3648502345723639</v>
      </c>
      <c r="F93" s="132">
        <f t="shared" si="11"/>
        <v>10.623530086617317</v>
      </c>
      <c r="G93" s="638">
        <f t="shared" si="8"/>
        <v>5.7125462559219526</v>
      </c>
    </row>
    <row r="94" spans="1:7">
      <c r="A94" s="127">
        <v>2001</v>
      </c>
      <c r="B94" s="128" t="s">
        <v>66</v>
      </c>
      <c r="C94" s="129">
        <f t="shared" si="9"/>
        <v>213.75600000000003</v>
      </c>
      <c r="D94" s="130">
        <v>0.76413604544276481</v>
      </c>
      <c r="E94" s="131">
        <f t="shared" si="12"/>
        <v>10.20054647625923</v>
      </c>
      <c r="F94" s="132">
        <f t="shared" si="11"/>
        <v>11.038616978172122</v>
      </c>
      <c r="G94" s="638">
        <f t="shared" si="8"/>
        <v>5.6692256591627999</v>
      </c>
    </row>
    <row r="95" spans="1:7">
      <c r="A95" s="127">
        <v>2001</v>
      </c>
      <c r="B95" s="128" t="s">
        <v>55</v>
      </c>
      <c r="C95" s="129">
        <f t="shared" si="9"/>
        <v>214.13700000000006</v>
      </c>
      <c r="D95" s="130">
        <v>0.17824061078988152</v>
      </c>
      <c r="E95" s="131">
        <f t="shared" si="12"/>
        <v>10.396968603392299</v>
      </c>
      <c r="F95" s="132">
        <f t="shared" si="11"/>
        <v>10.396968603392299</v>
      </c>
      <c r="G95" s="638">
        <f t="shared" si="8"/>
        <v>5.6591387756436449</v>
      </c>
    </row>
    <row r="96" spans="1:7">
      <c r="A96" s="127">
        <v>2002</v>
      </c>
      <c r="B96" s="128" t="s">
        <v>56</v>
      </c>
      <c r="C96" s="129">
        <f t="shared" si="9"/>
        <v>214.53500000000008</v>
      </c>
      <c r="D96" s="130">
        <v>0.18586232178465778</v>
      </c>
      <c r="E96" s="131">
        <f>(C96/$C$95-1)*100</f>
        <v>0.18586232178465778</v>
      </c>
      <c r="F96" s="132">
        <f t="shared" si="11"/>
        <v>10.063102811409852</v>
      </c>
      <c r="G96" s="638">
        <f t="shared" si="8"/>
        <v>5.6486400820379101</v>
      </c>
    </row>
    <row r="97" spans="1:7">
      <c r="A97" s="127">
        <v>2002</v>
      </c>
      <c r="B97" s="128" t="s">
        <v>57</v>
      </c>
      <c r="C97" s="129">
        <f t="shared" si="9"/>
        <v>214.92700000000008</v>
      </c>
      <c r="D97" s="130">
        <v>0.18272076817302807</v>
      </c>
      <c r="E97" s="131">
        <f t="shared" ref="E97:E107" si="13">(C97/$C$95-1)*100</f>
        <v>0.36892269901980246</v>
      </c>
      <c r="F97" s="132">
        <f t="shared" si="11"/>
        <v>9.8921157582575034</v>
      </c>
      <c r="G97" s="638">
        <f t="shared" si="8"/>
        <v>5.6383376681384982</v>
      </c>
    </row>
    <row r="98" spans="1:7">
      <c r="A98" s="127">
        <v>2002</v>
      </c>
      <c r="B98" s="128" t="s">
        <v>58</v>
      </c>
      <c r="C98" s="129">
        <f t="shared" si="9"/>
        <v>215.17000000000007</v>
      </c>
      <c r="D98" s="130">
        <v>0.11306164418616316</v>
      </c>
      <c r="E98" s="131">
        <f t="shared" si="13"/>
        <v>0.48240145327524964</v>
      </c>
      <c r="F98" s="132">
        <f t="shared" si="11"/>
        <v>9.1396949546286965</v>
      </c>
      <c r="G98" s="638">
        <f t="shared" si="8"/>
        <v>5.6319700701770836</v>
      </c>
    </row>
    <row r="99" spans="1:7">
      <c r="A99" s="127">
        <v>2002</v>
      </c>
      <c r="B99" s="128" t="s">
        <v>59</v>
      </c>
      <c r="C99" s="129">
        <f t="shared" si="9"/>
        <v>216.67300000000009</v>
      </c>
      <c r="D99" s="130">
        <v>0.6985174513175707</v>
      </c>
      <c r="E99" s="131">
        <f t="shared" si="13"/>
        <v>1.1842885629293587</v>
      </c>
      <c r="F99" s="132">
        <f t="shared" si="11"/>
        <v>8.6766579393502177</v>
      </c>
      <c r="G99" s="638">
        <f t="shared" si="8"/>
        <v>5.5929026689989199</v>
      </c>
    </row>
    <row r="100" spans="1:7">
      <c r="A100" s="127">
        <v>2002</v>
      </c>
      <c r="B100" s="128" t="s">
        <v>60</v>
      </c>
      <c r="C100" s="129">
        <f t="shared" si="9"/>
        <v>219.07000000000008</v>
      </c>
      <c r="D100" s="130">
        <v>1.1062753550280746</v>
      </c>
      <c r="E100" s="131">
        <f t="shared" si="13"/>
        <v>2.3036654104615417</v>
      </c>
      <c r="F100" s="132">
        <f t="shared" si="11"/>
        <v>9.3977058791217427</v>
      </c>
      <c r="G100" s="638">
        <f t="shared" si="8"/>
        <v>5.5317067603962347</v>
      </c>
    </row>
    <row r="101" spans="1:7">
      <c r="A101" s="127">
        <v>2002</v>
      </c>
      <c r="B101" s="128" t="s">
        <v>61</v>
      </c>
      <c r="C101" s="129">
        <f t="shared" si="9"/>
        <v>222.8720000000001</v>
      </c>
      <c r="D101" s="130">
        <v>1.7355183274752495</v>
      </c>
      <c r="E101" s="131">
        <f t="shared" si="13"/>
        <v>4.0791642733390532</v>
      </c>
      <c r="F101" s="132">
        <f t="shared" si="11"/>
        <v>9.6989176391835805</v>
      </c>
      <c r="G101" s="638">
        <f t="shared" si="8"/>
        <v>5.4373407157471689</v>
      </c>
    </row>
    <row r="102" spans="1:7">
      <c r="A102" s="127">
        <v>2002</v>
      </c>
      <c r="B102" s="128" t="s">
        <v>62</v>
      </c>
      <c r="C102" s="129">
        <f t="shared" si="9"/>
        <v>227.44100000000009</v>
      </c>
      <c r="D102" s="130">
        <v>2.0500556373164835</v>
      </c>
      <c r="E102" s="131">
        <f t="shared" si="13"/>
        <v>6.2128450477965114</v>
      </c>
      <c r="F102" s="132">
        <f t="shared" si="11"/>
        <v>10.167595059336442</v>
      </c>
      <c r="G102" s="638">
        <f t="shared" si="8"/>
        <v>5.3281114662703866</v>
      </c>
    </row>
    <row r="103" spans="1:7">
      <c r="A103" s="127">
        <v>2002</v>
      </c>
      <c r="B103" s="128" t="s">
        <v>63</v>
      </c>
      <c r="C103" s="129">
        <f t="shared" si="9"/>
        <v>232.8180000000001</v>
      </c>
      <c r="D103" s="130">
        <v>2.3641295984453192</v>
      </c>
      <c r="E103" s="131">
        <f t="shared" si="13"/>
        <v>8.7238543549223344</v>
      </c>
      <c r="F103" s="132">
        <f t="shared" si="11"/>
        <v>11.762475097808633</v>
      </c>
      <c r="G103" s="638">
        <f t="shared" si="8"/>
        <v>5.2050571691192395</v>
      </c>
    </row>
    <row r="104" spans="1:7">
      <c r="A104" s="127">
        <v>2002</v>
      </c>
      <c r="B104" s="128" t="s">
        <v>64</v>
      </c>
      <c r="C104" s="129">
        <f t="shared" si="9"/>
        <v>238.9730000000001</v>
      </c>
      <c r="D104" s="130">
        <v>2.6436959341631594</v>
      </c>
      <c r="E104" s="131">
        <f t="shared" si="13"/>
        <v>11.598182471968887</v>
      </c>
      <c r="F104" s="132">
        <f t="shared" si="11"/>
        <v>14.280453921601467</v>
      </c>
      <c r="G104" s="638">
        <f t="shared" si="8"/>
        <v>5.0709954681072889</v>
      </c>
    </row>
    <row r="105" spans="1:7">
      <c r="A105" s="127">
        <v>2002</v>
      </c>
      <c r="B105" s="128" t="s">
        <v>65</v>
      </c>
      <c r="C105" s="129">
        <f t="shared" si="9"/>
        <v>249.04200000000009</v>
      </c>
      <c r="D105" s="130">
        <v>4.2134467073686066</v>
      </c>
      <c r="E105" s="131">
        <f t="shared" si="13"/>
        <v>16.300312416817285</v>
      </c>
      <c r="F105" s="132">
        <f t="shared" si="11"/>
        <v>17.397883423291805</v>
      </c>
      <c r="G105" s="638">
        <f t="shared" si="8"/>
        <v>4.8659703985673222</v>
      </c>
    </row>
    <row r="106" spans="1:7">
      <c r="A106" s="127">
        <v>2002</v>
      </c>
      <c r="B106" s="128" t="s">
        <v>66</v>
      </c>
      <c r="C106" s="129">
        <f t="shared" si="9"/>
        <v>263.5800000000001</v>
      </c>
      <c r="D106" s="130">
        <v>5.8375695665791261</v>
      </c>
      <c r="E106" s="131">
        <f t="shared" si="13"/>
        <v>23.089424060297858</v>
      </c>
      <c r="F106" s="132">
        <f t="shared" si="11"/>
        <v>23.308819401560687</v>
      </c>
      <c r="G106" s="638">
        <f t="shared" si="8"/>
        <v>4.5975832764246265</v>
      </c>
    </row>
    <row r="107" spans="1:7">
      <c r="A107" s="127">
        <v>2002</v>
      </c>
      <c r="B107" s="128" t="s">
        <v>55</v>
      </c>
      <c r="C107" s="129">
        <f t="shared" si="9"/>
        <v>270.69200000000012</v>
      </c>
      <c r="D107" s="130">
        <v>2.6982320358145628</v>
      </c>
      <c r="E107" s="131">
        <f t="shared" si="13"/>
        <v>26.410662332992452</v>
      </c>
      <c r="F107" s="132">
        <f t="shared" si="11"/>
        <v>26.410662332992452</v>
      </c>
      <c r="G107" s="638">
        <f t="shared" si="8"/>
        <v>4.4767891182598785</v>
      </c>
    </row>
    <row r="108" spans="1:7">
      <c r="A108" s="127">
        <v>2003</v>
      </c>
      <c r="B108" s="128" t="s">
        <v>56</v>
      </c>
      <c r="C108" s="129">
        <f t="shared" si="9"/>
        <v>276.57800000000009</v>
      </c>
      <c r="D108" s="130">
        <v>2.1744270240716235</v>
      </c>
      <c r="E108" s="131">
        <f>(C108/$C$107-1)*100</f>
        <v>2.1744270240716235</v>
      </c>
      <c r="F108" s="132">
        <f t="shared" si="11"/>
        <v>28.919756683058708</v>
      </c>
      <c r="G108" s="638">
        <f t="shared" si="8"/>
        <v>4.3815162449652654</v>
      </c>
    </row>
    <row r="109" spans="1:7">
      <c r="A109" s="127">
        <v>2003</v>
      </c>
      <c r="B109" s="128" t="s">
        <v>57</v>
      </c>
      <c r="C109" s="129">
        <f t="shared" si="9"/>
        <v>280.98400000000009</v>
      </c>
      <c r="D109" s="130">
        <v>1.5930406612239656</v>
      </c>
      <c r="E109" s="131">
        <f t="shared" ref="E109:E119" si="14">(C109/$C$107-1)*100</f>
        <v>3.8021071919376981</v>
      </c>
      <c r="F109" s="132">
        <f t="shared" si="11"/>
        <v>30.734621522656536</v>
      </c>
      <c r="G109" s="638">
        <f t="shared" si="8"/>
        <v>4.3128114056316482</v>
      </c>
    </row>
    <row r="110" spans="1:7">
      <c r="A110" s="127">
        <v>2003</v>
      </c>
      <c r="B110" s="128" t="s">
        <v>58</v>
      </c>
      <c r="C110" s="129">
        <f t="shared" si="9"/>
        <v>285.6400000000001</v>
      </c>
      <c r="D110" s="130">
        <v>1.6570338524613426</v>
      </c>
      <c r="E110" s="131">
        <f t="shared" si="14"/>
        <v>5.5221432476763255</v>
      </c>
      <c r="F110" s="132">
        <f t="shared" si="11"/>
        <v>32.750848166565973</v>
      </c>
      <c r="G110" s="638">
        <f t="shared" si="8"/>
        <v>4.2425115530037916</v>
      </c>
    </row>
    <row r="111" spans="1:7">
      <c r="A111" s="127">
        <v>2003</v>
      </c>
      <c r="B111" s="128" t="s">
        <v>59</v>
      </c>
      <c r="C111" s="129">
        <f t="shared" si="9"/>
        <v>286.81500000000011</v>
      </c>
      <c r="D111" s="130">
        <v>0.41135695280773987</v>
      </c>
      <c r="E111" s="131">
        <f t="shared" si="14"/>
        <v>5.9562159206773657</v>
      </c>
      <c r="F111" s="132">
        <f t="shared" si="11"/>
        <v>32.372284502452999</v>
      </c>
      <c r="G111" s="638">
        <f t="shared" si="8"/>
        <v>4.2251311821208901</v>
      </c>
    </row>
    <row r="112" spans="1:7">
      <c r="A112" s="127">
        <v>2003</v>
      </c>
      <c r="B112" s="128" t="s">
        <v>60</v>
      </c>
      <c r="C112" s="129">
        <f t="shared" si="9"/>
        <v>284.90000000000009</v>
      </c>
      <c r="D112" s="130">
        <v>-0.66767777138574402</v>
      </c>
      <c r="E112" s="131">
        <f t="shared" si="14"/>
        <v>5.2487698195735177</v>
      </c>
      <c r="F112" s="132">
        <f t="shared" si="11"/>
        <v>30.049755785821873</v>
      </c>
      <c r="G112" s="638">
        <f t="shared" si="8"/>
        <v>4.2535310635310744</v>
      </c>
    </row>
    <row r="113" spans="1:7">
      <c r="A113" s="127">
        <v>2003</v>
      </c>
      <c r="B113" s="128" t="s">
        <v>61</v>
      </c>
      <c r="C113" s="129">
        <f t="shared" si="9"/>
        <v>282.91300000000012</v>
      </c>
      <c r="D113" s="130">
        <v>-0.69743769743768613</v>
      </c>
      <c r="E113" s="131">
        <f t="shared" si="14"/>
        <v>4.5147252227623946</v>
      </c>
      <c r="F113" s="132">
        <f t="shared" si="11"/>
        <v>26.939678380415664</v>
      </c>
      <c r="G113" s="638">
        <f t="shared" si="8"/>
        <v>4.283405145751531</v>
      </c>
    </row>
    <row r="114" spans="1:7">
      <c r="A114" s="127">
        <v>2003</v>
      </c>
      <c r="B114" s="128" t="s">
        <v>62</v>
      </c>
      <c r="C114" s="129">
        <f t="shared" si="9"/>
        <v>282.3490000000001</v>
      </c>
      <c r="D114" s="130">
        <v>-0.19935457190020101</v>
      </c>
      <c r="E114" s="131">
        <f t="shared" si="14"/>
        <v>4.3063703397218989</v>
      </c>
      <c r="F114" s="132">
        <f t="shared" si="11"/>
        <v>24.141645525652812</v>
      </c>
      <c r="G114" s="638">
        <f t="shared" si="8"/>
        <v>4.2919613669607584</v>
      </c>
    </row>
    <row r="115" spans="1:7">
      <c r="A115" s="127">
        <v>2003</v>
      </c>
      <c r="B115" s="128" t="s">
        <v>63</v>
      </c>
      <c r="C115" s="129">
        <f t="shared" si="9"/>
        <v>284.10500000000013</v>
      </c>
      <c r="D115" s="130">
        <v>0.62192534770799668</v>
      </c>
      <c r="E115" s="131">
        <f t="shared" si="14"/>
        <v>4.9550780961387764</v>
      </c>
      <c r="F115" s="132">
        <f t="shared" si="11"/>
        <v>22.028795024439706</v>
      </c>
      <c r="G115" s="638">
        <f t="shared" si="8"/>
        <v>4.2654335544957078</v>
      </c>
    </row>
    <row r="116" spans="1:7">
      <c r="A116" s="127">
        <v>2003</v>
      </c>
      <c r="B116" s="128" t="s">
        <v>64</v>
      </c>
      <c r="C116" s="129">
        <f t="shared" si="9"/>
        <v>287.08100000000007</v>
      </c>
      <c r="D116" s="130">
        <v>1.0475000439978066</v>
      </c>
      <c r="E116" s="131">
        <f t="shared" si="14"/>
        <v>6.0544825853737549</v>
      </c>
      <c r="F116" s="132">
        <f t="shared" si="11"/>
        <v>20.131144522602963</v>
      </c>
      <c r="G116" s="638">
        <f t="shared" si="8"/>
        <v>4.2212163117726469</v>
      </c>
    </row>
    <row r="117" spans="1:7">
      <c r="A117" s="127">
        <v>2003</v>
      </c>
      <c r="B117" s="128" t="s">
        <v>65</v>
      </c>
      <c r="C117" s="129">
        <f t="shared" si="9"/>
        <v>288.33700000000005</v>
      </c>
      <c r="D117" s="130">
        <v>0.4375071843834899</v>
      </c>
      <c r="E117" s="131">
        <f t="shared" si="14"/>
        <v>6.5184785660455047</v>
      </c>
      <c r="F117" s="132">
        <f t="shared" si="11"/>
        <v>15.778463070486071</v>
      </c>
      <c r="G117" s="638">
        <f t="shared" si="8"/>
        <v>4.2028286345491672</v>
      </c>
    </row>
    <row r="118" spans="1:7">
      <c r="A118" s="127">
        <v>2003</v>
      </c>
      <c r="B118" s="128" t="s">
        <v>66</v>
      </c>
      <c r="C118" s="129">
        <f t="shared" si="9"/>
        <v>289.71800000000007</v>
      </c>
      <c r="D118" s="130">
        <v>0.47895344683479557</v>
      </c>
      <c r="E118" s="131">
        <f t="shared" si="14"/>
        <v>7.0286524906535641</v>
      </c>
      <c r="F118" s="132">
        <f t="shared" si="11"/>
        <v>9.9165338796570079</v>
      </c>
      <c r="G118" s="638">
        <f t="shared" si="8"/>
        <v>4.182794993752557</v>
      </c>
    </row>
    <row r="119" spans="1:7">
      <c r="A119" s="127">
        <v>2003</v>
      </c>
      <c r="B119" s="128" t="s">
        <v>55</v>
      </c>
      <c r="C119" s="129">
        <f t="shared" si="9"/>
        <v>291.4620000000001</v>
      </c>
      <c r="D119" s="130">
        <v>0.6019646690920144</v>
      </c>
      <c r="E119" s="131">
        <f t="shared" si="14"/>
        <v>7.6729271644525809</v>
      </c>
      <c r="F119" s="132">
        <f t="shared" si="11"/>
        <v>7.6729271644525809</v>
      </c>
      <c r="G119" s="638">
        <f t="shared" si="8"/>
        <v>4.1577667071522297</v>
      </c>
    </row>
    <row r="120" spans="1:7">
      <c r="A120" s="127">
        <v>2004</v>
      </c>
      <c r="B120" s="128" t="s">
        <v>56</v>
      </c>
      <c r="C120" s="129">
        <f t="shared" si="9"/>
        <v>293.79300000000012</v>
      </c>
      <c r="D120" s="130">
        <v>0.79976120386191507</v>
      </c>
      <c r="E120" s="131">
        <f>(C120/$C$119-1)*100</f>
        <v>0.79976120386191507</v>
      </c>
      <c r="F120" s="132">
        <f t="shared" si="11"/>
        <v>6.2242839271380968</v>
      </c>
      <c r="G120" s="638">
        <f t="shared" si="8"/>
        <v>4.1247783303210186</v>
      </c>
    </row>
    <row r="121" spans="1:7">
      <c r="A121" s="127">
        <v>2004</v>
      </c>
      <c r="B121" s="128" t="s">
        <v>57</v>
      </c>
      <c r="C121" s="129">
        <f t="shared" si="9"/>
        <v>296.97600000000011</v>
      </c>
      <c r="D121" s="130">
        <v>1.0834158744422062</v>
      </c>
      <c r="E121" s="131">
        <f t="shared" ref="E121:E131" si="15">(C121/$C$119-1)*100</f>
        <v>1.8918418181443908</v>
      </c>
      <c r="F121" s="132">
        <f t="shared" si="11"/>
        <v>5.6914272698801449</v>
      </c>
      <c r="G121" s="638">
        <f t="shared" si="8"/>
        <v>4.080568800172415</v>
      </c>
    </row>
    <row r="122" spans="1:7">
      <c r="A122" s="127">
        <v>2004</v>
      </c>
      <c r="B122" s="128" t="s">
        <v>58</v>
      </c>
      <c r="C122" s="129">
        <f t="shared" si="9"/>
        <v>299.74600000000015</v>
      </c>
      <c r="D122" s="130">
        <v>0.93273530520985304</v>
      </c>
      <c r="E122" s="131">
        <f t="shared" si="15"/>
        <v>2.8422229999108151</v>
      </c>
      <c r="F122" s="132">
        <f t="shared" si="11"/>
        <v>4.9383839798347706</v>
      </c>
      <c r="G122" s="638">
        <f t="shared" si="8"/>
        <v>4.0428596211459134</v>
      </c>
    </row>
    <row r="123" spans="1:7">
      <c r="A123" s="127">
        <v>2004</v>
      </c>
      <c r="B123" s="128" t="s">
        <v>59</v>
      </c>
      <c r="C123" s="129">
        <f t="shared" si="9"/>
        <v>303.1840000000002</v>
      </c>
      <c r="D123" s="130">
        <v>1.1469711021998785</v>
      </c>
      <c r="E123" s="131">
        <f t="shared" si="15"/>
        <v>4.0217935785797465</v>
      </c>
      <c r="F123" s="132">
        <f t="shared" si="11"/>
        <v>5.707163153949435</v>
      </c>
      <c r="G123" s="638">
        <f t="shared" si="8"/>
        <v>3.9970150139849161</v>
      </c>
    </row>
    <row r="124" spans="1:7">
      <c r="A124" s="127">
        <v>2004</v>
      </c>
      <c r="B124" s="128" t="s">
        <v>60</v>
      </c>
      <c r="C124" s="129">
        <f t="shared" si="9"/>
        <v>307.61600000000016</v>
      </c>
      <c r="D124" s="130">
        <v>1.4618185656235072</v>
      </c>
      <c r="E124" s="131">
        <f t="shared" si="15"/>
        <v>5.5424034694059765</v>
      </c>
      <c r="F124" s="132">
        <f t="shared" si="11"/>
        <v>7.973323973323998</v>
      </c>
      <c r="G124" s="638">
        <f t="shared" si="8"/>
        <v>3.9394277280765726</v>
      </c>
    </row>
    <row r="125" spans="1:7">
      <c r="A125" s="127">
        <v>2004</v>
      </c>
      <c r="B125" s="128" t="s">
        <v>61</v>
      </c>
      <c r="C125" s="129">
        <f t="shared" si="9"/>
        <v>311.57600000000019</v>
      </c>
      <c r="D125" s="130">
        <v>1.2873192551752899</v>
      </c>
      <c r="E125" s="131">
        <f t="shared" si="15"/>
        <v>6.9010711516424461</v>
      </c>
      <c r="F125" s="132">
        <f t="shared" si="11"/>
        <v>10.131383146055528</v>
      </c>
      <c r="G125" s="638">
        <f t="shared" si="8"/>
        <v>3.8893592574524445</v>
      </c>
    </row>
    <row r="126" spans="1:7">
      <c r="A126" s="127">
        <v>2004</v>
      </c>
      <c r="B126" s="128" t="s">
        <v>62</v>
      </c>
      <c r="C126" s="129">
        <f t="shared" si="9"/>
        <v>315.11300000000023</v>
      </c>
      <c r="D126" s="130">
        <v>1.1351965491565474</v>
      </c>
      <c r="E126" s="131">
        <f t="shared" si="15"/>
        <v>8.1146084223672865</v>
      </c>
      <c r="F126" s="132">
        <f t="shared" si="11"/>
        <v>11.604078640264404</v>
      </c>
      <c r="G126" s="638">
        <f t="shared" si="8"/>
        <v>3.8457029700456746</v>
      </c>
    </row>
    <row r="127" spans="1:7">
      <c r="A127" s="127">
        <v>2004</v>
      </c>
      <c r="B127" s="128" t="s">
        <v>63</v>
      </c>
      <c r="C127" s="129">
        <f t="shared" si="9"/>
        <v>319.24400000000026</v>
      </c>
      <c r="D127" s="130">
        <v>1.3109582911527085</v>
      </c>
      <c r="E127" s="131">
        <f t="shared" si="15"/>
        <v>9.5319458454275807</v>
      </c>
      <c r="F127" s="132">
        <f t="shared" si="11"/>
        <v>12.368314531599278</v>
      </c>
      <c r="G127" s="638">
        <f t="shared" si="8"/>
        <v>3.7959397827367236</v>
      </c>
    </row>
    <row r="128" spans="1:7">
      <c r="A128" s="127">
        <v>2004</v>
      </c>
      <c r="B128" s="128" t="s">
        <v>64</v>
      </c>
      <c r="C128" s="129">
        <f t="shared" si="9"/>
        <v>320.78800000000024</v>
      </c>
      <c r="D128" s="130">
        <v>0.48364260565585404</v>
      </c>
      <c r="E128" s="131">
        <f t="shared" si="15"/>
        <v>10.061689002339968</v>
      </c>
      <c r="F128" s="132">
        <f t="shared" si="11"/>
        <v>11.741285560521298</v>
      </c>
      <c r="G128" s="638">
        <f t="shared" si="8"/>
        <v>3.7776693641906887</v>
      </c>
    </row>
    <row r="129" spans="1:7">
      <c r="A129" s="127">
        <v>2004</v>
      </c>
      <c r="B129" s="128" t="s">
        <v>65</v>
      </c>
      <c r="C129" s="129">
        <f t="shared" si="9"/>
        <v>322.49200000000025</v>
      </c>
      <c r="D129" s="130">
        <v>0.53119193984811908</v>
      </c>
      <c r="E129" s="131">
        <f t="shared" si="15"/>
        <v>10.646327823181112</v>
      </c>
      <c r="F129" s="132">
        <f t="shared" si="11"/>
        <v>11.845514103288934</v>
      </c>
      <c r="G129" s="638">
        <f t="shared" si="8"/>
        <v>3.7577087183558122</v>
      </c>
    </row>
    <row r="130" spans="1:7">
      <c r="A130" s="127">
        <v>2004</v>
      </c>
      <c r="B130" s="128" t="s">
        <v>66</v>
      </c>
      <c r="C130" s="129">
        <f t="shared" si="9"/>
        <v>325.14800000000025</v>
      </c>
      <c r="D130" s="130">
        <v>0.82358632152115252</v>
      </c>
      <c r="E130" s="131">
        <f t="shared" si="15"/>
        <v>11.557595844398282</v>
      </c>
      <c r="F130" s="132">
        <f t="shared" si="11"/>
        <v>12.229133157070038</v>
      </c>
      <c r="G130" s="638">
        <f t="shared" si="8"/>
        <v>3.7270135446012356</v>
      </c>
    </row>
    <row r="131" spans="1:7">
      <c r="A131" s="127">
        <v>2004</v>
      </c>
      <c r="B131" s="128" t="s">
        <v>55</v>
      </c>
      <c r="C131" s="129">
        <f t="shared" si="9"/>
        <v>326.83300000000025</v>
      </c>
      <c r="D131" s="130">
        <v>0.51822554652034558</v>
      </c>
      <c r="E131" s="131">
        <f t="shared" si="15"/>
        <v>12.135715805147896</v>
      </c>
      <c r="F131" s="132">
        <f t="shared" si="11"/>
        <v>12.135715805147896</v>
      </c>
      <c r="G131" s="638">
        <f t="shared" si="8"/>
        <v>3.707798784088518</v>
      </c>
    </row>
    <row r="132" spans="1:7">
      <c r="A132" s="127">
        <v>2005</v>
      </c>
      <c r="B132" s="128" t="s">
        <v>56</v>
      </c>
      <c r="C132" s="129">
        <f t="shared" si="9"/>
        <v>327.91500000000025</v>
      </c>
      <c r="D132" s="130">
        <v>0.33105592152566921</v>
      </c>
      <c r="E132" s="131">
        <f>(C132/$C$131-1)*100</f>
        <v>0.33105592152566921</v>
      </c>
      <c r="F132" s="132">
        <f t="shared" si="11"/>
        <v>11.614299864190137</v>
      </c>
      <c r="G132" s="638">
        <f t="shared" si="8"/>
        <v>3.6955643993108049</v>
      </c>
    </row>
    <row r="133" spans="1:7">
      <c r="A133" s="127">
        <v>2005</v>
      </c>
      <c r="B133" s="128" t="s">
        <v>57</v>
      </c>
      <c r="C133" s="129">
        <f t="shared" si="9"/>
        <v>329.24100000000021</v>
      </c>
      <c r="D133" s="130">
        <v>0.40437308448835196</v>
      </c>
      <c r="E133" s="131">
        <f t="shared" ref="E133:E143" si="16">(C133/$C$131-1)*100</f>
        <v>0.73676770705526362</v>
      </c>
      <c r="F133" s="132">
        <f t="shared" si="11"/>
        <v>10.864514304186223</v>
      </c>
      <c r="G133" s="638">
        <f t="shared" si="8"/>
        <v>3.6806807171646385</v>
      </c>
    </row>
    <row r="134" spans="1:7">
      <c r="A134" s="127">
        <v>2005</v>
      </c>
      <c r="B134" s="128" t="s">
        <v>58</v>
      </c>
      <c r="C134" s="129">
        <f t="shared" si="9"/>
        <v>332.49000000000024</v>
      </c>
      <c r="D134" s="130">
        <v>0.98681512934295501</v>
      </c>
      <c r="E134" s="131">
        <f t="shared" si="16"/>
        <v>1.73085337159955</v>
      </c>
      <c r="F134" s="132">
        <f t="shared" si="11"/>
        <v>10.923915581859323</v>
      </c>
      <c r="G134" s="638">
        <f t="shared" si="8"/>
        <v>3.644714126740662</v>
      </c>
    </row>
    <row r="135" spans="1:7">
      <c r="A135" s="127">
        <v>2005</v>
      </c>
      <c r="B135" s="128" t="s">
        <v>59</v>
      </c>
      <c r="C135" s="129">
        <f t="shared" si="9"/>
        <v>334.17000000000024</v>
      </c>
      <c r="D135" s="130">
        <v>0.50527835423621603</v>
      </c>
      <c r="E135" s="131">
        <f t="shared" si="16"/>
        <v>2.2448773532660393</v>
      </c>
      <c r="F135" s="132">
        <f t="shared" si="11"/>
        <v>10.220196316428321</v>
      </c>
      <c r="G135" s="638">
        <f t="shared" ref="G135:G198" si="17">$C$388/C135</f>
        <v>3.6263907591944298</v>
      </c>
    </row>
    <row r="136" spans="1:7">
      <c r="A136" s="127">
        <v>2005</v>
      </c>
      <c r="B136" s="128" t="s">
        <v>60</v>
      </c>
      <c r="C136" s="129">
        <f t="shared" ref="C136:C199" si="18">C135*(1+D136/100)</f>
        <v>333.32100000000025</v>
      </c>
      <c r="D136" s="130">
        <v>-0.25406230361791904</v>
      </c>
      <c r="E136" s="131">
        <f t="shared" si="16"/>
        <v>1.9851116625310139</v>
      </c>
      <c r="F136" s="132">
        <f t="shared" si="11"/>
        <v>8.3561973369395979</v>
      </c>
      <c r="G136" s="638">
        <f t="shared" si="17"/>
        <v>3.6356275182181821</v>
      </c>
    </row>
    <row r="137" spans="1:7">
      <c r="A137" s="127">
        <v>2005</v>
      </c>
      <c r="B137" s="128" t="s">
        <v>61</v>
      </c>
      <c r="C137" s="129">
        <f t="shared" si="18"/>
        <v>331.82300000000021</v>
      </c>
      <c r="D137" s="130">
        <v>-0.44941662841526675</v>
      </c>
      <c r="E137" s="131">
        <f t="shared" si="16"/>
        <v>1.5267736122117181</v>
      </c>
      <c r="F137" s="132">
        <f t="shared" si="11"/>
        <v>6.498254037538187</v>
      </c>
      <c r="G137" s="638">
        <f t="shared" si="17"/>
        <v>3.6520403950298888</v>
      </c>
    </row>
    <row r="138" spans="1:7">
      <c r="A138" s="127">
        <v>2005</v>
      </c>
      <c r="B138" s="128" t="s">
        <v>62</v>
      </c>
      <c r="C138" s="129">
        <f t="shared" si="18"/>
        <v>330.48400000000021</v>
      </c>
      <c r="D138" s="130">
        <v>-0.40352838712205408</v>
      </c>
      <c r="E138" s="131">
        <f t="shared" si="16"/>
        <v>1.1170842601573083</v>
      </c>
      <c r="F138" s="132">
        <f t="shared" si="11"/>
        <v>4.8779326781186239</v>
      </c>
      <c r="G138" s="638">
        <f t="shared" si="17"/>
        <v>3.6668371237336839</v>
      </c>
    </row>
    <row r="139" spans="1:7">
      <c r="A139" s="127">
        <v>2005</v>
      </c>
      <c r="B139" s="128" t="s">
        <v>63</v>
      </c>
      <c r="C139" s="129">
        <f t="shared" si="18"/>
        <v>327.88700000000023</v>
      </c>
      <c r="D139" s="130">
        <v>-0.78581716512750033</v>
      </c>
      <c r="E139" s="131">
        <f t="shared" si="16"/>
        <v>0.32248885516454884</v>
      </c>
      <c r="F139" s="132">
        <f t="shared" si="11"/>
        <v>2.7073335755722683</v>
      </c>
      <c r="G139" s="638">
        <f t="shared" si="17"/>
        <v>3.6958799830429467</v>
      </c>
    </row>
    <row r="140" spans="1:7">
      <c r="A140" s="127">
        <v>2005</v>
      </c>
      <c r="B140" s="128" t="s">
        <v>64</v>
      </c>
      <c r="C140" s="129">
        <f t="shared" si="18"/>
        <v>327.45400000000024</v>
      </c>
      <c r="D140" s="130">
        <v>-0.13205769060682382</v>
      </c>
      <c r="E140" s="131">
        <f t="shared" si="16"/>
        <v>0.19000529322312776</v>
      </c>
      <c r="F140" s="132">
        <f t="shared" si="11"/>
        <v>2.0780079055326306</v>
      </c>
      <c r="G140" s="638">
        <f t="shared" si="17"/>
        <v>3.7007671306504202</v>
      </c>
    </row>
    <row r="141" spans="1:7">
      <c r="A141" s="127">
        <v>2005</v>
      </c>
      <c r="B141" s="128" t="s">
        <v>65</v>
      </c>
      <c r="C141" s="129">
        <f t="shared" si="18"/>
        <v>329.52900000000022</v>
      </c>
      <c r="D141" s="130">
        <v>0.63367679124395337</v>
      </c>
      <c r="E141" s="131">
        <f t="shared" si="16"/>
        <v>0.82488610391238115</v>
      </c>
      <c r="F141" s="132">
        <f t="shared" si="11"/>
        <v>2.1820696327350619</v>
      </c>
      <c r="G141" s="638">
        <f t="shared" si="17"/>
        <v>3.6774638954386494</v>
      </c>
    </row>
    <row r="142" spans="1:7">
      <c r="A142" s="127">
        <v>2005</v>
      </c>
      <c r="B142" s="128" t="s">
        <v>66</v>
      </c>
      <c r="C142" s="129">
        <f t="shared" si="18"/>
        <v>330.61900000000026</v>
      </c>
      <c r="D142" s="130">
        <v>0.33077513663442026</v>
      </c>
      <c r="E142" s="131">
        <f t="shared" si="16"/>
        <v>1.1583897586840974</v>
      </c>
      <c r="F142" s="132">
        <f t="shared" si="11"/>
        <v>1.6826183768622327</v>
      </c>
      <c r="G142" s="638">
        <f t="shared" si="17"/>
        <v>3.6653398625003479</v>
      </c>
    </row>
    <row r="143" spans="1:7">
      <c r="A143" s="127">
        <v>2005</v>
      </c>
      <c r="B143" s="128" t="s">
        <v>55</v>
      </c>
      <c r="C143" s="129">
        <f t="shared" si="18"/>
        <v>330.83500000000021</v>
      </c>
      <c r="D143" s="130">
        <v>6.5331998463480367E-2</v>
      </c>
      <c r="E143" s="131">
        <f t="shared" si="16"/>
        <v>1.2244785563269245</v>
      </c>
      <c r="F143" s="132">
        <f t="shared" si="11"/>
        <v>1.2244785563269245</v>
      </c>
      <c r="G143" s="638">
        <f t="shared" si="17"/>
        <v>3.6629467861622946</v>
      </c>
    </row>
    <row r="144" spans="1:7">
      <c r="A144" s="127">
        <v>2006</v>
      </c>
      <c r="B144" s="128" t="s">
        <v>56</v>
      </c>
      <c r="C144" s="129">
        <f t="shared" si="18"/>
        <v>333.22200000000015</v>
      </c>
      <c r="D144" s="130">
        <v>0.72150770021308652</v>
      </c>
      <c r="E144" s="131">
        <f>(C144/$C$143-1)*100</f>
        <v>0.72150770021308652</v>
      </c>
      <c r="F144" s="132">
        <f t="shared" si="11"/>
        <v>1.6184072091852686</v>
      </c>
      <c r="G144" s="638">
        <f t="shared" si="17"/>
        <v>3.6367076603585686</v>
      </c>
    </row>
    <row r="145" spans="1:7">
      <c r="A145" s="127">
        <v>2006</v>
      </c>
      <c r="B145" s="128" t="s">
        <v>57</v>
      </c>
      <c r="C145" s="129">
        <f t="shared" si="18"/>
        <v>333.03000000000014</v>
      </c>
      <c r="D145" s="130">
        <v>-5.7619244827777916E-2</v>
      </c>
      <c r="E145" s="131">
        <f t="shared" ref="E145:E155" si="19">(C145/$C$143-1)*100</f>
        <v>0.66347272809705871</v>
      </c>
      <c r="F145" s="132">
        <f t="shared" si="11"/>
        <v>1.1508287242475657</v>
      </c>
      <c r="G145" s="638">
        <f t="shared" si="17"/>
        <v>3.6388043119238596</v>
      </c>
    </row>
    <row r="146" spans="1:7">
      <c r="A146" s="127">
        <v>2006</v>
      </c>
      <c r="B146" s="128" t="s">
        <v>58</v>
      </c>
      <c r="C146" s="129">
        <f t="shared" si="18"/>
        <v>331.53100000000018</v>
      </c>
      <c r="D146" s="130">
        <v>-0.45010959973574849</v>
      </c>
      <c r="E146" s="131">
        <f t="shared" si="19"/>
        <v>0.21037677392052867</v>
      </c>
      <c r="F146" s="132">
        <f t="shared" si="11"/>
        <v>-0.28842972720986015</v>
      </c>
      <c r="G146" s="638">
        <f t="shared" si="17"/>
        <v>3.6552569744609187</v>
      </c>
    </row>
    <row r="147" spans="1:7">
      <c r="A147" s="127">
        <v>2006</v>
      </c>
      <c r="B147" s="128" t="s">
        <v>73</v>
      </c>
      <c r="C147" s="129">
        <f t="shared" si="18"/>
        <v>331.6070000000002</v>
      </c>
      <c r="D147" s="130">
        <v>2.2923949796549437E-2</v>
      </c>
      <c r="E147" s="131">
        <f t="shared" si="19"/>
        <v>0.23334895038311654</v>
      </c>
      <c r="F147" s="132">
        <f t="shared" si="11"/>
        <v>-0.76697489301853494</v>
      </c>
      <c r="G147" s="638">
        <f t="shared" si="17"/>
        <v>3.6544192372296207</v>
      </c>
    </row>
    <row r="148" spans="1:7">
      <c r="A148" s="127">
        <v>2006</v>
      </c>
      <c r="B148" s="128" t="s">
        <v>74</v>
      </c>
      <c r="C148" s="129">
        <f t="shared" si="18"/>
        <v>332.85100000000023</v>
      </c>
      <c r="D148" s="130">
        <v>0.37514286489730431</v>
      </c>
      <c r="E148" s="131">
        <f t="shared" si="19"/>
        <v>0.60936720721811444</v>
      </c>
      <c r="F148" s="132">
        <f t="shared" ref="F148:F211" si="20">100*(C148/C136-1)</f>
        <v>-0.14100521719304648</v>
      </c>
      <c r="G148" s="638">
        <f t="shared" si="17"/>
        <v>3.6407611814295366</v>
      </c>
    </row>
    <row r="149" spans="1:7">
      <c r="A149" s="127">
        <v>2006</v>
      </c>
      <c r="B149" s="128" t="s">
        <v>75</v>
      </c>
      <c r="C149" s="129">
        <f t="shared" si="18"/>
        <v>335.06700000000018</v>
      </c>
      <c r="D149" s="130">
        <v>0.66576335958130617</v>
      </c>
      <c r="E149" s="131">
        <f t="shared" si="19"/>
        <v>1.2791875103903561</v>
      </c>
      <c r="F149" s="132">
        <f t="shared" si="20"/>
        <v>0.97762963989838081</v>
      </c>
      <c r="G149" s="638">
        <f t="shared" si="17"/>
        <v>3.6166826336225379</v>
      </c>
    </row>
    <row r="150" spans="1:7">
      <c r="A150" s="127">
        <v>2006</v>
      </c>
      <c r="B150" s="128" t="s">
        <v>76</v>
      </c>
      <c r="C150" s="129">
        <f t="shared" si="18"/>
        <v>335.63700000000017</v>
      </c>
      <c r="D150" s="130">
        <v>0.17011523068519718</v>
      </c>
      <c r="E150" s="131">
        <f t="shared" si="19"/>
        <v>1.4514788338597651</v>
      </c>
      <c r="F150" s="132">
        <f t="shared" si="20"/>
        <v>1.5592282833662097</v>
      </c>
      <c r="G150" s="638">
        <f t="shared" si="17"/>
        <v>3.6105405542297273</v>
      </c>
    </row>
    <row r="151" spans="1:7">
      <c r="A151" s="127">
        <v>2006</v>
      </c>
      <c r="B151" s="128" t="s">
        <v>63</v>
      </c>
      <c r="C151" s="129">
        <f t="shared" si="18"/>
        <v>337.01100000000019</v>
      </c>
      <c r="D151" s="130">
        <v>0.40937083813763486</v>
      </c>
      <c r="E151" s="131">
        <f t="shared" si="19"/>
        <v>1.8667916030649767</v>
      </c>
      <c r="F151" s="132">
        <f t="shared" si="20"/>
        <v>2.7826659794380371</v>
      </c>
      <c r="G151" s="638">
        <f t="shared" si="17"/>
        <v>3.5958203144704561</v>
      </c>
    </row>
    <row r="152" spans="1:7">
      <c r="A152" s="127">
        <v>2006</v>
      </c>
      <c r="B152" s="128" t="s">
        <v>79</v>
      </c>
      <c r="C152" s="129">
        <f t="shared" si="18"/>
        <v>337.81700000000018</v>
      </c>
      <c r="D152" s="130">
        <v>0.23916133301287168</v>
      </c>
      <c r="E152" s="131">
        <f t="shared" si="19"/>
        <v>2.1104175797602931</v>
      </c>
      <c r="F152" s="132">
        <f t="shared" si="20"/>
        <v>3.1647193193547585</v>
      </c>
      <c r="G152" s="638">
        <f t="shared" si="17"/>
        <v>3.5872410210261854</v>
      </c>
    </row>
    <row r="153" spans="1:7">
      <c r="A153" s="127">
        <v>2006</v>
      </c>
      <c r="B153" s="128" t="s">
        <v>65</v>
      </c>
      <c r="C153" s="129">
        <f t="shared" si="18"/>
        <v>340.54100000000022</v>
      </c>
      <c r="D153" s="130">
        <v>0.80635373589843518</v>
      </c>
      <c r="E153" s="131">
        <f t="shared" si="19"/>
        <v>2.9337887466561963</v>
      </c>
      <c r="F153" s="132">
        <f t="shared" si="20"/>
        <v>3.3417392702918436</v>
      </c>
      <c r="G153" s="638">
        <f t="shared" si="17"/>
        <v>3.5585465479927607</v>
      </c>
    </row>
    <row r="154" spans="1:7">
      <c r="A154" s="127">
        <v>2006</v>
      </c>
      <c r="B154" s="128" t="s">
        <v>66</v>
      </c>
      <c r="C154" s="129">
        <f t="shared" si="18"/>
        <v>342.4820000000002</v>
      </c>
      <c r="D154" s="130">
        <v>0.56997542146173252</v>
      </c>
      <c r="E154" s="131">
        <f t="shared" si="19"/>
        <v>3.5204860428914575</v>
      </c>
      <c r="F154" s="132">
        <f t="shared" si="20"/>
        <v>3.5881180452423944</v>
      </c>
      <c r="G154" s="638">
        <f t="shared" si="17"/>
        <v>3.5383786593164102</v>
      </c>
    </row>
    <row r="155" spans="1:7">
      <c r="A155" s="127">
        <v>2006</v>
      </c>
      <c r="B155" s="128" t="s">
        <v>55</v>
      </c>
      <c r="C155" s="129">
        <f t="shared" si="18"/>
        <v>343.38400000000019</v>
      </c>
      <c r="D155" s="130">
        <v>0.26337150565576284</v>
      </c>
      <c r="E155" s="131">
        <f t="shared" si="19"/>
        <v>3.7931295056447878</v>
      </c>
      <c r="F155" s="132">
        <f t="shared" si="20"/>
        <v>3.7931295056447878</v>
      </c>
      <c r="G155" s="638">
        <f t="shared" si="17"/>
        <v>3.5290840574983195</v>
      </c>
    </row>
    <row r="156" spans="1:7">
      <c r="A156" s="127">
        <v>2007</v>
      </c>
      <c r="B156" s="128" t="s">
        <v>70</v>
      </c>
      <c r="C156" s="129">
        <f t="shared" si="18"/>
        <v>344.85000000000025</v>
      </c>
      <c r="D156" s="130">
        <v>0.42692728840016958</v>
      </c>
      <c r="E156" s="131">
        <f>(C156/$C$155-1)*100</f>
        <v>0.42692728840016958</v>
      </c>
      <c r="F156" s="132">
        <f t="shared" si="20"/>
        <v>3.4895655148819982</v>
      </c>
      <c r="G156" s="638">
        <f t="shared" si="17"/>
        <v>3.5140814847035018</v>
      </c>
    </row>
    <row r="157" spans="1:7">
      <c r="A157" s="127">
        <v>2007</v>
      </c>
      <c r="B157" s="128" t="s">
        <v>57</v>
      </c>
      <c r="C157" s="129">
        <f t="shared" si="18"/>
        <v>345.65200000000021</v>
      </c>
      <c r="D157" s="130">
        <v>0.23256488328258218</v>
      </c>
      <c r="E157" s="131">
        <f t="shared" ref="E157:E167" si="21">(C157/$C$155-1)*100</f>
        <v>0.66048505463272011</v>
      </c>
      <c r="F157" s="132">
        <f t="shared" si="20"/>
        <v>3.7900489445395591</v>
      </c>
      <c r="G157" s="638">
        <f t="shared" si="17"/>
        <v>3.505927927510915</v>
      </c>
    </row>
    <row r="158" spans="1:7">
      <c r="A158" s="127">
        <v>2007</v>
      </c>
      <c r="B158" s="128" t="s">
        <v>72</v>
      </c>
      <c r="C158" s="129">
        <f t="shared" si="18"/>
        <v>346.40700000000021</v>
      </c>
      <c r="D158" s="130">
        <v>0.21842778285674491</v>
      </c>
      <c r="E158" s="131">
        <f t="shared" si="21"/>
        <v>0.88035552035039544</v>
      </c>
      <c r="F158" s="132">
        <f t="shared" si="20"/>
        <v>4.4870615417562876</v>
      </c>
      <c r="G158" s="638">
        <f t="shared" si="17"/>
        <v>3.4982866974397249</v>
      </c>
    </row>
    <row r="159" spans="1:7">
      <c r="A159" s="127">
        <v>2007</v>
      </c>
      <c r="B159" s="128" t="s">
        <v>73</v>
      </c>
      <c r="C159" s="129">
        <f t="shared" si="18"/>
        <v>346.87800000000027</v>
      </c>
      <c r="D159" s="130">
        <v>0.13596722929964944</v>
      </c>
      <c r="E159" s="131">
        <f t="shared" si="21"/>
        <v>1.0175197446590678</v>
      </c>
      <c r="F159" s="132">
        <f t="shared" si="20"/>
        <v>4.6051500722240624</v>
      </c>
      <c r="G159" s="638">
        <f t="shared" si="17"/>
        <v>3.4935366324759789</v>
      </c>
    </row>
    <row r="160" spans="1:7">
      <c r="A160" s="127">
        <v>2007</v>
      </c>
      <c r="B160" s="128" t="s">
        <v>74</v>
      </c>
      <c r="C160" s="129">
        <f t="shared" si="18"/>
        <v>347.42100000000028</v>
      </c>
      <c r="D160" s="130">
        <v>0.1565391866881205</v>
      </c>
      <c r="E160" s="131">
        <f t="shared" si="21"/>
        <v>1.1756517484798668</v>
      </c>
      <c r="F160" s="132">
        <f t="shared" si="20"/>
        <v>4.3773340023013363</v>
      </c>
      <c r="G160" s="638">
        <f t="shared" si="17"/>
        <v>3.4880764260076464</v>
      </c>
    </row>
    <row r="161" spans="1:7">
      <c r="A161" s="127">
        <v>2007</v>
      </c>
      <c r="B161" s="128" t="s">
        <v>75</v>
      </c>
      <c r="C161" s="129">
        <f t="shared" si="18"/>
        <v>348.32800000000026</v>
      </c>
      <c r="D161" s="130">
        <v>0.26106654462452195</v>
      </c>
      <c r="E161" s="131">
        <f t="shared" si="21"/>
        <v>1.4397875265009574</v>
      </c>
      <c r="F161" s="132">
        <f t="shared" si="20"/>
        <v>3.9577159195026912</v>
      </c>
      <c r="G161" s="638">
        <f t="shared" si="17"/>
        <v>3.4789939367492786</v>
      </c>
    </row>
    <row r="162" spans="1:7">
      <c r="A162" s="127">
        <v>2007</v>
      </c>
      <c r="B162" s="128" t="s">
        <v>76</v>
      </c>
      <c r="C162" s="129">
        <f t="shared" si="18"/>
        <v>349.62800000000033</v>
      </c>
      <c r="D162" s="130">
        <v>0.37321145586919346</v>
      </c>
      <c r="E162" s="131">
        <f t="shared" si="21"/>
        <v>1.81837243435925</v>
      </c>
      <c r="F162" s="132">
        <f t="shared" si="20"/>
        <v>4.1684915548643842</v>
      </c>
      <c r="G162" s="638">
        <f t="shared" si="17"/>
        <v>3.4660582104408184</v>
      </c>
    </row>
    <row r="163" spans="1:7">
      <c r="A163" s="127">
        <v>2007</v>
      </c>
      <c r="B163" s="128" t="s">
        <v>77</v>
      </c>
      <c r="C163" s="129">
        <f t="shared" si="18"/>
        <v>354.4950000000004</v>
      </c>
      <c r="D163" s="130">
        <v>1.3920509798986513</v>
      </c>
      <c r="E163" s="131">
        <f t="shared" si="21"/>
        <v>3.2357360855486128</v>
      </c>
      <c r="F163" s="132">
        <f t="shared" si="20"/>
        <v>5.1879612238176831</v>
      </c>
      <c r="G163" s="638">
        <f t="shared" si="17"/>
        <v>3.4184713465634271</v>
      </c>
    </row>
    <row r="164" spans="1:7">
      <c r="A164" s="127">
        <v>2007</v>
      </c>
      <c r="B164" s="128" t="s">
        <v>79</v>
      </c>
      <c r="C164" s="129">
        <f t="shared" si="18"/>
        <v>358.63300000000038</v>
      </c>
      <c r="D164" s="130">
        <v>1.1672943200891295</v>
      </c>
      <c r="E164" s="131">
        <f t="shared" si="21"/>
        <v>4.4408009691774275</v>
      </c>
      <c r="F164" s="132">
        <f t="shared" si="20"/>
        <v>6.1619160669830642</v>
      </c>
      <c r="G164" s="638">
        <f t="shared" si="17"/>
        <v>3.3790281429762521</v>
      </c>
    </row>
    <row r="165" spans="1:7">
      <c r="A165" s="127">
        <v>2007</v>
      </c>
      <c r="B165" s="128" t="s">
        <v>78</v>
      </c>
      <c r="C165" s="129">
        <f t="shared" si="18"/>
        <v>361.30800000000039</v>
      </c>
      <c r="D165" s="130">
        <v>0.74588785750335784</v>
      </c>
      <c r="E165" s="131">
        <f t="shared" si="21"/>
        <v>5.2198122218857668</v>
      </c>
      <c r="F165" s="132">
        <f t="shared" si="20"/>
        <v>6.0982378039649232</v>
      </c>
      <c r="G165" s="638">
        <f t="shared" si="17"/>
        <v>3.3540109823197999</v>
      </c>
    </row>
    <row r="166" spans="1:7">
      <c r="A166" s="127">
        <v>2007</v>
      </c>
      <c r="B166" s="128" t="s">
        <v>68</v>
      </c>
      <c r="C166" s="129">
        <f t="shared" si="18"/>
        <v>365.10000000000048</v>
      </c>
      <c r="D166" s="130">
        <v>1.0495200770533897</v>
      </c>
      <c r="E166" s="131">
        <f t="shared" si="21"/>
        <v>6.3241152761923436</v>
      </c>
      <c r="F166" s="132">
        <f t="shared" si="20"/>
        <v>6.6041426994704056</v>
      </c>
      <c r="G166" s="638">
        <f t="shared" si="17"/>
        <v>3.3191755683374473</v>
      </c>
    </row>
    <row r="167" spans="1:7">
      <c r="A167" s="127">
        <v>2007</v>
      </c>
      <c r="B167" s="128" t="s">
        <v>69</v>
      </c>
      <c r="C167" s="129">
        <f t="shared" si="18"/>
        <v>370.48500000000053</v>
      </c>
      <c r="D167" s="130">
        <v>1.4749383730484844</v>
      </c>
      <c r="E167" s="131">
        <f t="shared" si="21"/>
        <v>7.8923304522052096</v>
      </c>
      <c r="F167" s="132">
        <f t="shared" si="20"/>
        <v>7.8923304522052096</v>
      </c>
      <c r="G167" s="638">
        <f t="shared" si="17"/>
        <v>3.2709313467481862</v>
      </c>
    </row>
    <row r="168" spans="1:7">
      <c r="A168" s="127">
        <v>2008</v>
      </c>
      <c r="B168" s="128" t="s">
        <v>70</v>
      </c>
      <c r="C168" s="129">
        <f t="shared" si="18"/>
        <v>374.13900000000052</v>
      </c>
      <c r="D168" s="130">
        <v>0.98627474796550985</v>
      </c>
      <c r="E168" s="131">
        <f>(C168/$C$167-1)*100</f>
        <v>0.98627474796550985</v>
      </c>
      <c r="F168" s="132">
        <f t="shared" si="20"/>
        <v>8.4932579382340769</v>
      </c>
      <c r="G168" s="638">
        <f t="shared" si="17"/>
        <v>3.2389860452933319</v>
      </c>
    </row>
    <row r="169" spans="1:7">
      <c r="A169" s="127">
        <v>2008</v>
      </c>
      <c r="B169" s="128" t="s">
        <v>71</v>
      </c>
      <c r="C169" s="129">
        <f t="shared" si="18"/>
        <v>375.5580000000005</v>
      </c>
      <c r="D169" s="130">
        <v>0.3792708057700489</v>
      </c>
      <c r="E169" s="131">
        <f t="shared" ref="E169:E179" si="22">(C169/$C$167-1)*100</f>
        <v>1.3692862059192512</v>
      </c>
      <c r="F169" s="132">
        <f t="shared" si="20"/>
        <v>8.6520546677005363</v>
      </c>
      <c r="G169" s="638">
        <f t="shared" si="17"/>
        <v>3.2267479324099124</v>
      </c>
    </row>
    <row r="170" spans="1:7">
      <c r="A170" s="127">
        <v>2008</v>
      </c>
      <c r="B170" s="128" t="s">
        <v>72</v>
      </c>
      <c r="C170" s="129">
        <f t="shared" si="18"/>
        <v>378.19400000000053</v>
      </c>
      <c r="D170" s="130">
        <v>0.70188892261648927</v>
      </c>
      <c r="E170" s="131">
        <f t="shared" si="22"/>
        <v>2.0807859967340026</v>
      </c>
      <c r="F170" s="132">
        <f t="shared" si="20"/>
        <v>9.1762002499950377</v>
      </c>
      <c r="G170" s="638">
        <f t="shared" si="17"/>
        <v>3.2042576032406695</v>
      </c>
    </row>
    <row r="171" spans="1:7">
      <c r="A171" s="127">
        <v>2008</v>
      </c>
      <c r="B171" s="128" t="s">
        <v>73</v>
      </c>
      <c r="C171" s="129">
        <f t="shared" si="18"/>
        <v>382.4140000000005</v>
      </c>
      <c r="D171" s="130">
        <v>1.11582944203239</v>
      </c>
      <c r="E171" s="131">
        <f t="shared" si="22"/>
        <v>3.2198334615436419</v>
      </c>
      <c r="F171" s="132">
        <f t="shared" si="20"/>
        <v>10.244524011323918</v>
      </c>
      <c r="G171" s="638">
        <f t="shared" si="17"/>
        <v>3.1688981051948986</v>
      </c>
    </row>
    <row r="172" spans="1:7">
      <c r="A172" s="127">
        <v>2008</v>
      </c>
      <c r="B172" s="128" t="s">
        <v>74</v>
      </c>
      <c r="C172" s="129">
        <f t="shared" si="18"/>
        <v>389.58500000000055</v>
      </c>
      <c r="D172" s="130">
        <v>1.8751928538181195</v>
      </c>
      <c r="E172" s="131">
        <f t="shared" si="22"/>
        <v>5.1554044023374823</v>
      </c>
      <c r="F172" s="132">
        <f t="shared" si="20"/>
        <v>12.136284220009808</v>
      </c>
      <c r="G172" s="638">
        <f t="shared" si="17"/>
        <v>3.1105689387425128</v>
      </c>
    </row>
    <row r="173" spans="1:7">
      <c r="A173" s="127">
        <v>2008</v>
      </c>
      <c r="B173" s="128" t="s">
        <v>75</v>
      </c>
      <c r="C173" s="129">
        <f t="shared" si="18"/>
        <v>396.95400000000058</v>
      </c>
      <c r="D173" s="130">
        <v>1.891499929412066</v>
      </c>
      <c r="E173" s="131">
        <f t="shared" si="22"/>
        <v>7.1444188023806587</v>
      </c>
      <c r="F173" s="132">
        <f t="shared" si="20"/>
        <v>13.959830963919151</v>
      </c>
      <c r="G173" s="638">
        <f t="shared" si="17"/>
        <v>3.052824760551605</v>
      </c>
    </row>
    <row r="174" spans="1:7">
      <c r="A174" s="127">
        <v>2008</v>
      </c>
      <c r="B174" s="128" t="s">
        <v>76</v>
      </c>
      <c r="C174" s="129">
        <f t="shared" si="18"/>
        <v>401.40600000000057</v>
      </c>
      <c r="D174" s="130">
        <v>1.1215405311446602</v>
      </c>
      <c r="E174" s="131">
        <f t="shared" si="22"/>
        <v>8.3460868861087611</v>
      </c>
      <c r="F174" s="132">
        <f t="shared" si="20"/>
        <v>14.80945462033938</v>
      </c>
      <c r="G174" s="638">
        <f t="shared" si="17"/>
        <v>3.0189658350896642</v>
      </c>
    </row>
    <row r="175" spans="1:7">
      <c r="A175" s="127">
        <v>2008</v>
      </c>
      <c r="B175" s="128" t="s">
        <v>77</v>
      </c>
      <c r="C175" s="129">
        <f t="shared" si="18"/>
        <v>399.87000000000057</v>
      </c>
      <c r="D175" s="130">
        <v>-0.38265496778822072</v>
      </c>
      <c r="E175" s="131">
        <f t="shared" si="22"/>
        <v>7.9314952022349061</v>
      </c>
      <c r="F175" s="132">
        <f t="shared" si="20"/>
        <v>12.799898447086733</v>
      </c>
      <c r="G175" s="638">
        <f t="shared" si="17"/>
        <v>3.0305624327906613</v>
      </c>
    </row>
    <row r="176" spans="1:7">
      <c r="A176" s="127">
        <v>2008</v>
      </c>
      <c r="B176" s="128" t="s">
        <v>79</v>
      </c>
      <c r="C176" s="129">
        <f t="shared" si="18"/>
        <v>401.32700000000057</v>
      </c>
      <c r="D176" s="130">
        <v>0.36436841973641609</v>
      </c>
      <c r="E176" s="131">
        <f t="shared" si="22"/>
        <v>8.324763485701169</v>
      </c>
      <c r="F176" s="132">
        <f t="shared" si="20"/>
        <v>11.904649042335791</v>
      </c>
      <c r="G176" s="638">
        <f t="shared" si="17"/>
        <v>3.0195601093372781</v>
      </c>
    </row>
    <row r="177" spans="1:7">
      <c r="A177" s="127">
        <v>2008</v>
      </c>
      <c r="B177" s="128" t="s">
        <v>78</v>
      </c>
      <c r="C177" s="129">
        <f t="shared" si="18"/>
        <v>405.70700000000062</v>
      </c>
      <c r="D177" s="130">
        <v>1.091379349009669</v>
      </c>
      <c r="E177" s="131">
        <f t="shared" si="22"/>
        <v>9.5069975842476886</v>
      </c>
      <c r="F177" s="132">
        <f t="shared" si="20"/>
        <v>12.288407674338831</v>
      </c>
      <c r="G177" s="638">
        <f t="shared" si="17"/>
        <v>2.9869610334551826</v>
      </c>
    </row>
    <row r="178" spans="1:7">
      <c r="A178" s="127">
        <v>2008</v>
      </c>
      <c r="B178" s="128" t="s">
        <v>68</v>
      </c>
      <c r="C178" s="129">
        <f t="shared" si="18"/>
        <v>405.98200000000071</v>
      </c>
      <c r="D178" s="130">
        <v>6.7782907369129397E-2</v>
      </c>
      <c r="E178" s="131">
        <f t="shared" si="22"/>
        <v>9.5812246109829413</v>
      </c>
      <c r="F178" s="132">
        <f t="shared" si="20"/>
        <v>11.197480142426786</v>
      </c>
      <c r="G178" s="638">
        <f t="shared" si="17"/>
        <v>2.9849377558611008</v>
      </c>
    </row>
    <row r="179" spans="1:7">
      <c r="A179" s="127">
        <v>2008</v>
      </c>
      <c r="B179" s="128" t="s">
        <v>69</v>
      </c>
      <c r="C179" s="129">
        <f t="shared" si="18"/>
        <v>404.18500000000068</v>
      </c>
      <c r="D179" s="130">
        <v>-0.44263046144903395</v>
      </c>
      <c r="E179" s="131">
        <f t="shared" si="22"/>
        <v>9.0961847308258292</v>
      </c>
      <c r="F179" s="132">
        <f t="shared" si="20"/>
        <v>9.0961847308258292</v>
      </c>
      <c r="G179" s="638">
        <f t="shared" si="17"/>
        <v>2.9982087410468017</v>
      </c>
    </row>
    <row r="180" spans="1:7">
      <c r="A180" s="127">
        <v>2009</v>
      </c>
      <c r="B180" s="128" t="s">
        <v>70</v>
      </c>
      <c r="C180" s="129">
        <f t="shared" si="18"/>
        <v>404.24400000000071</v>
      </c>
      <c r="D180" s="130">
        <v>1.4597275999861381E-2</v>
      </c>
      <c r="E180" s="131">
        <f>(C180/$C$179-1)*100</f>
        <v>1.4597275999861381E-2</v>
      </c>
      <c r="F180" s="132">
        <f t="shared" si="20"/>
        <v>8.0464747059248332</v>
      </c>
      <c r="G180" s="638">
        <f t="shared" si="17"/>
        <v>2.9977711481184666</v>
      </c>
    </row>
    <row r="181" spans="1:7">
      <c r="A181" s="127">
        <v>2009</v>
      </c>
      <c r="B181" s="128" t="s">
        <v>71</v>
      </c>
      <c r="C181" s="129">
        <f t="shared" si="18"/>
        <v>403.73700000000071</v>
      </c>
      <c r="D181" s="130">
        <v>-0.1254193012141247</v>
      </c>
      <c r="E181" s="131">
        <f t="shared" ref="E181:E191" si="23">(C181/$C$179-1)*100</f>
        <v>-0.11084033301581586</v>
      </c>
      <c r="F181" s="132">
        <f t="shared" si="20"/>
        <v>7.5032351860432112</v>
      </c>
      <c r="G181" s="638">
        <f t="shared" si="17"/>
        <v>3.001535653160353</v>
      </c>
    </row>
    <row r="182" spans="1:7">
      <c r="A182" s="127">
        <v>2009</v>
      </c>
      <c r="B182" s="128" t="s">
        <v>72</v>
      </c>
      <c r="C182" s="129">
        <f t="shared" si="18"/>
        <v>400.35300000000069</v>
      </c>
      <c r="D182" s="130">
        <v>-0.83816940235846848</v>
      </c>
      <c r="E182" s="131">
        <f t="shared" si="23"/>
        <v>-0.94808070561747115</v>
      </c>
      <c r="F182" s="132">
        <f t="shared" si="20"/>
        <v>5.8591622289090095</v>
      </c>
      <c r="G182" s="638">
        <f t="shared" si="17"/>
        <v>3.0269062552297634</v>
      </c>
    </row>
    <row r="183" spans="1:7">
      <c r="A183" s="127">
        <v>2009</v>
      </c>
      <c r="B183" s="128" t="s">
        <v>73</v>
      </c>
      <c r="C183" s="129">
        <f t="shared" si="18"/>
        <v>400.53000000000065</v>
      </c>
      <c r="D183" s="130">
        <v>4.4210983806780568E-2</v>
      </c>
      <c r="E183" s="131">
        <f t="shared" si="23"/>
        <v>-0.90428887761793142</v>
      </c>
      <c r="F183" s="132">
        <f t="shared" si="20"/>
        <v>4.7372742629715692</v>
      </c>
      <c r="G183" s="638">
        <f t="shared" si="17"/>
        <v>3.025568621576415</v>
      </c>
    </row>
    <row r="184" spans="1:7">
      <c r="A184" s="127">
        <v>2009</v>
      </c>
      <c r="B184" s="128" t="s">
        <v>74</v>
      </c>
      <c r="C184" s="129">
        <f t="shared" si="18"/>
        <v>401.23200000000071</v>
      </c>
      <c r="D184" s="130">
        <v>0.17526777020449025</v>
      </c>
      <c r="E184" s="131">
        <f t="shared" si="23"/>
        <v>-0.73060603436544413</v>
      </c>
      <c r="F184" s="132">
        <f t="shared" si="20"/>
        <v>2.9895914883786956</v>
      </c>
      <c r="G184" s="638">
        <f t="shared" si="17"/>
        <v>3.0202750528372646</v>
      </c>
    </row>
    <row r="185" spans="1:7">
      <c r="A185" s="127">
        <v>2009</v>
      </c>
      <c r="B185" s="128" t="s">
        <v>75</v>
      </c>
      <c r="C185" s="129">
        <f t="shared" si="18"/>
        <v>399.96600000000069</v>
      </c>
      <c r="D185" s="130">
        <v>-0.31552817322646476</v>
      </c>
      <c r="E185" s="131">
        <f t="shared" si="23"/>
        <v>-1.0438289397181943</v>
      </c>
      <c r="F185" s="132">
        <f t="shared" si="20"/>
        <v>0.75877809519493411</v>
      </c>
      <c r="G185" s="638">
        <f t="shared" si="17"/>
        <v>3.0298350359780617</v>
      </c>
    </row>
    <row r="186" spans="1:7">
      <c r="A186" s="127">
        <v>2009</v>
      </c>
      <c r="B186" s="128" t="s">
        <v>76</v>
      </c>
      <c r="C186" s="129">
        <f t="shared" si="18"/>
        <v>397.39300000000065</v>
      </c>
      <c r="D186" s="130">
        <v>-0.64330468089788262</v>
      </c>
      <c r="E186" s="131">
        <f t="shared" si="23"/>
        <v>-1.6804186201863081</v>
      </c>
      <c r="F186" s="132">
        <f t="shared" si="20"/>
        <v>-0.99973592821230861</v>
      </c>
      <c r="G186" s="638">
        <f t="shared" si="17"/>
        <v>3.0494523054004512</v>
      </c>
    </row>
    <row r="187" spans="1:7">
      <c r="A187" s="127">
        <v>2009</v>
      </c>
      <c r="B187" s="128" t="s">
        <v>77</v>
      </c>
      <c r="C187" s="129">
        <f t="shared" si="18"/>
        <v>397.75800000000066</v>
      </c>
      <c r="D187" s="130">
        <v>9.1848623403034679E-2</v>
      </c>
      <c r="E187" s="131">
        <f t="shared" si="23"/>
        <v>-1.5901134381533288</v>
      </c>
      <c r="F187" s="132">
        <f t="shared" si="20"/>
        <v>-0.5281716557881122</v>
      </c>
      <c r="G187" s="638">
        <f t="shared" si="17"/>
        <v>3.0466539956455976</v>
      </c>
    </row>
    <row r="188" spans="1:7">
      <c r="A188" s="127">
        <v>2009</v>
      </c>
      <c r="B188" s="128" t="s">
        <v>64</v>
      </c>
      <c r="C188" s="129">
        <f t="shared" si="18"/>
        <v>398.73800000000074</v>
      </c>
      <c r="D188" s="130">
        <v>0.24638096531057752</v>
      </c>
      <c r="E188" s="131">
        <f t="shared" si="23"/>
        <v>-1.3476502096811949</v>
      </c>
      <c r="F188" s="132">
        <f t="shared" si="20"/>
        <v>-0.64510984807895078</v>
      </c>
      <c r="G188" s="638">
        <f t="shared" si="17"/>
        <v>3.0391660689475328</v>
      </c>
    </row>
    <row r="189" spans="1:7">
      <c r="A189" s="127">
        <v>2009</v>
      </c>
      <c r="B189" s="128" t="s">
        <v>78</v>
      </c>
      <c r="C189" s="129">
        <f t="shared" si="18"/>
        <v>398.57500000000073</v>
      </c>
      <c r="D189" s="130">
        <v>-4.0878973160318743E-2</v>
      </c>
      <c r="E189" s="131">
        <f t="shared" si="23"/>
        <v>-1.3879782772740046</v>
      </c>
      <c r="F189" s="132">
        <f t="shared" si="20"/>
        <v>-1.7579188922054345</v>
      </c>
      <c r="G189" s="638">
        <f t="shared" si="17"/>
        <v>3.0404089569089918</v>
      </c>
    </row>
    <row r="190" spans="1:7">
      <c r="A190" s="127">
        <v>2009</v>
      </c>
      <c r="B190" s="128" t="s">
        <v>68</v>
      </c>
      <c r="C190" s="129">
        <f t="shared" si="18"/>
        <v>398.85700000000077</v>
      </c>
      <c r="D190" s="130">
        <v>7.0752054193068403E-2</v>
      </c>
      <c r="E190" s="131">
        <f t="shared" si="23"/>
        <v>-1.318208246223862</v>
      </c>
      <c r="F190" s="132">
        <f t="shared" si="20"/>
        <v>-1.7550039164297759</v>
      </c>
      <c r="G190" s="638">
        <f t="shared" si="17"/>
        <v>3.0382593260241171</v>
      </c>
    </row>
    <row r="191" spans="1:7">
      <c r="A191" s="127">
        <v>2009</v>
      </c>
      <c r="B191" s="128" t="s">
        <v>55</v>
      </c>
      <c r="C191" s="129">
        <f t="shared" si="18"/>
        <v>398.40700000000072</v>
      </c>
      <c r="D191" s="130">
        <v>-0.11282238997937233</v>
      </c>
      <c r="E191" s="131">
        <f t="shared" si="23"/>
        <v>-1.4295434021549425</v>
      </c>
      <c r="F191" s="132">
        <f t="shared" si="20"/>
        <v>-1.4295434021549425</v>
      </c>
      <c r="G191" s="638">
        <f t="shared" si="17"/>
        <v>3.0416910345450789</v>
      </c>
    </row>
    <row r="192" spans="1:7">
      <c r="A192" s="127">
        <v>2010</v>
      </c>
      <c r="B192" s="128" t="s">
        <v>56</v>
      </c>
      <c r="C192" s="129">
        <f t="shared" si="18"/>
        <v>402.42500000000069</v>
      </c>
      <c r="D192" s="130">
        <v>1.0085164166292238</v>
      </c>
      <c r="E192" s="131">
        <f>(C192/$C$191-1)*100</f>
        <v>1.0085164166292238</v>
      </c>
      <c r="F192" s="132">
        <f t="shared" si="20"/>
        <v>-0.44997575721593686</v>
      </c>
      <c r="G192" s="638">
        <f t="shared" si="17"/>
        <v>3.0113213642293633</v>
      </c>
    </row>
    <row r="193" spans="1:7">
      <c r="A193" s="127">
        <v>2010</v>
      </c>
      <c r="B193" s="128" t="s">
        <v>57</v>
      </c>
      <c r="C193" s="129">
        <f t="shared" si="18"/>
        <v>406.8260000000007</v>
      </c>
      <c r="D193" s="130">
        <v>1.0936199291793569</v>
      </c>
      <c r="E193" s="131">
        <f t="shared" ref="E193:E203" si="24">(C193/$C$191-1)*100</f>
        <v>2.113165682329865</v>
      </c>
      <c r="F193" s="132">
        <f t="shared" si="20"/>
        <v>0.76510203424506873</v>
      </c>
      <c r="G193" s="638">
        <f t="shared" si="17"/>
        <v>2.9787452129411625</v>
      </c>
    </row>
    <row r="194" spans="1:7">
      <c r="A194" s="127">
        <v>2010</v>
      </c>
      <c r="B194" s="128" t="s">
        <v>58</v>
      </c>
      <c r="C194" s="129">
        <f t="shared" si="18"/>
        <v>409.39900000000074</v>
      </c>
      <c r="D194" s="130">
        <v>0.63245711925983272</v>
      </c>
      <c r="E194" s="131">
        <f t="shared" si="24"/>
        <v>2.7589876683893566</v>
      </c>
      <c r="F194" s="132">
        <f t="shared" si="20"/>
        <v>2.2595059859674027</v>
      </c>
      <c r="G194" s="638">
        <f t="shared" si="17"/>
        <v>2.9600243283447232</v>
      </c>
    </row>
    <row r="195" spans="1:7">
      <c r="A195" s="127">
        <v>2010</v>
      </c>
      <c r="B195" s="128" t="s">
        <v>59</v>
      </c>
      <c r="C195" s="129">
        <f t="shared" si="18"/>
        <v>412.3410000000008</v>
      </c>
      <c r="D195" s="130">
        <v>0.71861435909712501</v>
      </c>
      <c r="E195" s="131">
        <f t="shared" si="24"/>
        <v>3.4974285090372481</v>
      </c>
      <c r="F195" s="132">
        <f t="shared" si="20"/>
        <v>2.9488427833121333</v>
      </c>
      <c r="G195" s="638">
        <f t="shared" si="17"/>
        <v>2.9389049354781629</v>
      </c>
    </row>
    <row r="196" spans="1:7">
      <c r="A196" s="127">
        <v>2010</v>
      </c>
      <c r="B196" s="128" t="s">
        <v>60</v>
      </c>
      <c r="C196" s="129">
        <f t="shared" si="18"/>
        <v>418.81100000000083</v>
      </c>
      <c r="D196" s="130">
        <v>1.5690896612269967</v>
      </c>
      <c r="E196" s="131">
        <f t="shared" si="24"/>
        <v>5.1213959594083702</v>
      </c>
      <c r="F196" s="132">
        <f t="shared" si="20"/>
        <v>4.3812557323444024</v>
      </c>
      <c r="G196" s="638">
        <f t="shared" si="17"/>
        <v>2.8935032747468457</v>
      </c>
    </row>
    <row r="197" spans="1:7">
      <c r="A197" s="127">
        <v>2010</v>
      </c>
      <c r="B197" s="128" t="s">
        <v>61</v>
      </c>
      <c r="C197" s="129">
        <f t="shared" si="18"/>
        <v>420.24100000000089</v>
      </c>
      <c r="D197" s="130">
        <v>0.34144279878036699</v>
      </c>
      <c r="E197" s="131">
        <f t="shared" si="24"/>
        <v>5.4803253958891629</v>
      </c>
      <c r="F197" s="132">
        <f t="shared" si="20"/>
        <v>5.0691808803748684</v>
      </c>
      <c r="G197" s="638">
        <f t="shared" si="17"/>
        <v>2.8836572347771896</v>
      </c>
    </row>
    <row r="198" spans="1:7">
      <c r="A198" s="127">
        <v>2010</v>
      </c>
      <c r="B198" s="128" t="s">
        <v>62</v>
      </c>
      <c r="C198" s="129">
        <f t="shared" si="18"/>
        <v>421.15400000000091</v>
      </c>
      <c r="D198" s="130">
        <v>0.21725628865341129</v>
      </c>
      <c r="E198" s="131">
        <f t="shared" si="24"/>
        <v>5.7094880361038269</v>
      </c>
      <c r="F198" s="132">
        <f t="shared" si="20"/>
        <v>5.9792195635052003</v>
      </c>
      <c r="G198" s="638">
        <f t="shared" si="17"/>
        <v>2.8774058895320973</v>
      </c>
    </row>
    <row r="199" spans="1:7">
      <c r="A199" s="127">
        <v>2010</v>
      </c>
      <c r="B199" s="128" t="s">
        <v>77</v>
      </c>
      <c r="C199" s="129">
        <f t="shared" si="18"/>
        <v>425.78800000000092</v>
      </c>
      <c r="D199" s="130">
        <v>1.1003101003433491</v>
      </c>
      <c r="E199" s="131">
        <f t="shared" si="24"/>
        <v>6.8726202099863132</v>
      </c>
      <c r="F199" s="132">
        <f t="shared" si="20"/>
        <v>7.0469984261787744</v>
      </c>
      <c r="G199" s="638">
        <f t="shared" ref="G199:G262" si="25">$C$388/C199</f>
        <v>2.8460900729940741</v>
      </c>
    </row>
    <row r="200" spans="1:7">
      <c r="A200" s="127">
        <v>2010</v>
      </c>
      <c r="B200" s="128" t="s">
        <v>79</v>
      </c>
      <c r="C200" s="129">
        <f t="shared" ref="C200:C263" si="26">C199*(1+D200/100)</f>
        <v>430.45300000000094</v>
      </c>
      <c r="D200" s="130">
        <v>1.095615658496718</v>
      </c>
      <c r="E200" s="131">
        <f t="shared" si="24"/>
        <v>8.0435333716526447</v>
      </c>
      <c r="F200" s="132">
        <f t="shared" si="20"/>
        <v>7.9538443790158286</v>
      </c>
      <c r="G200" s="638">
        <f t="shared" si="25"/>
        <v>2.8152457991929452</v>
      </c>
    </row>
    <row r="201" spans="1:7">
      <c r="A201" s="127">
        <v>2010</v>
      </c>
      <c r="B201" s="128" t="s">
        <v>78</v>
      </c>
      <c r="C201" s="129">
        <f t="shared" si="26"/>
        <v>434.88200000000097</v>
      </c>
      <c r="D201" s="130">
        <v>1.0289160489066251</v>
      </c>
      <c r="E201" s="131">
        <f t="shared" si="24"/>
        <v>9.1552106263193664</v>
      </c>
      <c r="F201" s="132">
        <f t="shared" si="20"/>
        <v>9.1092015304522711</v>
      </c>
      <c r="G201" s="638">
        <f t="shared" si="25"/>
        <v>2.7865742891175098</v>
      </c>
    </row>
    <row r="202" spans="1:7">
      <c r="A202" s="127">
        <v>2010</v>
      </c>
      <c r="B202" s="128" t="s">
        <v>68</v>
      </c>
      <c r="C202" s="129">
        <f t="shared" si="26"/>
        <v>441.75400000000099</v>
      </c>
      <c r="D202" s="130">
        <v>1.5801987665619688</v>
      </c>
      <c r="E202" s="131">
        <f t="shared" si="24"/>
        <v>10.880079918274577</v>
      </c>
      <c r="F202" s="132">
        <f t="shared" si="20"/>
        <v>10.75498236209973</v>
      </c>
      <c r="G202" s="638">
        <f t="shared" si="25"/>
        <v>2.7432258677906729</v>
      </c>
    </row>
    <row r="203" spans="1:7">
      <c r="A203" s="127">
        <v>2010</v>
      </c>
      <c r="B203" s="128" t="s">
        <v>69</v>
      </c>
      <c r="C203" s="129">
        <f t="shared" si="26"/>
        <v>443.42700000000104</v>
      </c>
      <c r="D203" s="130">
        <v>0.37871756679057622</v>
      </c>
      <c r="E203" s="131">
        <f t="shared" si="24"/>
        <v>11.300002258996521</v>
      </c>
      <c r="F203" s="132">
        <f t="shared" si="20"/>
        <v>11.300002258996521</v>
      </c>
      <c r="G203" s="638">
        <f t="shared" si="25"/>
        <v>2.7328759863517571</v>
      </c>
    </row>
    <row r="204" spans="1:7">
      <c r="A204" s="127">
        <v>2011</v>
      </c>
      <c r="B204" s="128" t="s">
        <v>70</v>
      </c>
      <c r="C204" s="129">
        <f t="shared" si="26"/>
        <v>447.76400000000098</v>
      </c>
      <c r="D204" s="130">
        <v>0.97806403308773326</v>
      </c>
      <c r="E204" s="131">
        <f>(C204/$C$203-1)*100</f>
        <v>0.97806403308773326</v>
      </c>
      <c r="F204" s="132">
        <f t="shared" si="20"/>
        <v>11.266447164067884</v>
      </c>
      <c r="G204" s="638">
        <f t="shared" si="25"/>
        <v>2.7064056065248678</v>
      </c>
    </row>
    <row r="205" spans="1:7">
      <c r="A205" s="127">
        <v>2011</v>
      </c>
      <c r="B205" s="128" t="s">
        <v>71</v>
      </c>
      <c r="C205" s="129">
        <f t="shared" si="26"/>
        <v>452.04700000000105</v>
      </c>
      <c r="D205" s="130">
        <v>0.95653067240779599</v>
      </c>
      <c r="E205" s="131">
        <f t="shared" ref="E205:E215" si="27">(C205/$C$203-1)*100</f>
        <v>1.9439501879678023</v>
      </c>
      <c r="F205" s="132">
        <f t="shared" si="20"/>
        <v>11.1155629187909</v>
      </c>
      <c r="G205" s="638">
        <f t="shared" si="25"/>
        <v>2.680763283463889</v>
      </c>
    </row>
    <row r="206" spans="1:7">
      <c r="A206" s="127">
        <v>2011</v>
      </c>
      <c r="B206" s="128" t="s">
        <v>72</v>
      </c>
      <c r="C206" s="129">
        <f t="shared" si="26"/>
        <v>454.80500000000103</v>
      </c>
      <c r="D206" s="130">
        <v>0.61011355013969037</v>
      </c>
      <c r="E206" s="131">
        <f t="shared" si="27"/>
        <v>2.5659240416122442</v>
      </c>
      <c r="F206" s="132">
        <f t="shared" si="20"/>
        <v>11.090891770619905</v>
      </c>
      <c r="G206" s="638">
        <f t="shared" si="25"/>
        <v>2.6645067666362525</v>
      </c>
    </row>
    <row r="207" spans="1:7">
      <c r="A207" s="127">
        <v>2011</v>
      </c>
      <c r="B207" s="128" t="s">
        <v>73</v>
      </c>
      <c r="C207" s="129">
        <f t="shared" si="26"/>
        <v>457.05900000000105</v>
      </c>
      <c r="D207" s="130">
        <v>0.49559701410495371</v>
      </c>
      <c r="E207" s="131">
        <f t="shared" si="27"/>
        <v>3.0742376986516273</v>
      </c>
      <c r="F207" s="132">
        <f t="shared" si="20"/>
        <v>10.844907491614997</v>
      </c>
      <c r="G207" s="638">
        <f t="shared" si="25"/>
        <v>2.6513666725740022</v>
      </c>
    </row>
    <row r="208" spans="1:7">
      <c r="A208" s="127">
        <v>2011</v>
      </c>
      <c r="B208" s="128" t="s">
        <v>74</v>
      </c>
      <c r="C208" s="129">
        <f t="shared" si="26"/>
        <v>457.09000000000106</v>
      </c>
      <c r="D208" s="130">
        <v>6.782494163770636E-3</v>
      </c>
      <c r="E208" s="131">
        <f t="shared" si="27"/>
        <v>3.0812287028078922</v>
      </c>
      <c r="F208" s="132">
        <f t="shared" si="20"/>
        <v>9.1399223038554744</v>
      </c>
      <c r="G208" s="638">
        <f t="shared" si="25"/>
        <v>2.6511868559802245</v>
      </c>
    </row>
    <row r="209" spans="1:7">
      <c r="A209" s="127">
        <v>2011</v>
      </c>
      <c r="B209" s="128" t="s">
        <v>75</v>
      </c>
      <c r="C209" s="129">
        <f t="shared" si="26"/>
        <v>456.49000000000109</v>
      </c>
      <c r="D209" s="130">
        <v>-0.13126517753614397</v>
      </c>
      <c r="E209" s="131">
        <f t="shared" si="27"/>
        <v>2.9459189449447143</v>
      </c>
      <c r="F209" s="132">
        <f t="shared" si="20"/>
        <v>8.6257647397564909</v>
      </c>
      <c r="G209" s="638">
        <f t="shared" si="25"/>
        <v>2.6546715152577289</v>
      </c>
    </row>
    <row r="210" spans="1:7">
      <c r="A210" s="127">
        <v>2011</v>
      </c>
      <c r="B210" s="128" t="s">
        <v>76</v>
      </c>
      <c r="C210" s="129">
        <f t="shared" si="26"/>
        <v>456.25800000000106</v>
      </c>
      <c r="D210" s="130">
        <v>-5.0822580998499678E-2</v>
      </c>
      <c r="E210" s="131">
        <f t="shared" si="27"/>
        <v>2.893599171904282</v>
      </c>
      <c r="F210" s="132">
        <f t="shared" si="20"/>
        <v>8.335193302212506</v>
      </c>
      <c r="G210" s="638">
        <f t="shared" si="25"/>
        <v>2.6560213738718024</v>
      </c>
    </row>
    <row r="211" spans="1:7">
      <c r="A211" s="127">
        <v>2011</v>
      </c>
      <c r="B211" s="128" t="s">
        <v>77</v>
      </c>
      <c r="C211" s="129">
        <f t="shared" si="26"/>
        <v>459.05500000000109</v>
      </c>
      <c r="D211" s="130">
        <v>0.61303034686515101</v>
      </c>
      <c r="E211" s="131">
        <f t="shared" si="27"/>
        <v>3.5243681598098542</v>
      </c>
      <c r="F211" s="132">
        <f t="shared" si="20"/>
        <v>7.8130431106560261</v>
      </c>
      <c r="G211" s="638">
        <f t="shared" si="25"/>
        <v>2.6398383635947775</v>
      </c>
    </row>
    <row r="212" spans="1:7">
      <c r="A212" s="127">
        <v>2011</v>
      </c>
      <c r="B212" s="128" t="s">
        <v>79</v>
      </c>
      <c r="C212" s="129">
        <f t="shared" si="26"/>
        <v>462.50900000000109</v>
      </c>
      <c r="D212" s="130">
        <v>0.75241528792846513</v>
      </c>
      <c r="E212" s="131">
        <f t="shared" si="27"/>
        <v>4.3033013325755931</v>
      </c>
      <c r="F212" s="132">
        <f t="shared" ref="F212:F275" si="28">100*(C212/C200-1)</f>
        <v>7.4470383526192396</v>
      </c>
      <c r="G212" s="638">
        <f t="shared" si="25"/>
        <v>2.6201241489354818</v>
      </c>
    </row>
    <row r="213" spans="1:7">
      <c r="A213" s="127">
        <v>2011</v>
      </c>
      <c r="B213" s="128" t="s">
        <v>78</v>
      </c>
      <c r="C213" s="129">
        <f t="shared" si="26"/>
        <v>464.34900000000107</v>
      </c>
      <c r="D213" s="130">
        <v>0.39783009627920585</v>
      </c>
      <c r="E213" s="131">
        <f t="shared" si="27"/>
        <v>4.7182512566893653</v>
      </c>
      <c r="F213" s="132">
        <f t="shared" si="28"/>
        <v>6.7758610381666751</v>
      </c>
      <c r="G213" s="638">
        <f t="shared" si="25"/>
        <v>2.6097418105778214</v>
      </c>
    </row>
    <row r="214" spans="1:7">
      <c r="A214" s="127">
        <v>2011</v>
      </c>
      <c r="B214" s="128" t="s">
        <v>68</v>
      </c>
      <c r="C214" s="129">
        <f t="shared" si="26"/>
        <v>466.33100000000115</v>
      </c>
      <c r="D214" s="130">
        <v>0.42683412691748579</v>
      </c>
      <c r="E214" s="131">
        <f t="shared" si="27"/>
        <v>5.165224490164122</v>
      </c>
      <c r="F214" s="132">
        <f t="shared" si="28"/>
        <v>5.5635036694631212</v>
      </c>
      <c r="G214" s="638">
        <f t="shared" si="25"/>
        <v>2.5986498860251634</v>
      </c>
    </row>
    <row r="215" spans="1:7">
      <c r="A215" s="127">
        <v>2011</v>
      </c>
      <c r="B215" s="128" t="s">
        <v>69</v>
      </c>
      <c r="C215" s="129">
        <f t="shared" si="26"/>
        <v>465.58600000000115</v>
      </c>
      <c r="D215" s="130">
        <v>-0.15975776862358071</v>
      </c>
      <c r="E215" s="131">
        <f t="shared" si="27"/>
        <v>4.9972148741506572</v>
      </c>
      <c r="F215" s="132">
        <f t="shared" si="28"/>
        <v>4.9972148741506572</v>
      </c>
      <c r="G215" s="638">
        <f t="shared" si="25"/>
        <v>2.6028080741259414</v>
      </c>
    </row>
    <row r="216" spans="1:7">
      <c r="A216" s="127">
        <v>2012</v>
      </c>
      <c r="B216" s="128" t="s">
        <v>70</v>
      </c>
      <c r="C216" s="129">
        <f t="shared" si="26"/>
        <v>466.97900000000112</v>
      </c>
      <c r="D216" s="130">
        <v>0.29919284514567934</v>
      </c>
      <c r="E216" s="131">
        <f>(C216/$C$215-1)*100</f>
        <v>0.29919284514567934</v>
      </c>
      <c r="F216" s="132">
        <f t="shared" si="28"/>
        <v>4.2913231077085445</v>
      </c>
      <c r="G216" s="638">
        <f t="shared" si="25"/>
        <v>2.5950438884832092</v>
      </c>
    </row>
    <row r="217" spans="1:7">
      <c r="A217" s="127">
        <v>2012</v>
      </c>
      <c r="B217" s="128" t="s">
        <v>71</v>
      </c>
      <c r="C217" s="129">
        <f t="shared" si="26"/>
        <v>467.30800000000113</v>
      </c>
      <c r="D217" s="130">
        <v>7.0452846916024825E-2</v>
      </c>
      <c r="E217" s="131">
        <f t="shared" ref="E217:E227" si="29">(C217/$C$215-1)*100</f>
        <v>0.36985648193887943</v>
      </c>
      <c r="F217" s="132">
        <f t="shared" si="28"/>
        <v>3.375976391835378</v>
      </c>
      <c r="G217" s="638">
        <f t="shared" si="25"/>
        <v>2.5932168933551334</v>
      </c>
    </row>
    <row r="218" spans="1:7">
      <c r="A218" s="127">
        <v>2012</v>
      </c>
      <c r="B218" s="128" t="s">
        <v>72</v>
      </c>
      <c r="C218" s="129">
        <f t="shared" si="26"/>
        <v>469.91000000000116</v>
      </c>
      <c r="D218" s="130">
        <v>0.55680621774076844</v>
      </c>
      <c r="E218" s="131">
        <f t="shared" si="29"/>
        <v>0.92872208356780117</v>
      </c>
      <c r="F218" s="132">
        <f t="shared" si="28"/>
        <v>3.3212035927485672</v>
      </c>
      <c r="G218" s="638">
        <f t="shared" si="25"/>
        <v>2.5788576535932424</v>
      </c>
    </row>
    <row r="219" spans="1:7">
      <c r="A219" s="127">
        <v>2012</v>
      </c>
      <c r="B219" s="128" t="s">
        <v>73</v>
      </c>
      <c r="C219" s="129">
        <f t="shared" si="26"/>
        <v>474.68300000000107</v>
      </c>
      <c r="D219" s="130">
        <v>1.015726415696605</v>
      </c>
      <c r="E219" s="131">
        <f t="shared" si="29"/>
        <v>1.9538817747956072</v>
      </c>
      <c r="F219" s="132">
        <f t="shared" si="28"/>
        <v>3.8559573271722103</v>
      </c>
      <c r="G219" s="638">
        <f t="shared" si="25"/>
        <v>2.5529269006895143</v>
      </c>
    </row>
    <row r="220" spans="1:7">
      <c r="A220" s="127">
        <v>2012</v>
      </c>
      <c r="B220" s="128" t="s">
        <v>74</v>
      </c>
      <c r="C220" s="129">
        <f t="shared" si="26"/>
        <v>479.01900000000109</v>
      </c>
      <c r="D220" s="130">
        <v>0.91345171409129566</v>
      </c>
      <c r="E220" s="131">
        <f t="shared" si="29"/>
        <v>2.8851812554500977</v>
      </c>
      <c r="F220" s="132">
        <f t="shared" si="28"/>
        <v>4.7975234636504771</v>
      </c>
      <c r="G220" s="638">
        <f t="shared" si="25"/>
        <v>2.5298182326797076</v>
      </c>
    </row>
    <row r="221" spans="1:7">
      <c r="A221" s="127">
        <v>2012</v>
      </c>
      <c r="B221" s="128" t="s">
        <v>75</v>
      </c>
      <c r="C221" s="129">
        <f t="shared" si="26"/>
        <v>482.31100000000106</v>
      </c>
      <c r="D221" s="130">
        <v>0.68723787574187511</v>
      </c>
      <c r="E221" s="131">
        <f t="shared" si="29"/>
        <v>3.5922471895632357</v>
      </c>
      <c r="F221" s="132">
        <f t="shared" si="28"/>
        <v>5.6564218274222755</v>
      </c>
      <c r="G221" s="638">
        <f t="shared" si="25"/>
        <v>2.5125510303517875</v>
      </c>
    </row>
    <row r="222" spans="1:7">
      <c r="A222" s="127">
        <v>2012</v>
      </c>
      <c r="B222" s="128" t="s">
        <v>76</v>
      </c>
      <c r="C222" s="129">
        <f t="shared" si="26"/>
        <v>489.621000000001</v>
      </c>
      <c r="D222" s="130">
        <v>1.5156195898496927</v>
      </c>
      <c r="E222" s="131">
        <f t="shared" si="29"/>
        <v>5.1623115815337739</v>
      </c>
      <c r="F222" s="132">
        <f t="shared" si="28"/>
        <v>7.3123101403153257</v>
      </c>
      <c r="G222" s="638">
        <f t="shared" si="25"/>
        <v>2.4750388565849932</v>
      </c>
    </row>
    <row r="223" spans="1:7">
      <c r="A223" s="127">
        <v>2012</v>
      </c>
      <c r="B223" s="128" t="s">
        <v>77</v>
      </c>
      <c r="C223" s="129">
        <f t="shared" si="26"/>
        <v>495.94900000000109</v>
      </c>
      <c r="D223" s="130">
        <v>1.2924282250965646</v>
      </c>
      <c r="E223" s="131">
        <f t="shared" si="29"/>
        <v>6.521458978577499</v>
      </c>
      <c r="F223" s="132">
        <f t="shared" si="28"/>
        <v>8.0369454640511364</v>
      </c>
      <c r="G223" s="638">
        <f t="shared" si="25"/>
        <v>2.4434589040405381</v>
      </c>
    </row>
    <row r="224" spans="1:7">
      <c r="A224" s="127">
        <v>2012</v>
      </c>
      <c r="B224" s="128" t="s">
        <v>79</v>
      </c>
      <c r="C224" s="129">
        <f t="shared" si="26"/>
        <v>500.3140000000011</v>
      </c>
      <c r="D224" s="130">
        <v>0.88013081990285791</v>
      </c>
      <c r="E224" s="131">
        <f t="shared" si="29"/>
        <v>7.4589871688581333</v>
      </c>
      <c r="F224" s="132">
        <f t="shared" si="28"/>
        <v>8.1738949944757611</v>
      </c>
      <c r="G224" s="638">
        <f t="shared" si="25"/>
        <v>2.4221408955176167</v>
      </c>
    </row>
    <row r="225" spans="1:7">
      <c r="A225" s="127">
        <v>2012</v>
      </c>
      <c r="B225" s="128" t="s">
        <v>78</v>
      </c>
      <c r="C225" s="129">
        <f t="shared" si="26"/>
        <v>498.73900000000106</v>
      </c>
      <c r="D225" s="130">
        <v>-0.3148023041530057</v>
      </c>
      <c r="E225" s="131">
        <f t="shared" si="29"/>
        <v>7.1207038012311097</v>
      </c>
      <c r="F225" s="132">
        <f t="shared" si="28"/>
        <v>7.4060674191179343</v>
      </c>
      <c r="G225" s="638">
        <f t="shared" si="25"/>
        <v>2.4297899302039765</v>
      </c>
    </row>
    <row r="226" spans="1:7">
      <c r="A226" s="127">
        <v>2012</v>
      </c>
      <c r="B226" s="128" t="s">
        <v>68</v>
      </c>
      <c r="C226" s="129">
        <f t="shared" si="26"/>
        <v>499.98900000000106</v>
      </c>
      <c r="D226" s="130">
        <v>0.25063209414142307</v>
      </c>
      <c r="E226" s="131">
        <f t="shared" si="29"/>
        <v>7.389182664427163</v>
      </c>
      <c r="F226" s="132">
        <f t="shared" si="28"/>
        <v>7.2176201024593656</v>
      </c>
      <c r="G226" s="638">
        <f t="shared" si="25"/>
        <v>2.4237153217370802</v>
      </c>
    </row>
    <row r="227" spans="1:7">
      <c r="A227" s="127">
        <v>2012</v>
      </c>
      <c r="B227" s="128" t="s">
        <v>69</v>
      </c>
      <c r="C227" s="129">
        <f t="shared" si="26"/>
        <v>503.2830000000011</v>
      </c>
      <c r="D227" s="130">
        <v>0.65881449391886893</v>
      </c>
      <c r="E227" s="131">
        <f t="shared" si="29"/>
        <v>8.0966781647214159</v>
      </c>
      <c r="F227" s="132">
        <f t="shared" si="28"/>
        <v>8.0966781647214159</v>
      </c>
      <c r="G227" s="638">
        <f t="shared" si="25"/>
        <v>2.4078520434824959</v>
      </c>
    </row>
    <row r="228" spans="1:7">
      <c r="A228" s="127">
        <v>2013</v>
      </c>
      <c r="B228" s="128" t="s">
        <v>70</v>
      </c>
      <c r="C228" s="129">
        <f t="shared" si="26"/>
        <v>504.83000000000106</v>
      </c>
      <c r="D228" s="130">
        <v>0.30738173155062665</v>
      </c>
      <c r="E228" s="131">
        <f>(C228/$C$227-1)*100</f>
        <v>0.30738173155062665</v>
      </c>
      <c r="F228" s="132">
        <f t="shared" si="28"/>
        <v>8.1055036736126915</v>
      </c>
      <c r="G228" s="638">
        <f t="shared" si="25"/>
        <v>2.4004734266980985</v>
      </c>
    </row>
    <row r="229" spans="1:7">
      <c r="A229" s="127">
        <v>2013</v>
      </c>
      <c r="B229" s="128" t="s">
        <v>71</v>
      </c>
      <c r="C229" s="129">
        <f t="shared" si="26"/>
        <v>505.83200000000113</v>
      </c>
      <c r="D229" s="130">
        <v>0.1984826575282872</v>
      </c>
      <c r="E229" s="131">
        <f t="shared" ref="E229:E239" si="30">(C229/$C$227-1)*100</f>
        <v>0.50647448850846821</v>
      </c>
      <c r="F229" s="132">
        <f t="shared" si="28"/>
        <v>8.2438135020157723</v>
      </c>
      <c r="G229" s="638">
        <f t="shared" si="25"/>
        <v>2.3957183412674579</v>
      </c>
    </row>
    <row r="230" spans="1:7">
      <c r="A230" s="127">
        <v>2013</v>
      </c>
      <c r="B230" s="128" t="s">
        <v>72</v>
      </c>
      <c r="C230" s="129">
        <f t="shared" si="26"/>
        <v>507.37500000000114</v>
      </c>
      <c r="D230" s="130">
        <v>0.30504199022600709</v>
      </c>
      <c r="E230" s="131">
        <f t="shared" si="30"/>
        <v>0.813061438594187</v>
      </c>
      <c r="F230" s="132">
        <f t="shared" si="28"/>
        <v>7.9728033027600675</v>
      </c>
      <c r="G230" s="638">
        <f t="shared" si="25"/>
        <v>2.3884326188716449</v>
      </c>
    </row>
    <row r="231" spans="1:7">
      <c r="A231" s="127">
        <v>2013</v>
      </c>
      <c r="B231" s="128" t="s">
        <v>73</v>
      </c>
      <c r="C231" s="129">
        <f t="shared" si="26"/>
        <v>507.08700000000113</v>
      </c>
      <c r="D231" s="130">
        <v>-5.6762749445682381E-2</v>
      </c>
      <c r="E231" s="131">
        <f t="shared" si="30"/>
        <v>0.75583717312128762</v>
      </c>
      <c r="F231" s="132">
        <f t="shared" si="28"/>
        <v>6.8264504943299054</v>
      </c>
      <c r="G231" s="638">
        <f t="shared" si="25"/>
        <v>2.3897891288871551</v>
      </c>
    </row>
    <row r="232" spans="1:7">
      <c r="A232" s="127">
        <v>2013</v>
      </c>
      <c r="B232" s="128" t="s">
        <v>74</v>
      </c>
      <c r="C232" s="129">
        <f t="shared" si="26"/>
        <v>508.71500000000117</v>
      </c>
      <c r="D232" s="130">
        <v>0.32104944516424538</v>
      </c>
      <c r="E232" s="131">
        <f t="shared" si="30"/>
        <v>1.0793132293361873</v>
      </c>
      <c r="F232" s="132">
        <f t="shared" si="28"/>
        <v>6.1993365607627249</v>
      </c>
      <c r="G232" s="638">
        <f t="shared" si="25"/>
        <v>2.3821412775326083</v>
      </c>
    </row>
    <row r="233" spans="1:7">
      <c r="A233" s="127">
        <v>2013</v>
      </c>
      <c r="B233" s="128" t="s">
        <v>75</v>
      </c>
      <c r="C233" s="129">
        <f t="shared" si="26"/>
        <v>512.59800000000109</v>
      </c>
      <c r="D233" s="130">
        <v>0.76329575499050062</v>
      </c>
      <c r="E233" s="131">
        <f t="shared" si="30"/>
        <v>1.8508473363892719</v>
      </c>
      <c r="F233" s="132">
        <f t="shared" si="28"/>
        <v>6.2795582103663428</v>
      </c>
      <c r="G233" s="638">
        <f t="shared" si="25"/>
        <v>2.3640962313547869</v>
      </c>
    </row>
    <row r="234" spans="1:7">
      <c r="A234" s="127">
        <v>2013</v>
      </c>
      <c r="B234" s="128" t="s">
        <v>76</v>
      </c>
      <c r="C234" s="129">
        <f t="shared" si="26"/>
        <v>513.31300000000113</v>
      </c>
      <c r="D234" s="130">
        <v>0.13948552276834558</v>
      </c>
      <c r="E234" s="131">
        <f t="shared" si="30"/>
        <v>1.9929145232403966</v>
      </c>
      <c r="F234" s="132">
        <f t="shared" si="28"/>
        <v>4.838844739094128</v>
      </c>
      <c r="G234" s="638">
        <f t="shared" si="25"/>
        <v>2.3608032525963707</v>
      </c>
    </row>
    <row r="235" spans="1:7">
      <c r="A235" s="127">
        <v>2013</v>
      </c>
      <c r="B235" s="128" t="s">
        <v>77</v>
      </c>
      <c r="C235" s="129">
        <f t="shared" si="26"/>
        <v>515.68800000000113</v>
      </c>
      <c r="D235" s="130">
        <v>0.46268066462373802</v>
      </c>
      <c r="E235" s="131">
        <f t="shared" si="30"/>
        <v>2.4648160180256395</v>
      </c>
      <c r="F235" s="132">
        <f t="shared" si="28"/>
        <v>3.9800463354094928</v>
      </c>
      <c r="G235" s="638">
        <f t="shared" si="25"/>
        <v>2.3499305781790558</v>
      </c>
    </row>
    <row r="236" spans="1:7">
      <c r="A236" s="127">
        <v>2013</v>
      </c>
      <c r="B236" s="128" t="s">
        <v>79</v>
      </c>
      <c r="C236" s="129">
        <f t="shared" si="26"/>
        <v>522.69000000000131</v>
      </c>
      <c r="D236" s="130">
        <v>1.3577977381672879</v>
      </c>
      <c r="E236" s="131">
        <f t="shared" si="30"/>
        <v>3.8560809723356737</v>
      </c>
      <c r="F236" s="132">
        <f t="shared" si="28"/>
        <v>4.472391338239623</v>
      </c>
      <c r="G236" s="638">
        <f t="shared" si="25"/>
        <v>2.3184507069199727</v>
      </c>
    </row>
    <row r="237" spans="1:7">
      <c r="A237" s="127">
        <v>2013</v>
      </c>
      <c r="B237" s="128" t="s">
        <v>78</v>
      </c>
      <c r="C237" s="129">
        <f t="shared" si="26"/>
        <v>525.96600000000126</v>
      </c>
      <c r="D237" s="130">
        <v>0.6267577340297148</v>
      </c>
      <c r="E237" s="131">
        <f t="shared" si="30"/>
        <v>4.507006992089968</v>
      </c>
      <c r="F237" s="132">
        <f t="shared" si="28"/>
        <v>5.459168021750882</v>
      </c>
      <c r="G237" s="638">
        <f t="shared" si="25"/>
        <v>2.3040101451424628</v>
      </c>
    </row>
    <row r="238" spans="1:7">
      <c r="A238" s="127">
        <v>2013</v>
      </c>
      <c r="B238" s="128" t="s">
        <v>68</v>
      </c>
      <c r="C238" s="129">
        <f t="shared" si="26"/>
        <v>527.42200000000128</v>
      </c>
      <c r="D238" s="130">
        <v>0.27682397721526808</v>
      </c>
      <c r="E238" s="131">
        <f t="shared" si="30"/>
        <v>4.7963074453140964</v>
      </c>
      <c r="F238" s="132">
        <f t="shared" si="28"/>
        <v>5.4867207078556079</v>
      </c>
      <c r="G238" s="638">
        <f t="shared" si="25"/>
        <v>2.2976496998608336</v>
      </c>
    </row>
    <row r="239" spans="1:7">
      <c r="A239" s="127">
        <v>2013</v>
      </c>
      <c r="B239" s="128" t="s">
        <v>69</v>
      </c>
      <c r="C239" s="129">
        <f t="shared" si="26"/>
        <v>531.05600000000129</v>
      </c>
      <c r="D239" s="130">
        <v>0.68901183492535711</v>
      </c>
      <c r="E239" s="131">
        <f t="shared" si="30"/>
        <v>5.5183664061770665</v>
      </c>
      <c r="F239" s="132">
        <f t="shared" si="28"/>
        <v>5.5183664061770665</v>
      </c>
      <c r="G239" s="638">
        <f t="shared" si="25"/>
        <v>2.2819269530896942</v>
      </c>
    </row>
    <row r="240" spans="1:7">
      <c r="A240" s="127">
        <v>2014</v>
      </c>
      <c r="B240" s="128" t="s">
        <v>70</v>
      </c>
      <c r="C240" s="129">
        <f t="shared" si="26"/>
        <v>533.19700000000125</v>
      </c>
      <c r="D240" s="130">
        <v>0.40315898888252377</v>
      </c>
      <c r="E240" s="131">
        <f>(C240/$C$239-1)*100</f>
        <v>0.40315898888252377</v>
      </c>
      <c r="F240" s="132">
        <f t="shared" si="28"/>
        <v>5.6191193074896839</v>
      </c>
      <c r="G240" s="638">
        <f t="shared" si="25"/>
        <v>2.2727641003231462</v>
      </c>
    </row>
    <row r="241" spans="1:7">
      <c r="A241" s="127">
        <v>2014</v>
      </c>
      <c r="B241" s="128" t="s">
        <v>71</v>
      </c>
      <c r="C241" s="129">
        <f t="shared" si="26"/>
        <v>537.70300000000123</v>
      </c>
      <c r="D241" s="130">
        <v>0.84509102639360734</v>
      </c>
      <c r="E241" s="131">
        <f t="shared" ref="E241:E251" si="31">(C241/$C$239-1)*100</f>
        <v>1.2516570757132861</v>
      </c>
      <c r="F241" s="132">
        <f t="shared" si="28"/>
        <v>6.300708535640287</v>
      </c>
      <c r="G241" s="638">
        <f t="shared" si="25"/>
        <v>2.2537181306408942</v>
      </c>
    </row>
    <row r="242" spans="1:7">
      <c r="A242" s="127">
        <v>2014</v>
      </c>
      <c r="B242" s="128" t="s">
        <v>72</v>
      </c>
      <c r="C242" s="129">
        <f t="shared" si="26"/>
        <v>545.68400000000122</v>
      </c>
      <c r="D242" s="130">
        <v>1.4842766359867809</v>
      </c>
      <c r="E242" s="131">
        <f t="shared" si="31"/>
        <v>2.754511765237555</v>
      </c>
      <c r="F242" s="132">
        <f t="shared" si="28"/>
        <v>7.5504311406750402</v>
      </c>
      <c r="G242" s="638">
        <f t="shared" si="25"/>
        <v>2.2207559686558538</v>
      </c>
    </row>
    <row r="243" spans="1:7">
      <c r="A243" s="127">
        <v>2014</v>
      </c>
      <c r="B243" s="128" t="s">
        <v>73</v>
      </c>
      <c r="C243" s="129">
        <f t="shared" si="26"/>
        <v>548.14500000000123</v>
      </c>
      <c r="D243" s="130">
        <v>0.45099361535247962</v>
      </c>
      <c r="E243" s="131">
        <f t="shared" si="31"/>
        <v>3.2179280527853793</v>
      </c>
      <c r="F243" s="132">
        <f t="shared" si="28"/>
        <v>8.0968354542711563</v>
      </c>
      <c r="G243" s="638">
        <f t="shared" si="25"/>
        <v>2.2107854673489693</v>
      </c>
    </row>
    <row r="244" spans="1:7">
      <c r="A244" s="127">
        <v>2014</v>
      </c>
      <c r="B244" s="128" t="s">
        <v>74</v>
      </c>
      <c r="C244" s="129">
        <f t="shared" si="26"/>
        <v>545.65200000000129</v>
      </c>
      <c r="D244" s="130">
        <v>-0.45480666611935616</v>
      </c>
      <c r="E244" s="131">
        <f t="shared" si="31"/>
        <v>2.7484860353710339</v>
      </c>
      <c r="F244" s="132">
        <f t="shared" si="28"/>
        <v>7.2608434978327807</v>
      </c>
      <c r="G244" s="638">
        <f t="shared" si="25"/>
        <v>2.2208862058601464</v>
      </c>
    </row>
    <row r="245" spans="1:7">
      <c r="A245" s="127">
        <v>2014</v>
      </c>
      <c r="B245" s="128" t="s">
        <v>75</v>
      </c>
      <c r="C245" s="129">
        <f t="shared" si="26"/>
        <v>542.19400000000121</v>
      </c>
      <c r="D245" s="130">
        <v>-0.63373725378080836</v>
      </c>
      <c r="E245" s="131">
        <f t="shared" si="31"/>
        <v>2.0973306016691007</v>
      </c>
      <c r="F245" s="132">
        <f t="shared" si="28"/>
        <v>5.773725219372694</v>
      </c>
      <c r="G245" s="638">
        <f t="shared" si="25"/>
        <v>2.2350505538607965</v>
      </c>
    </row>
    <row r="246" spans="1:7">
      <c r="A246" s="127">
        <v>2014</v>
      </c>
      <c r="B246" s="128" t="s">
        <v>76</v>
      </c>
      <c r="C246" s="129">
        <f t="shared" si="26"/>
        <v>539.21000000000129</v>
      </c>
      <c r="D246" s="130">
        <v>-0.5503565144579059</v>
      </c>
      <c r="E246" s="131">
        <f t="shared" si="31"/>
        <v>1.5354312916151969</v>
      </c>
      <c r="F246" s="132">
        <f t="shared" si="28"/>
        <v>5.0450699670571586</v>
      </c>
      <c r="G246" s="638">
        <f t="shared" si="25"/>
        <v>2.2474193727861143</v>
      </c>
    </row>
    <row r="247" spans="1:7">
      <c r="A247" s="127">
        <v>2014</v>
      </c>
      <c r="B247" s="128" t="s">
        <v>77</v>
      </c>
      <c r="C247" s="129">
        <f t="shared" si="26"/>
        <v>539.55000000000121</v>
      </c>
      <c r="D247" s="130">
        <v>6.305521040037565E-2</v>
      </c>
      <c r="E247" s="131">
        <f t="shared" si="31"/>
        <v>1.5994546714470648</v>
      </c>
      <c r="F247" s="132">
        <f t="shared" si="28"/>
        <v>4.6272164564620466</v>
      </c>
      <c r="G247" s="638">
        <f t="shared" si="25"/>
        <v>2.2460031507737943</v>
      </c>
    </row>
    <row r="248" spans="1:7">
      <c r="A248" s="127">
        <v>2014</v>
      </c>
      <c r="B248" s="128" t="s">
        <v>79</v>
      </c>
      <c r="C248" s="129">
        <f t="shared" si="26"/>
        <v>539.64900000000125</v>
      </c>
      <c r="D248" s="130">
        <v>1.8348623853214896E-2</v>
      </c>
      <c r="E248" s="131">
        <f t="shared" si="31"/>
        <v>1.6180967732216445</v>
      </c>
      <c r="F248" s="132">
        <f t="shared" si="28"/>
        <v>3.2445617861447396</v>
      </c>
      <c r="G248" s="638">
        <f t="shared" si="25"/>
        <v>2.2455911157066923</v>
      </c>
    </row>
    <row r="249" spans="1:7">
      <c r="A249" s="127">
        <v>2014</v>
      </c>
      <c r="B249" s="128" t="s">
        <v>78</v>
      </c>
      <c r="C249" s="129">
        <f t="shared" si="26"/>
        <v>542.8530000000012</v>
      </c>
      <c r="D249" s="130">
        <v>0.59371925084636956</v>
      </c>
      <c r="E249" s="131">
        <f t="shared" si="31"/>
        <v>2.2214229761079674</v>
      </c>
      <c r="F249" s="132">
        <f t="shared" si="28"/>
        <v>3.2106638071662141</v>
      </c>
      <c r="G249" s="638">
        <f t="shared" si="25"/>
        <v>2.2323372994162338</v>
      </c>
    </row>
    <row r="250" spans="1:7">
      <c r="A250" s="127">
        <v>2014</v>
      </c>
      <c r="B250" s="128" t="s">
        <v>68</v>
      </c>
      <c r="C250" s="129">
        <f t="shared" si="26"/>
        <v>549.04000000000121</v>
      </c>
      <c r="D250" s="130">
        <v>1.1397192241730192</v>
      </c>
      <c r="E250" s="131">
        <f t="shared" si="31"/>
        <v>3.3864601849898923</v>
      </c>
      <c r="F250" s="132">
        <f t="shared" si="28"/>
        <v>4.0988051313748608</v>
      </c>
      <c r="G250" s="638">
        <f t="shared" si="25"/>
        <v>2.2071816261110317</v>
      </c>
    </row>
    <row r="251" spans="1:7">
      <c r="A251" s="127">
        <v>2014</v>
      </c>
      <c r="B251" s="128" t="s">
        <v>69</v>
      </c>
      <c r="C251" s="129">
        <f t="shared" si="26"/>
        <v>551.14900000000125</v>
      </c>
      <c r="D251" s="130">
        <v>0.38412501821361023</v>
      </c>
      <c r="E251" s="131">
        <f t="shared" si="31"/>
        <v>3.7835934440058949</v>
      </c>
      <c r="F251" s="132">
        <f t="shared" si="28"/>
        <v>3.7835934440058949</v>
      </c>
      <c r="G251" s="638">
        <f t="shared" si="25"/>
        <v>2.1987357320797112</v>
      </c>
    </row>
    <row r="252" spans="1:7">
      <c r="A252" s="127">
        <v>2015</v>
      </c>
      <c r="B252" s="128" t="s">
        <v>70</v>
      </c>
      <c r="C252" s="129">
        <f t="shared" si="26"/>
        <v>554.83500000000129</v>
      </c>
      <c r="D252" s="130">
        <v>0.66878466621549393</v>
      </c>
      <c r="E252" s="131">
        <f>(C252/$C$251-1)*100</f>
        <v>0.66878466621549393</v>
      </c>
      <c r="F252" s="132">
        <f t="shared" si="28"/>
        <v>4.058162367755247</v>
      </c>
      <c r="G252" s="638">
        <f t="shared" si="25"/>
        <v>2.1841286148134142</v>
      </c>
    </row>
    <row r="253" spans="1:7">
      <c r="A253" s="127">
        <v>2015</v>
      </c>
      <c r="B253" s="128" t="s">
        <v>71</v>
      </c>
      <c r="C253" s="129">
        <f t="shared" si="26"/>
        <v>557.80300000000125</v>
      </c>
      <c r="D253" s="130">
        <v>0.53493380915046185</v>
      </c>
      <c r="E253" s="131">
        <f t="shared" ref="E253:E263" si="32">(C253/$C$251-1)*100</f>
        <v>1.2072960306559466</v>
      </c>
      <c r="F253" s="132">
        <f t="shared" si="28"/>
        <v>3.7381230902561402</v>
      </c>
      <c r="G253" s="638">
        <f t="shared" si="25"/>
        <v>2.1725071396173932</v>
      </c>
    </row>
    <row r="254" spans="1:7">
      <c r="A254" s="127">
        <v>2015</v>
      </c>
      <c r="B254" s="128" t="s">
        <v>72</v>
      </c>
      <c r="C254" s="129">
        <f t="shared" si="26"/>
        <v>564.56800000000123</v>
      </c>
      <c r="D254" s="130">
        <v>1.2127937641066788</v>
      </c>
      <c r="E254" s="131">
        <f t="shared" si="32"/>
        <v>2.4347318057367451</v>
      </c>
      <c r="F254" s="132">
        <f t="shared" si="28"/>
        <v>3.4606109030134613</v>
      </c>
      <c r="G254" s="638">
        <f t="shared" si="25"/>
        <v>2.1464748267702047</v>
      </c>
    </row>
    <row r="255" spans="1:7">
      <c r="A255" s="127">
        <v>2015</v>
      </c>
      <c r="B255" s="128" t="s">
        <v>73</v>
      </c>
      <c r="C255" s="129">
        <f t="shared" si="26"/>
        <v>569.73800000000131</v>
      </c>
      <c r="D255" s="130">
        <v>0.91574442759774222</v>
      </c>
      <c r="E255" s="131">
        <f t="shared" si="32"/>
        <v>3.3727721541724653</v>
      </c>
      <c r="F255" s="132">
        <f t="shared" si="28"/>
        <v>3.9392861377920196</v>
      </c>
      <c r="G255" s="638">
        <f t="shared" si="25"/>
        <v>2.1269969705373359</v>
      </c>
    </row>
    <row r="256" spans="1:7">
      <c r="A256" s="127">
        <v>2015</v>
      </c>
      <c r="B256" s="128" t="s">
        <v>74</v>
      </c>
      <c r="C256" s="129">
        <f t="shared" si="26"/>
        <v>572.03400000000124</v>
      </c>
      <c r="D256" s="130">
        <v>0.40299225257924842</v>
      </c>
      <c r="E256" s="131">
        <f t="shared" si="32"/>
        <v>3.7893564172301719</v>
      </c>
      <c r="F256" s="132">
        <f t="shared" si="28"/>
        <v>4.8349497481911419</v>
      </c>
      <c r="G256" s="638">
        <f t="shared" si="25"/>
        <v>2.1184597419034548</v>
      </c>
    </row>
    <row r="257" spans="1:7">
      <c r="A257" s="127">
        <v>2015</v>
      </c>
      <c r="B257" s="128" t="s">
        <v>75</v>
      </c>
      <c r="C257" s="129">
        <f t="shared" si="26"/>
        <v>575.93800000000124</v>
      </c>
      <c r="D257" s="130">
        <v>0.682476915707797</v>
      </c>
      <c r="E257" s="131">
        <f t="shared" si="32"/>
        <v>4.4976948157394725</v>
      </c>
      <c r="F257" s="132">
        <f t="shared" si="28"/>
        <v>6.22360262193975</v>
      </c>
      <c r="G257" s="638">
        <f t="shared" si="25"/>
        <v>2.1040997468477527</v>
      </c>
    </row>
    <row r="258" spans="1:7">
      <c r="A258" s="127">
        <v>2015</v>
      </c>
      <c r="B258" s="128" t="s">
        <v>76</v>
      </c>
      <c r="C258" s="129">
        <f t="shared" si="26"/>
        <v>579.29300000000126</v>
      </c>
      <c r="D258" s="130">
        <v>0.58252798044233778</v>
      </c>
      <c r="E258" s="131">
        <f t="shared" si="32"/>
        <v>5.1064231269583926</v>
      </c>
      <c r="F258" s="132">
        <f t="shared" si="28"/>
        <v>7.433652936703683</v>
      </c>
      <c r="G258" s="638">
        <f t="shared" si="25"/>
        <v>2.0919137638466214</v>
      </c>
    </row>
    <row r="259" spans="1:7">
      <c r="A259" s="127">
        <v>2015</v>
      </c>
      <c r="B259" s="128" t="s">
        <v>77</v>
      </c>
      <c r="C259" s="129">
        <f t="shared" si="26"/>
        <v>581.6180000000013</v>
      </c>
      <c r="D259" s="130">
        <v>0.40135130236340633</v>
      </c>
      <c r="E259" s="131">
        <f t="shared" si="32"/>
        <v>5.5282691250460259</v>
      </c>
      <c r="F259" s="132">
        <f t="shared" si="28"/>
        <v>7.7968677601705227</v>
      </c>
      <c r="G259" s="638">
        <f t="shared" si="25"/>
        <v>2.0835514031546492</v>
      </c>
    </row>
    <row r="260" spans="1:7">
      <c r="A260" s="127">
        <v>2015</v>
      </c>
      <c r="B260" s="128" t="s">
        <v>79</v>
      </c>
      <c r="C260" s="129">
        <f t="shared" si="26"/>
        <v>589.89700000000141</v>
      </c>
      <c r="D260" s="130">
        <v>1.4234428783153286</v>
      </c>
      <c r="E260" s="131">
        <f t="shared" si="32"/>
        <v>7.0304037565159572</v>
      </c>
      <c r="F260" s="132">
        <f t="shared" si="28"/>
        <v>9.3112374895534025</v>
      </c>
      <c r="G260" s="638">
        <f t="shared" si="25"/>
        <v>2.0543094811467095</v>
      </c>
    </row>
    <row r="261" spans="1:7">
      <c r="A261" s="127">
        <v>2015</v>
      </c>
      <c r="B261" s="128" t="s">
        <v>78</v>
      </c>
      <c r="C261" s="129">
        <f t="shared" si="26"/>
        <v>600.26900000000148</v>
      </c>
      <c r="D261" s="130">
        <v>1.7582730544484892</v>
      </c>
      <c r="E261" s="131">
        <f t="shared" si="32"/>
        <v>8.9122905058341964</v>
      </c>
      <c r="F261" s="132">
        <f t="shared" si="28"/>
        <v>10.576712295962288</v>
      </c>
      <c r="G261" s="638">
        <f t="shared" si="25"/>
        <v>2.018813232067624</v>
      </c>
    </row>
    <row r="262" spans="1:7">
      <c r="A262" s="127">
        <v>2015</v>
      </c>
      <c r="B262" s="128" t="s">
        <v>68</v>
      </c>
      <c r="C262" s="129">
        <f t="shared" si="26"/>
        <v>607.44100000000151</v>
      </c>
      <c r="D262" s="130">
        <v>1.1947976657131987</v>
      </c>
      <c r="E262" s="131">
        <f t="shared" si="32"/>
        <v>10.213572010472681</v>
      </c>
      <c r="F262" s="132">
        <f t="shared" si="28"/>
        <v>10.6369299140318</v>
      </c>
      <c r="G262" s="638">
        <f t="shared" si="25"/>
        <v>1.9949772899754883</v>
      </c>
    </row>
    <row r="263" spans="1:7">
      <c r="A263" s="127">
        <v>2015</v>
      </c>
      <c r="B263" s="128" t="s">
        <v>69</v>
      </c>
      <c r="C263" s="129">
        <f t="shared" si="26"/>
        <v>610.12800000000152</v>
      </c>
      <c r="D263" s="130">
        <v>0.44234748724567563</v>
      </c>
      <c r="E263" s="131">
        <f t="shared" si="32"/>
        <v>10.70109897686471</v>
      </c>
      <c r="F263" s="132">
        <f t="shared" si="28"/>
        <v>10.70109897686471</v>
      </c>
      <c r="G263" s="638">
        <f t="shared" ref="G263:G326" si="33">$C$388/C263</f>
        <v>1.9861914221278167</v>
      </c>
    </row>
    <row r="264" spans="1:7">
      <c r="A264" s="127">
        <v>2016</v>
      </c>
      <c r="B264" s="128" t="s">
        <v>70</v>
      </c>
      <c r="C264" s="129">
        <f t="shared" ref="C264:C327" si="34">C263*(1+D264/100)</f>
        <v>619.47600000000148</v>
      </c>
      <c r="D264" s="130">
        <v>1.5321375186845954</v>
      </c>
      <c r="E264" s="131">
        <f>(C264/$C$263-1)*100</f>
        <v>1.5321375186845954</v>
      </c>
      <c r="F264" s="132">
        <f t="shared" si="28"/>
        <v>11.650490686420302</v>
      </c>
      <c r="G264" s="638">
        <f t="shared" si="33"/>
        <v>1.956219449986764</v>
      </c>
    </row>
    <row r="265" spans="1:7">
      <c r="A265" s="127">
        <v>2016</v>
      </c>
      <c r="B265" s="128" t="s">
        <v>71</v>
      </c>
      <c r="C265" s="129">
        <f t="shared" si="34"/>
        <v>624.36600000000146</v>
      </c>
      <c r="D265" s="130">
        <v>0.78937682815798382</v>
      </c>
      <c r="E265" s="131">
        <f t="shared" ref="E265:E275" si="35">(C265/$C$263-1)*100</f>
        <v>2.3336086853905869</v>
      </c>
      <c r="F265" s="132">
        <f t="shared" si="28"/>
        <v>11.933065974905134</v>
      </c>
      <c r="G265" s="638">
        <f t="shared" si="33"/>
        <v>1.9408984473850286</v>
      </c>
    </row>
    <row r="266" spans="1:7">
      <c r="A266" s="127">
        <v>2016</v>
      </c>
      <c r="B266" s="128" t="s">
        <v>72</v>
      </c>
      <c r="C266" s="129">
        <f t="shared" si="34"/>
        <v>627.06000000000142</v>
      </c>
      <c r="D266" s="130">
        <v>0.43147769096971711</v>
      </c>
      <c r="E266" s="131">
        <f t="shared" si="35"/>
        <v>2.7751553772322968</v>
      </c>
      <c r="F266" s="132">
        <f t="shared" si="28"/>
        <v>11.068994346119521</v>
      </c>
      <c r="G266" s="638">
        <f t="shared" si="33"/>
        <v>1.9325598826268631</v>
      </c>
    </row>
    <row r="267" spans="1:7">
      <c r="A267" s="127">
        <v>2016</v>
      </c>
      <c r="B267" s="128" t="s">
        <v>73</v>
      </c>
      <c r="C267" s="129">
        <f t="shared" si="34"/>
        <v>629.34500000000151</v>
      </c>
      <c r="D267" s="130">
        <v>0.36439894109017157</v>
      </c>
      <c r="E267" s="131">
        <f t="shared" si="35"/>
        <v>3.1496669551307255</v>
      </c>
      <c r="F267" s="132">
        <f t="shared" si="28"/>
        <v>10.46217735169499</v>
      </c>
      <c r="G267" s="638">
        <f t="shared" si="33"/>
        <v>1.9255432235101584</v>
      </c>
    </row>
    <row r="268" spans="1:7">
      <c r="A268" s="127">
        <v>2016</v>
      </c>
      <c r="B268" s="128" t="s">
        <v>74</v>
      </c>
      <c r="C268" s="129">
        <f t="shared" si="34"/>
        <v>636.46800000000155</v>
      </c>
      <c r="D268" s="130">
        <v>1.1318116454408944</v>
      </c>
      <c r="E268" s="131">
        <f t="shared" si="35"/>
        <v>4.3171268979623978</v>
      </c>
      <c r="F268" s="132">
        <f t="shared" si="28"/>
        <v>11.264015775286108</v>
      </c>
      <c r="G268" s="638">
        <f t="shared" si="33"/>
        <v>1.9039936021920985</v>
      </c>
    </row>
    <row r="269" spans="1:7">
      <c r="A269" s="127">
        <v>2016</v>
      </c>
      <c r="B269" s="128" t="s">
        <v>75</v>
      </c>
      <c r="C269" s="129">
        <f t="shared" si="34"/>
        <v>646.86800000000164</v>
      </c>
      <c r="D269" s="130">
        <v>1.6340177353771246</v>
      </c>
      <c r="E269" s="131">
        <f t="shared" si="35"/>
        <v>6.0216872525109544</v>
      </c>
      <c r="F269" s="132">
        <f t="shared" si="28"/>
        <v>12.315561744493376</v>
      </c>
      <c r="G269" s="638">
        <f t="shared" si="33"/>
        <v>1.8733822047156459</v>
      </c>
    </row>
    <row r="270" spans="1:7">
      <c r="A270" s="127">
        <v>2016</v>
      </c>
      <c r="B270" s="128" t="s">
        <v>76</v>
      </c>
      <c r="C270" s="129">
        <f t="shared" si="34"/>
        <v>644.35600000000159</v>
      </c>
      <c r="D270" s="130">
        <v>-0.38833270466309688</v>
      </c>
      <c r="E270" s="131">
        <f t="shared" si="35"/>
        <v>5.6099703668738288</v>
      </c>
      <c r="F270" s="132">
        <f t="shared" si="28"/>
        <v>11.231449370180592</v>
      </c>
      <c r="G270" s="638">
        <f t="shared" si="33"/>
        <v>1.8806855216681471</v>
      </c>
    </row>
    <row r="271" spans="1:7">
      <c r="A271" s="127">
        <v>2016</v>
      </c>
      <c r="B271" s="128" t="s">
        <v>77</v>
      </c>
      <c r="C271" s="129">
        <f t="shared" si="34"/>
        <v>647.15300000000161</v>
      </c>
      <c r="D271" s="130">
        <v>0.43407681468008441</v>
      </c>
      <c r="E271" s="131">
        <f t="shared" si="35"/>
        <v>6.0683987622269342</v>
      </c>
      <c r="F271" s="132">
        <f t="shared" si="28"/>
        <v>11.267704919723975</v>
      </c>
      <c r="G271" s="638">
        <f t="shared" si="33"/>
        <v>1.8725571850860623</v>
      </c>
    </row>
    <row r="272" spans="1:7">
      <c r="A272" s="127">
        <v>2016</v>
      </c>
      <c r="B272" s="128" t="s">
        <v>79</v>
      </c>
      <c r="C272" s="129">
        <f t="shared" si="34"/>
        <v>647.36000000000149</v>
      </c>
      <c r="D272" s="130">
        <v>3.198625363707297E-2</v>
      </c>
      <c r="E272" s="131">
        <f t="shared" si="35"/>
        <v>6.1023260692838033</v>
      </c>
      <c r="F272" s="132">
        <f t="shared" si="28"/>
        <v>9.7411921064185734</v>
      </c>
      <c r="G272" s="638">
        <f t="shared" si="33"/>
        <v>1.8719584157192299</v>
      </c>
    </row>
    <row r="273" spans="1:7">
      <c r="A273" s="127">
        <v>2016</v>
      </c>
      <c r="B273" s="128" t="s">
        <v>78</v>
      </c>
      <c r="C273" s="129">
        <f t="shared" si="34"/>
        <v>648.21300000000144</v>
      </c>
      <c r="D273" s="130">
        <v>0.13176594167076949</v>
      </c>
      <c r="E273" s="131">
        <f t="shared" si="35"/>
        <v>6.2421327983635866</v>
      </c>
      <c r="F273" s="132">
        <f t="shared" si="28"/>
        <v>7.9870857898708403</v>
      </c>
      <c r="G273" s="638">
        <f t="shared" si="33"/>
        <v>1.8694950579516314</v>
      </c>
    </row>
    <row r="274" spans="1:7">
      <c r="A274" s="127">
        <v>2016</v>
      </c>
      <c r="B274" s="128" t="s">
        <v>68</v>
      </c>
      <c r="C274" s="129">
        <f t="shared" si="34"/>
        <v>648.56100000000151</v>
      </c>
      <c r="D274" s="130">
        <v>5.3686056897972456E-2</v>
      </c>
      <c r="E274" s="131">
        <f t="shared" si="35"/>
        <v>6.2991700102273507</v>
      </c>
      <c r="F274" s="132">
        <f t="shared" si="28"/>
        <v>6.7693817177306048</v>
      </c>
      <c r="G274" s="638">
        <f t="shared" si="33"/>
        <v>1.8684919383064982</v>
      </c>
    </row>
    <row r="275" spans="1:7">
      <c r="A275" s="127">
        <v>2016</v>
      </c>
      <c r="B275" s="128" t="s">
        <v>69</v>
      </c>
      <c r="C275" s="129">
        <f t="shared" si="34"/>
        <v>653.9510000000015</v>
      </c>
      <c r="D275" s="130">
        <v>0.83107063175245077</v>
      </c>
      <c r="E275" s="131">
        <f t="shared" si="35"/>
        <v>7.1825911939789489</v>
      </c>
      <c r="F275" s="132">
        <f t="shared" si="28"/>
        <v>7.1825911939789489</v>
      </c>
      <c r="G275" s="638">
        <f t="shared" si="33"/>
        <v>1.853091439572691</v>
      </c>
    </row>
    <row r="276" spans="1:7">
      <c r="A276" s="127">
        <v>2017</v>
      </c>
      <c r="B276" s="128" t="s">
        <v>70</v>
      </c>
      <c r="C276" s="129">
        <f t="shared" si="34"/>
        <v>656.7780000000015</v>
      </c>
      <c r="D276" s="130">
        <v>0.43229538604574458</v>
      </c>
      <c r="E276" s="131">
        <f>(C276/$C$275-1)*100</f>
        <v>0.43229538604574458</v>
      </c>
      <c r="F276" s="132">
        <f t="shared" ref="F276:F339" si="36">100*(C276/C264-1)</f>
        <v>6.0215407860837011</v>
      </c>
      <c r="G276" s="638">
        <f t="shared" si="33"/>
        <v>1.8451150921620407</v>
      </c>
    </row>
    <row r="277" spans="1:7">
      <c r="A277" s="127">
        <v>2017</v>
      </c>
      <c r="B277" s="128" t="s">
        <v>71</v>
      </c>
      <c r="C277" s="129">
        <f t="shared" si="34"/>
        <v>657.19100000000162</v>
      </c>
      <c r="D277" s="130">
        <v>6.2882739677649901E-2</v>
      </c>
      <c r="E277" s="131">
        <f t="shared" ref="E277:E287" si="37">(C277/$C$275-1)*100</f>
        <v>0.49544996490564763</v>
      </c>
      <c r="F277" s="132">
        <f t="shared" si="36"/>
        <v>5.2573330386344042</v>
      </c>
      <c r="G277" s="638">
        <f t="shared" si="33"/>
        <v>1.8439555623859738</v>
      </c>
    </row>
    <row r="278" spans="1:7">
      <c r="A278" s="127">
        <v>2017</v>
      </c>
      <c r="B278" s="128" t="s">
        <v>72</v>
      </c>
      <c r="C278" s="129">
        <f t="shared" si="34"/>
        <v>654.70900000000154</v>
      </c>
      <c r="D278" s="130">
        <v>-0.37766798388901845</v>
      </c>
      <c r="E278" s="131">
        <f t="shared" si="37"/>
        <v>0.115910825122989</v>
      </c>
      <c r="F278" s="132">
        <f t="shared" si="36"/>
        <v>4.4093069243772653</v>
      </c>
      <c r="G278" s="638">
        <f t="shared" si="33"/>
        <v>1.8509459927998557</v>
      </c>
    </row>
    <row r="279" spans="1:7">
      <c r="A279" s="127">
        <v>2017</v>
      </c>
      <c r="B279" s="128" t="s">
        <v>73</v>
      </c>
      <c r="C279" s="129">
        <f t="shared" si="34"/>
        <v>646.57300000000157</v>
      </c>
      <c r="D279" s="130">
        <v>-1.2426895002207061</v>
      </c>
      <c r="E279" s="131">
        <f t="shared" si="37"/>
        <v>-1.1282190867511366</v>
      </c>
      <c r="F279" s="132">
        <f t="shared" si="36"/>
        <v>2.7374492527945771</v>
      </c>
      <c r="G279" s="638">
        <f t="shared" si="33"/>
        <v>1.8742369384431465</v>
      </c>
    </row>
    <row r="280" spans="1:7">
      <c r="A280" s="127">
        <v>2017</v>
      </c>
      <c r="B280" s="128" t="s">
        <v>74</v>
      </c>
      <c r="C280" s="129">
        <f t="shared" si="34"/>
        <v>643.26000000000158</v>
      </c>
      <c r="D280" s="130">
        <v>-0.51239380549450431</v>
      </c>
      <c r="E280" s="131">
        <f t="shared" si="37"/>
        <v>-1.6348319675327239</v>
      </c>
      <c r="F280" s="132">
        <f t="shared" si="36"/>
        <v>1.0671392748732078</v>
      </c>
      <c r="G280" s="638">
        <f t="shared" si="33"/>
        <v>1.8838898734570788</v>
      </c>
    </row>
    <row r="281" spans="1:7">
      <c r="A281" s="127">
        <v>2017</v>
      </c>
      <c r="B281" s="128" t="s">
        <v>75</v>
      </c>
      <c r="C281" s="129">
        <f t="shared" si="34"/>
        <v>637.07900000000154</v>
      </c>
      <c r="D281" s="130">
        <v>-0.9608867332027593</v>
      </c>
      <c r="E281" s="131">
        <f t="shared" si="37"/>
        <v>-2.5800098172492958</v>
      </c>
      <c r="F281" s="132">
        <f t="shared" si="36"/>
        <v>-1.5132917380362154</v>
      </c>
      <c r="G281" s="638">
        <f t="shared" si="33"/>
        <v>1.9021675490794714</v>
      </c>
    </row>
    <row r="282" spans="1:7">
      <c r="A282" s="127">
        <v>2017</v>
      </c>
      <c r="B282" s="128" t="s">
        <v>76</v>
      </c>
      <c r="C282" s="129">
        <f t="shared" si="34"/>
        <v>635.19800000000157</v>
      </c>
      <c r="D282" s="130">
        <v>-0.29525380682772218</v>
      </c>
      <c r="E282" s="131">
        <f t="shared" si="37"/>
        <v>-2.8676460468750498</v>
      </c>
      <c r="F282" s="132">
        <f t="shared" si="36"/>
        <v>-1.4212640217519446</v>
      </c>
      <c r="G282" s="638">
        <f t="shared" si="33"/>
        <v>1.907800402394215</v>
      </c>
    </row>
    <row r="283" spans="1:7">
      <c r="A283" s="127">
        <v>2017</v>
      </c>
      <c r="B283" s="128" t="s">
        <v>77</v>
      </c>
      <c r="C283" s="129">
        <f t="shared" si="34"/>
        <v>636.71400000000165</v>
      </c>
      <c r="D283" s="130">
        <v>0.23866573887199038</v>
      </c>
      <c r="E283" s="131">
        <f t="shared" si="37"/>
        <v>-2.6358243966290718</v>
      </c>
      <c r="F283" s="132">
        <f t="shared" si="36"/>
        <v>-1.6130652256885036</v>
      </c>
      <c r="G283" s="638">
        <f t="shared" si="33"/>
        <v>1.903257977679147</v>
      </c>
    </row>
    <row r="284" spans="1:7">
      <c r="A284" s="127">
        <v>2017</v>
      </c>
      <c r="B284" s="128" t="s">
        <v>79</v>
      </c>
      <c r="C284" s="129">
        <f t="shared" si="34"/>
        <v>640.6540000000017</v>
      </c>
      <c r="D284" s="130">
        <v>0.61880216235232766</v>
      </c>
      <c r="E284" s="131">
        <f t="shared" si="37"/>
        <v>-2.0333327726388961</v>
      </c>
      <c r="F284" s="132">
        <f t="shared" si="36"/>
        <v>-1.0358996539791998</v>
      </c>
      <c r="G284" s="638">
        <f t="shared" si="33"/>
        <v>1.8915530067712061</v>
      </c>
    </row>
    <row r="285" spans="1:7">
      <c r="A285" s="127">
        <v>2017</v>
      </c>
      <c r="B285" s="128" t="s">
        <v>78</v>
      </c>
      <c r="C285" s="129">
        <f t="shared" si="34"/>
        <v>641.2790000000017</v>
      </c>
      <c r="D285" s="130">
        <v>9.7556559390876707E-2</v>
      </c>
      <c r="E285" s="131">
        <f t="shared" si="37"/>
        <v>-1.9377598627419723</v>
      </c>
      <c r="F285" s="132">
        <f t="shared" si="36"/>
        <v>-1.0697101107197349</v>
      </c>
      <c r="G285" s="638">
        <f t="shared" si="33"/>
        <v>1.8897094712285922</v>
      </c>
    </row>
    <row r="286" spans="1:7">
      <c r="A286" s="127">
        <v>2017</v>
      </c>
      <c r="B286" s="128" t="s">
        <v>68</v>
      </c>
      <c r="C286" s="129">
        <f t="shared" si="34"/>
        <v>646.42200000000173</v>
      </c>
      <c r="D286" s="130">
        <v>0.80199102106883746</v>
      </c>
      <c r="E286" s="131">
        <f t="shared" si="37"/>
        <v>-1.151309501782205</v>
      </c>
      <c r="F286" s="132">
        <f t="shared" si="36"/>
        <v>-0.32980706517964364</v>
      </c>
      <c r="G286" s="638">
        <f t="shared" si="33"/>
        <v>1.8746747480747876</v>
      </c>
    </row>
    <row r="287" spans="1:7">
      <c r="A287" s="127">
        <v>2017</v>
      </c>
      <c r="B287" s="128" t="s">
        <v>69</v>
      </c>
      <c r="C287" s="129">
        <f t="shared" si="34"/>
        <v>651.21400000000176</v>
      </c>
      <c r="D287" s="130">
        <v>0.74131140338664636</v>
      </c>
      <c r="E287" s="131">
        <f t="shared" si="37"/>
        <v>-0.41853288702055069</v>
      </c>
      <c r="F287" s="132">
        <f t="shared" si="36"/>
        <v>-0.41853288702055069</v>
      </c>
      <c r="G287" s="638">
        <f t="shared" si="33"/>
        <v>1.86087983366451</v>
      </c>
    </row>
    <row r="288" spans="1:7">
      <c r="A288" s="127">
        <v>2018</v>
      </c>
      <c r="B288" s="128" t="s">
        <v>70</v>
      </c>
      <c r="C288" s="129">
        <f t="shared" si="34"/>
        <v>654.96800000000178</v>
      </c>
      <c r="D288" s="130">
        <v>0.57646180825350335</v>
      </c>
      <c r="E288" s="131">
        <f>(C288/$C$287-1)*100</f>
        <v>0.57646180825350335</v>
      </c>
      <c r="F288" s="132">
        <f t="shared" si="36"/>
        <v>-0.27558779374456943</v>
      </c>
      <c r="G288" s="638">
        <f t="shared" si="33"/>
        <v>1.8502140562592375</v>
      </c>
    </row>
    <row r="289" spans="1:7">
      <c r="A289" s="127">
        <v>2018</v>
      </c>
      <c r="B289" s="128" t="s">
        <v>71</v>
      </c>
      <c r="C289" s="129">
        <f t="shared" si="34"/>
        <v>655.97500000000184</v>
      </c>
      <c r="D289" s="130">
        <v>0.15374796936644675</v>
      </c>
      <c r="E289" s="131">
        <f t="shared" ref="E289:E299" si="38">(C289/$C$287-1)*100</f>
        <v>0.73109607594432635</v>
      </c>
      <c r="F289" s="132">
        <f t="shared" si="36"/>
        <v>-0.18502992280780006</v>
      </c>
      <c r="G289" s="638">
        <f t="shared" si="33"/>
        <v>1.8473737566218227</v>
      </c>
    </row>
    <row r="290" spans="1:7">
      <c r="A290" s="127">
        <v>2018</v>
      </c>
      <c r="B290" s="128" t="s">
        <v>72</v>
      </c>
      <c r="C290" s="129">
        <f t="shared" si="34"/>
        <v>659.66500000000178</v>
      </c>
      <c r="D290" s="130">
        <v>0.56252143755477491</v>
      </c>
      <c r="E290" s="131">
        <f t="shared" si="38"/>
        <v>1.297730085655413</v>
      </c>
      <c r="F290" s="132">
        <f t="shared" si="36"/>
        <v>0.75697752742061031</v>
      </c>
      <c r="G290" s="638">
        <f t="shared" si="33"/>
        <v>1.8370400127337365</v>
      </c>
    </row>
    <row r="291" spans="1:7">
      <c r="A291" s="127">
        <v>2018</v>
      </c>
      <c r="B291" s="128" t="s">
        <v>73</v>
      </c>
      <c r="C291" s="129">
        <f t="shared" si="34"/>
        <v>665.7700000000018</v>
      </c>
      <c r="D291" s="130">
        <v>0.92546974600744569</v>
      </c>
      <c r="E291" s="131">
        <f t="shared" si="38"/>
        <v>2.2352099309904228</v>
      </c>
      <c r="F291" s="132">
        <f t="shared" si="36"/>
        <v>2.9690382988464048</v>
      </c>
      <c r="G291" s="638">
        <f t="shared" si="33"/>
        <v>1.8201946618201486</v>
      </c>
    </row>
    <row r="292" spans="1:7">
      <c r="A292" s="127">
        <v>2018</v>
      </c>
      <c r="B292" s="128" t="s">
        <v>74</v>
      </c>
      <c r="C292" s="129">
        <f t="shared" si="34"/>
        <v>676.69500000000187</v>
      </c>
      <c r="D292" s="130">
        <v>1.640957087282402</v>
      </c>
      <c r="E292" s="131">
        <f t="shared" si="38"/>
        <v>3.9128458540510502</v>
      </c>
      <c r="F292" s="132">
        <f t="shared" si="36"/>
        <v>5.1977427478780314</v>
      </c>
      <c r="G292" s="638">
        <f t="shared" si="33"/>
        <v>1.7908082666489338</v>
      </c>
    </row>
    <row r="293" spans="1:7">
      <c r="A293" s="127">
        <v>2018</v>
      </c>
      <c r="B293" s="128" t="s">
        <v>75</v>
      </c>
      <c r="C293" s="129">
        <f t="shared" si="34"/>
        <v>686.69600000000185</v>
      </c>
      <c r="D293" s="130">
        <v>1.477918412283219</v>
      </c>
      <c r="E293" s="131">
        <f t="shared" si="38"/>
        <v>5.4485929356555607</v>
      </c>
      <c r="F293" s="132">
        <f t="shared" si="36"/>
        <v>7.7882020911064664</v>
      </c>
      <c r="G293" s="638">
        <f t="shared" si="33"/>
        <v>1.7647270407866076</v>
      </c>
    </row>
    <row r="294" spans="1:7">
      <c r="A294" s="127">
        <v>2018</v>
      </c>
      <c r="B294" s="128" t="s">
        <v>76</v>
      </c>
      <c r="C294" s="129">
        <f t="shared" si="34"/>
        <v>689.7460000000018</v>
      </c>
      <c r="D294" s="130">
        <v>0.44415578363641295</v>
      </c>
      <c r="E294" s="131">
        <f t="shared" si="38"/>
        <v>5.9169489599425029</v>
      </c>
      <c r="F294" s="132">
        <f t="shared" si="36"/>
        <v>8.5875585250583484</v>
      </c>
      <c r="G294" s="638">
        <f t="shared" si="33"/>
        <v>1.7569235631667315</v>
      </c>
    </row>
    <row r="295" spans="1:7">
      <c r="A295" s="127">
        <v>2018</v>
      </c>
      <c r="B295" s="128" t="s">
        <v>77</v>
      </c>
      <c r="C295" s="129">
        <f t="shared" si="34"/>
        <v>694.41400000000181</v>
      </c>
      <c r="D295" s="130">
        <v>0.67677086927651064</v>
      </c>
      <c r="E295" s="131">
        <f t="shared" si="38"/>
        <v>6.6337640161298728</v>
      </c>
      <c r="F295" s="132">
        <f t="shared" si="36"/>
        <v>9.0621534943475357</v>
      </c>
      <c r="G295" s="638">
        <f t="shared" si="33"/>
        <v>1.7451131457603106</v>
      </c>
    </row>
    <row r="296" spans="1:7">
      <c r="A296" s="127">
        <v>2018</v>
      </c>
      <c r="B296" s="128" t="s">
        <v>79</v>
      </c>
      <c r="C296" s="129">
        <f t="shared" si="34"/>
        <v>706.83400000000177</v>
      </c>
      <c r="D296" s="130">
        <v>1.7885584104007091</v>
      </c>
      <c r="E296" s="131">
        <f t="shared" si="38"/>
        <v>8.5409711707671967</v>
      </c>
      <c r="F296" s="132">
        <f t="shared" si="36"/>
        <v>10.330068960780681</v>
      </c>
      <c r="G296" s="638">
        <f t="shared" si="33"/>
        <v>1.7144492200431791</v>
      </c>
    </row>
    <row r="297" spans="1:7">
      <c r="A297" s="127">
        <v>2018</v>
      </c>
      <c r="B297" s="128" t="s">
        <v>78</v>
      </c>
      <c r="C297" s="129">
        <f t="shared" si="34"/>
        <v>708.69400000000178</v>
      </c>
      <c r="D297" s="130">
        <v>0.26314523636383758</v>
      </c>
      <c r="E297" s="131">
        <f t="shared" si="38"/>
        <v>8.8265915659061278</v>
      </c>
      <c r="F297" s="132">
        <f t="shared" si="36"/>
        <v>10.512585005902242</v>
      </c>
      <c r="G297" s="638">
        <f t="shared" si="33"/>
        <v>1.7099495692075855</v>
      </c>
    </row>
    <row r="298" spans="1:7">
      <c r="A298" s="127">
        <v>2018</v>
      </c>
      <c r="B298" s="128" t="s">
        <v>68</v>
      </c>
      <c r="C298" s="129">
        <f t="shared" si="34"/>
        <v>700.60100000000182</v>
      </c>
      <c r="D298" s="130">
        <v>-1.1419597174521012</v>
      </c>
      <c r="E298" s="131">
        <f t="shared" si="38"/>
        <v>7.5838357283473545</v>
      </c>
      <c r="F298" s="132">
        <f t="shared" si="36"/>
        <v>8.3813669708023397</v>
      </c>
      <c r="G298" s="638">
        <f t="shared" si="33"/>
        <v>1.729702070079832</v>
      </c>
    </row>
    <row r="299" spans="1:7">
      <c r="A299" s="127">
        <v>2018</v>
      </c>
      <c r="B299" s="128" t="s">
        <v>69</v>
      </c>
      <c r="C299" s="129">
        <f t="shared" si="34"/>
        <v>697.44600000000185</v>
      </c>
      <c r="D299" s="130">
        <v>-0.45032764726284924</v>
      </c>
      <c r="E299" s="131">
        <f t="shared" si="38"/>
        <v>7.0993559720767596</v>
      </c>
      <c r="F299" s="132">
        <f t="shared" si="36"/>
        <v>7.0993559720767596</v>
      </c>
      <c r="G299" s="638">
        <f t="shared" si="33"/>
        <v>1.7375266328862742</v>
      </c>
    </row>
    <row r="300" spans="1:7">
      <c r="A300" s="127">
        <v>2019</v>
      </c>
      <c r="B300" s="128" t="s">
        <v>70</v>
      </c>
      <c r="C300" s="129">
        <f t="shared" si="34"/>
        <v>697.92300000000182</v>
      </c>
      <c r="D300" s="130">
        <v>6.8392391669025443E-2</v>
      </c>
      <c r="E300" s="131">
        <f>(C300/$C$299-1)*100</f>
        <v>6.8392391669025443E-2</v>
      </c>
      <c r="F300" s="132">
        <f t="shared" si="36"/>
        <v>6.5583356744146171</v>
      </c>
      <c r="G300" s="638">
        <f t="shared" si="33"/>
        <v>1.7363391090421154</v>
      </c>
    </row>
    <row r="301" spans="1:7">
      <c r="A301" s="127">
        <v>2019</v>
      </c>
      <c r="B301" s="128" t="s">
        <v>71</v>
      </c>
      <c r="C301" s="129">
        <f t="shared" si="34"/>
        <v>706.66000000000179</v>
      </c>
      <c r="D301" s="130">
        <v>1.2518572965785513</v>
      </c>
      <c r="E301" s="131">
        <f t="shared" ref="E301:E311" si="39">(C301/$C$299-1)*100</f>
        <v>1.3211058633930017</v>
      </c>
      <c r="F301" s="132">
        <f t="shared" si="36"/>
        <v>7.7266664125919204</v>
      </c>
      <c r="G301" s="638">
        <f t="shared" si="33"/>
        <v>1.7148713667110074</v>
      </c>
    </row>
    <row r="302" spans="1:7">
      <c r="A302" s="127">
        <v>2019</v>
      </c>
      <c r="B302" s="128" t="s">
        <v>72</v>
      </c>
      <c r="C302" s="129">
        <f t="shared" si="34"/>
        <v>714.24300000000187</v>
      </c>
      <c r="D302" s="130">
        <v>1.073076161095865</v>
      </c>
      <c r="E302" s="131">
        <f t="shared" si="39"/>
        <v>2.4083584965717719</v>
      </c>
      <c r="F302" s="132">
        <f t="shared" si="36"/>
        <v>8.2735934148393309</v>
      </c>
      <c r="G302" s="638">
        <f t="shared" si="33"/>
        <v>1.6966648605586618</v>
      </c>
    </row>
    <row r="303" spans="1:7">
      <c r="A303" s="127">
        <v>2019</v>
      </c>
      <c r="B303" s="128" t="s">
        <v>73</v>
      </c>
      <c r="C303" s="129">
        <f t="shared" si="34"/>
        <v>720.69500000000198</v>
      </c>
      <c r="D303" s="130">
        <v>0.90333401937436886</v>
      </c>
      <c r="E303" s="131">
        <f t="shared" si="39"/>
        <v>3.3334480375541764</v>
      </c>
      <c r="F303" s="132">
        <f t="shared" si="36"/>
        <v>8.2498460429277323</v>
      </c>
      <c r="G303" s="638">
        <f t="shared" si="33"/>
        <v>1.6814755201576259</v>
      </c>
    </row>
    <row r="304" spans="1:7">
      <c r="A304" s="127">
        <v>2019</v>
      </c>
      <c r="B304" s="128" t="s">
        <v>74</v>
      </c>
      <c r="C304" s="129">
        <f t="shared" si="34"/>
        <v>723.57700000000193</v>
      </c>
      <c r="D304" s="130">
        <v>0.39989177113757268</v>
      </c>
      <c r="E304" s="131">
        <f t="shared" si="39"/>
        <v>3.7466699930890801</v>
      </c>
      <c r="F304" s="132">
        <f t="shared" si="36"/>
        <v>6.9280842920370178</v>
      </c>
      <c r="G304" s="638">
        <f t="shared" si="33"/>
        <v>1.6747782198715553</v>
      </c>
    </row>
    <row r="305" spans="1:7">
      <c r="A305" s="127">
        <v>2019</v>
      </c>
      <c r="B305" s="128" t="s">
        <v>75</v>
      </c>
      <c r="C305" s="129">
        <f t="shared" si="34"/>
        <v>728.14200000000199</v>
      </c>
      <c r="D305" s="130">
        <v>0.63089346399900492</v>
      </c>
      <c r="E305" s="131">
        <f t="shared" si="39"/>
        <v>4.4012009531920748</v>
      </c>
      <c r="F305" s="132">
        <f t="shared" si="36"/>
        <v>6.0355674126542302</v>
      </c>
      <c r="G305" s="638">
        <f t="shared" si="33"/>
        <v>1.6642783962468863</v>
      </c>
    </row>
    <row r="306" spans="1:7">
      <c r="A306" s="127">
        <v>2019</v>
      </c>
      <c r="B306" s="128" t="s">
        <v>76</v>
      </c>
      <c r="C306" s="129">
        <f t="shared" si="34"/>
        <v>728.08400000000188</v>
      </c>
      <c r="D306" s="130">
        <v>-7.9654792609296088E-3</v>
      </c>
      <c r="E306" s="131">
        <f t="shared" si="39"/>
        <v>4.3928848971819923</v>
      </c>
      <c r="F306" s="132">
        <f t="shared" si="36"/>
        <v>5.5582779747907152</v>
      </c>
      <c r="G306" s="638">
        <f t="shared" si="33"/>
        <v>1.6644109745578812</v>
      </c>
    </row>
    <row r="307" spans="1:7">
      <c r="A307" s="127">
        <v>2019</v>
      </c>
      <c r="B307" s="128" t="s">
        <v>77</v>
      </c>
      <c r="C307" s="129">
        <f t="shared" si="34"/>
        <v>724.39500000000191</v>
      </c>
      <c r="D307" s="130">
        <v>-0.50667230704148913</v>
      </c>
      <c r="E307" s="131">
        <f t="shared" si="39"/>
        <v>3.8639550588862814</v>
      </c>
      <c r="F307" s="132">
        <f t="shared" si="36"/>
        <v>4.3174532771516727</v>
      </c>
      <c r="G307" s="638">
        <f t="shared" si="33"/>
        <v>1.6728870298663028</v>
      </c>
    </row>
    <row r="308" spans="1:7">
      <c r="A308" s="127">
        <v>2019</v>
      </c>
      <c r="B308" s="128" t="s">
        <v>79</v>
      </c>
      <c r="C308" s="129">
        <f t="shared" si="34"/>
        <v>728.0400000000019</v>
      </c>
      <c r="D308" s="130">
        <v>0.50317851448449247</v>
      </c>
      <c r="E308" s="131">
        <f t="shared" si="39"/>
        <v>4.3865761650364377</v>
      </c>
      <c r="F308" s="132">
        <f t="shared" si="36"/>
        <v>3.0001386464148627</v>
      </c>
      <c r="G308" s="638">
        <f t="shared" si="33"/>
        <v>1.6645115652986104</v>
      </c>
    </row>
    <row r="309" spans="1:7">
      <c r="A309" s="127">
        <v>2019</v>
      </c>
      <c r="B309" s="128" t="s">
        <v>78</v>
      </c>
      <c r="C309" s="129">
        <f t="shared" si="34"/>
        <v>732.04100000000199</v>
      </c>
      <c r="D309" s="130">
        <v>0.54955771660898378</v>
      </c>
      <c r="E309" s="131">
        <f t="shared" si="39"/>
        <v>4.9602406494553053</v>
      </c>
      <c r="F309" s="132">
        <f t="shared" si="36"/>
        <v>3.2943696433157532</v>
      </c>
      <c r="G309" s="638">
        <f t="shared" si="33"/>
        <v>1.655414109319014</v>
      </c>
    </row>
    <row r="310" spans="1:7">
      <c r="A310" s="127">
        <v>2019</v>
      </c>
      <c r="B310" s="128" t="s">
        <v>68</v>
      </c>
      <c r="C310" s="129">
        <f t="shared" si="34"/>
        <v>738.26400000000194</v>
      </c>
      <c r="D310" s="130">
        <v>0.85008899774738911</v>
      </c>
      <c r="E310" s="131">
        <f t="shared" si="39"/>
        <v>5.8524961072255133</v>
      </c>
      <c r="F310" s="132">
        <f t="shared" si="36"/>
        <v>5.3758130519368397</v>
      </c>
      <c r="G310" s="638">
        <f t="shared" si="33"/>
        <v>1.6414602364465833</v>
      </c>
    </row>
    <row r="311" spans="1:7">
      <c r="A311" s="127">
        <v>2019</v>
      </c>
      <c r="B311" s="128" t="s">
        <v>69</v>
      </c>
      <c r="C311" s="129">
        <f t="shared" si="34"/>
        <v>751.12100000000191</v>
      </c>
      <c r="D311" s="130">
        <v>1.741517939382109</v>
      </c>
      <c r="E311" s="131">
        <f t="shared" si="39"/>
        <v>7.6959363162165895</v>
      </c>
      <c r="F311" s="132">
        <f t="shared" si="36"/>
        <v>7.6959363162165895</v>
      </c>
      <c r="G311" s="638">
        <f t="shared" si="33"/>
        <v>1.6133632264308952</v>
      </c>
    </row>
    <row r="312" spans="1:7">
      <c r="A312" s="127">
        <v>2020</v>
      </c>
      <c r="B312" s="128" t="s">
        <v>70</v>
      </c>
      <c r="C312" s="129">
        <f t="shared" si="34"/>
        <v>751.82000000000198</v>
      </c>
      <c r="D312" s="130">
        <v>9.3060904967390279E-2</v>
      </c>
      <c r="E312" s="131">
        <f>(C312/$C$311-1)*100</f>
        <v>9.3060904967390279E-2</v>
      </c>
      <c r="F312" s="132">
        <f t="shared" si="36"/>
        <v>7.7224851452094345</v>
      </c>
      <c r="G312" s="638">
        <f t="shared" si="33"/>
        <v>1.6118632119390284</v>
      </c>
    </row>
    <row r="313" spans="1:7">
      <c r="A313" s="127">
        <v>2020</v>
      </c>
      <c r="B313" s="128" t="s">
        <v>71</v>
      </c>
      <c r="C313" s="129">
        <f t="shared" si="34"/>
        <v>751.9100000000019</v>
      </c>
      <c r="D313" s="130">
        <v>1.1970950493456201E-2</v>
      </c>
      <c r="E313" s="131">
        <f t="shared" ref="E313:E323" si="40">(C313/$C$311-1)*100</f>
        <v>0.10504299573570464</v>
      </c>
      <c r="F313" s="132">
        <f t="shared" si="36"/>
        <v>6.403362295870707</v>
      </c>
      <c r="G313" s="638">
        <f t="shared" si="33"/>
        <v>1.6116702796877291</v>
      </c>
    </row>
    <row r="314" spans="1:7">
      <c r="A314" s="127">
        <v>2020</v>
      </c>
      <c r="B314" s="128" t="s">
        <v>72</v>
      </c>
      <c r="C314" s="129">
        <f t="shared" si="34"/>
        <v>764.276000000002</v>
      </c>
      <c r="D314" s="130">
        <v>1.6446117221476042</v>
      </c>
      <c r="E314" s="131">
        <f t="shared" si="40"/>
        <v>1.7513822673044688</v>
      </c>
      <c r="F314" s="132">
        <f t="shared" si="36"/>
        <v>7.0050389013262881</v>
      </c>
      <c r="G314" s="638">
        <f t="shared" si="33"/>
        <v>1.5855934243650205</v>
      </c>
    </row>
    <row r="315" spans="1:7">
      <c r="A315" s="127">
        <v>2020</v>
      </c>
      <c r="B315" s="128" t="s">
        <v>73</v>
      </c>
      <c r="C315" s="129">
        <f t="shared" si="34"/>
        <v>764.656000000002</v>
      </c>
      <c r="D315" s="130">
        <v>4.9720258126639827E-2</v>
      </c>
      <c r="E315" s="131">
        <f t="shared" si="40"/>
        <v>1.8019733172152108</v>
      </c>
      <c r="F315" s="132">
        <f t="shared" si="36"/>
        <v>6.0998064368422034</v>
      </c>
      <c r="G315" s="638">
        <f t="shared" si="33"/>
        <v>1.5848054550019883</v>
      </c>
    </row>
    <row r="316" spans="1:7">
      <c r="A316" s="127">
        <v>2020</v>
      </c>
      <c r="B316" s="128" t="s">
        <v>74</v>
      </c>
      <c r="C316" s="129">
        <f t="shared" si="34"/>
        <v>772.84300000000201</v>
      </c>
      <c r="D316" s="130">
        <v>1.0706775334268004</v>
      </c>
      <c r="E316" s="131">
        <f t="shared" si="40"/>
        <v>2.8919441741077634</v>
      </c>
      <c r="F316" s="132">
        <f t="shared" si="36"/>
        <v>6.808674128669101</v>
      </c>
      <c r="G316" s="638">
        <f t="shared" si="33"/>
        <v>1.5680170487408185</v>
      </c>
    </row>
    <row r="317" spans="1:7">
      <c r="A317" s="127">
        <v>2020</v>
      </c>
      <c r="B317" s="128" t="s">
        <v>75</v>
      </c>
      <c r="C317" s="129">
        <f t="shared" si="34"/>
        <v>785.22100000000205</v>
      </c>
      <c r="D317" s="130">
        <v>1.6016189575372985</v>
      </c>
      <c r="E317" s="131">
        <f t="shared" si="40"/>
        <v>4.5398810577789828</v>
      </c>
      <c r="F317" s="132">
        <f t="shared" si="36"/>
        <v>7.8389929436840422</v>
      </c>
      <c r="G317" s="638">
        <f t="shared" si="33"/>
        <v>1.543299274981184</v>
      </c>
    </row>
    <row r="318" spans="1:7">
      <c r="A318" s="127">
        <v>2020</v>
      </c>
      <c r="B318" s="128" t="s">
        <v>76</v>
      </c>
      <c r="C318" s="129">
        <f t="shared" si="34"/>
        <v>803.58400000000211</v>
      </c>
      <c r="D318" s="130">
        <v>2.3385772922527526</v>
      </c>
      <c r="E318" s="131">
        <f t="shared" si="40"/>
        <v>6.9846269775442282</v>
      </c>
      <c r="F318" s="132">
        <f t="shared" si="36"/>
        <v>10.369682619038457</v>
      </c>
      <c r="G318" s="638">
        <f t="shared" si="33"/>
        <v>1.5080327632207715</v>
      </c>
    </row>
    <row r="319" spans="1:7">
      <c r="A319" s="127">
        <v>2020</v>
      </c>
      <c r="B319" s="128" t="s">
        <v>77</v>
      </c>
      <c r="C319" s="129">
        <f t="shared" si="34"/>
        <v>834.71300000000224</v>
      </c>
      <c r="D319" s="130">
        <v>3.8737705081236085</v>
      </c>
      <c r="E319" s="131">
        <f t="shared" si="40"/>
        <v>11.128965905626398</v>
      </c>
      <c r="F319" s="132">
        <f t="shared" si="36"/>
        <v>15.228984186804162</v>
      </c>
      <c r="G319" s="638">
        <f t="shared" si="33"/>
        <v>1.451793610498459</v>
      </c>
    </row>
    <row r="320" spans="1:7">
      <c r="A320" s="127">
        <v>2020</v>
      </c>
      <c r="B320" s="128" t="s">
        <v>79</v>
      </c>
      <c r="C320" s="129">
        <f t="shared" si="34"/>
        <v>862.25900000000229</v>
      </c>
      <c r="D320" s="130">
        <v>3.3000564265801557</v>
      </c>
      <c r="E320" s="131">
        <f t="shared" si="40"/>
        <v>14.796284486787092</v>
      </c>
      <c r="F320" s="132">
        <f t="shared" si="36"/>
        <v>18.435662875666182</v>
      </c>
      <c r="G320" s="638">
        <f t="shared" si="33"/>
        <v>1.4054141505046631</v>
      </c>
    </row>
    <row r="321" spans="1:7">
      <c r="A321" s="127">
        <v>2020</v>
      </c>
      <c r="B321" s="128" t="s">
        <v>78</v>
      </c>
      <c r="C321" s="129">
        <f t="shared" si="34"/>
        <v>893.97700000000236</v>
      </c>
      <c r="D321" s="130">
        <v>3.6784771165044416</v>
      </c>
      <c r="E321" s="131">
        <f t="shared" si="40"/>
        <v>19.0190395422309</v>
      </c>
      <c r="F321" s="132">
        <f t="shared" si="36"/>
        <v>22.12116534456403</v>
      </c>
      <c r="G321" s="638">
        <f t="shared" si="33"/>
        <v>1.3555505342978627</v>
      </c>
    </row>
    <row r="322" spans="1:7">
      <c r="A322" s="127">
        <v>2020</v>
      </c>
      <c r="B322" s="128" t="s">
        <v>68</v>
      </c>
      <c r="C322" s="129">
        <f t="shared" si="34"/>
        <v>917.5380000000024</v>
      </c>
      <c r="D322" s="130">
        <v>2.6355264173463011</v>
      </c>
      <c r="E322" s="131">
        <f t="shared" si="40"/>
        <v>22.155817771038233</v>
      </c>
      <c r="F322" s="132">
        <f t="shared" si="36"/>
        <v>24.28318325151977</v>
      </c>
      <c r="G322" s="638">
        <f t="shared" si="33"/>
        <v>1.3207420292129595</v>
      </c>
    </row>
    <row r="323" spans="1:7">
      <c r="A323" s="127">
        <v>2020</v>
      </c>
      <c r="B323" s="128" t="s">
        <v>69</v>
      </c>
      <c r="C323" s="129">
        <f t="shared" si="34"/>
        <v>924.50400000000252</v>
      </c>
      <c r="D323" s="130">
        <v>0.75920561328250979</v>
      </c>
      <c r="E323" s="131">
        <f t="shared" si="40"/>
        <v>23.083231596507115</v>
      </c>
      <c r="F323" s="132">
        <f t="shared" si="36"/>
        <v>23.083231596507115</v>
      </c>
      <c r="G323" s="638">
        <f t="shared" si="33"/>
        <v>1.3107904346546908</v>
      </c>
    </row>
    <row r="324" spans="1:7">
      <c r="A324" s="127">
        <v>2021</v>
      </c>
      <c r="B324" s="128" t="s">
        <v>70</v>
      </c>
      <c r="C324" s="129">
        <f t="shared" si="34"/>
        <v>951.39500000000248</v>
      </c>
      <c r="D324" s="130">
        <v>2.9086948244680277</v>
      </c>
      <c r="E324" s="131">
        <f>(C324/$C$323-1)*100</f>
        <v>2.9086948244680277</v>
      </c>
      <c r="F324" s="132">
        <f t="shared" si="36"/>
        <v>26.545582719267902</v>
      </c>
      <c r="G324" s="638">
        <f t="shared" si="33"/>
        <v>1.2737411905675355</v>
      </c>
    </row>
    <row r="325" spans="1:7">
      <c r="A325" s="127">
        <v>2021</v>
      </c>
      <c r="B325" s="128" t="s">
        <v>71</v>
      </c>
      <c r="C325" s="129">
        <f t="shared" si="34"/>
        <v>977.13300000000254</v>
      </c>
      <c r="D325" s="130">
        <v>2.7052906521476405</v>
      </c>
      <c r="E325" s="131">
        <f t="shared" ref="E325:E335" si="41">(C325/$C$323-1)*100</f>
        <v>5.6926741258015001</v>
      </c>
      <c r="F325" s="132">
        <f t="shared" si="36"/>
        <v>29.953451875889403</v>
      </c>
      <c r="G325" s="638">
        <f t="shared" si="33"/>
        <v>1.24019043466959</v>
      </c>
    </row>
    <row r="326" spans="1:7">
      <c r="A326" s="127">
        <v>2021</v>
      </c>
      <c r="B326" s="128" t="s">
        <v>72</v>
      </c>
      <c r="C326" s="129">
        <f t="shared" si="34"/>
        <v>998.34400000000267</v>
      </c>
      <c r="D326" s="130">
        <v>2.170738272067374</v>
      </c>
      <c r="E326" s="131">
        <f t="shared" si="41"/>
        <v>7.9869854538217266</v>
      </c>
      <c r="F326" s="132">
        <f t="shared" si="36"/>
        <v>30.626108892599024</v>
      </c>
      <c r="G326" s="638">
        <f t="shared" si="33"/>
        <v>1.2138411208962043</v>
      </c>
    </row>
    <row r="327" spans="1:7">
      <c r="A327" s="127">
        <v>2021</v>
      </c>
      <c r="B327" s="128" t="s">
        <v>73</v>
      </c>
      <c r="C327" s="129">
        <f t="shared" si="34"/>
        <v>1020.4950000000027</v>
      </c>
      <c r="D327" s="130">
        <v>2.2187742902246121</v>
      </c>
      <c r="E327" s="131">
        <f t="shared" si="41"/>
        <v>10.3829729238597</v>
      </c>
      <c r="F327" s="132">
        <f t="shared" si="36"/>
        <v>33.45805172522023</v>
      </c>
      <c r="G327" s="638">
        <f t="shared" ref="G327:G386" si="42">$C$388/C327</f>
        <v>1.1874933243181007</v>
      </c>
    </row>
    <row r="328" spans="1:7">
      <c r="A328" s="127">
        <v>2021</v>
      </c>
      <c r="B328" s="128" t="s">
        <v>74</v>
      </c>
      <c r="C328" s="129">
        <f t="shared" ref="C328:C372" si="43">C327*(1+D328/100)</f>
        <v>1055.1670000000029</v>
      </c>
      <c r="D328" s="130">
        <v>3.3975668670596093</v>
      </c>
      <c r="E328" s="131">
        <f t="shared" si="41"/>
        <v>14.13330823879615</v>
      </c>
      <c r="F328" s="132">
        <f t="shared" si="36"/>
        <v>36.530576067843022</v>
      </c>
      <c r="G328" s="638">
        <f t="shared" si="42"/>
        <v>1.1484731800748131</v>
      </c>
    </row>
    <row r="329" spans="1:7">
      <c r="A329" s="127">
        <v>2021</v>
      </c>
      <c r="B329" s="128" t="s">
        <v>75</v>
      </c>
      <c r="C329" s="129">
        <f t="shared" si="43"/>
        <v>1056.343000000003</v>
      </c>
      <c r="D329" s="130">
        <v>0.11145155221876646</v>
      </c>
      <c r="E329" s="131">
        <f t="shared" si="41"/>
        <v>14.260511582426915</v>
      </c>
      <c r="F329" s="132">
        <f t="shared" si="36"/>
        <v>34.528113741227017</v>
      </c>
      <c r="G329" s="638">
        <f t="shared" si="42"/>
        <v>1.1471946138706841</v>
      </c>
    </row>
    <row r="330" spans="1:7">
      <c r="A330" s="127">
        <v>2021</v>
      </c>
      <c r="B330" s="128" t="s">
        <v>76</v>
      </c>
      <c r="C330" s="129">
        <f t="shared" si="43"/>
        <v>1071.615000000003</v>
      </c>
      <c r="D330" s="130">
        <v>1.4457425287051517</v>
      </c>
      <c r="E330" s="131">
        <f t="shared" si="41"/>
        <v>15.912424391890134</v>
      </c>
      <c r="F330" s="132">
        <f t="shared" si="36"/>
        <v>33.354447077094626</v>
      </c>
      <c r="G330" s="638">
        <f t="shared" si="42"/>
        <v>1.1308454995497452</v>
      </c>
    </row>
    <row r="331" spans="1:7">
      <c r="A331" s="127">
        <v>2021</v>
      </c>
      <c r="B331" s="128" t="s">
        <v>77</v>
      </c>
      <c r="C331" s="129">
        <f t="shared" si="43"/>
        <v>1070.1470000000029</v>
      </c>
      <c r="D331" s="130">
        <v>-0.1369894971608332</v>
      </c>
      <c r="E331" s="131">
        <f t="shared" si="41"/>
        <v>15.75363654456876</v>
      </c>
      <c r="F331" s="132">
        <f t="shared" si="36"/>
        <v>28.205383167627684</v>
      </c>
      <c r="G331" s="638">
        <f t="shared" si="42"/>
        <v>1.1323967641828649</v>
      </c>
    </row>
    <row r="332" spans="1:7">
      <c r="A332" s="127">
        <v>2021</v>
      </c>
      <c r="B332" s="128" t="s">
        <v>79</v>
      </c>
      <c r="C332" s="129">
        <f t="shared" si="43"/>
        <v>1064.3100000000029</v>
      </c>
      <c r="D332" s="130">
        <v>-0.54543908453698053</v>
      </c>
      <c r="E332" s="131">
        <f t="shared" si="41"/>
        <v>15.122270969081807</v>
      </c>
      <c r="F332" s="132">
        <f t="shared" si="36"/>
        <v>23.432750484483211</v>
      </c>
      <c r="G332" s="638">
        <f t="shared" si="42"/>
        <v>1.1386071727222333</v>
      </c>
    </row>
    <row r="333" spans="1:7">
      <c r="A333" s="127">
        <v>2021</v>
      </c>
      <c r="B333" s="128" t="s">
        <v>78</v>
      </c>
      <c r="C333" s="129">
        <f t="shared" si="43"/>
        <v>1081.3010000000029</v>
      </c>
      <c r="D333" s="130">
        <v>1.5964333699767908</v>
      </c>
      <c r="E333" s="131">
        <f t="shared" si="41"/>
        <v>16.960121319107312</v>
      </c>
      <c r="F333" s="132">
        <f t="shared" si="36"/>
        <v>20.954006646703437</v>
      </c>
      <c r="G333" s="638">
        <f t="shared" si="42"/>
        <v>1.1207156934100684</v>
      </c>
    </row>
    <row r="334" spans="1:7">
      <c r="A334" s="127">
        <v>2021</v>
      </c>
      <c r="B334" s="128" t="s">
        <v>68</v>
      </c>
      <c r="C334" s="129">
        <f t="shared" si="43"/>
        <v>1075.0220000000029</v>
      </c>
      <c r="D334" s="130">
        <v>-0.58068937326424264</v>
      </c>
      <c r="E334" s="131">
        <f t="shared" si="41"/>
        <v>16.280946323650291</v>
      </c>
      <c r="F334" s="132">
        <f t="shared" si="36"/>
        <v>17.163757795317469</v>
      </c>
      <c r="G334" s="638">
        <f t="shared" si="42"/>
        <v>1.1272615816234461</v>
      </c>
    </row>
    <row r="335" spans="1:7">
      <c r="A335" s="127">
        <v>2021</v>
      </c>
      <c r="B335" s="128" t="s">
        <v>69</v>
      </c>
      <c r="C335" s="129">
        <f t="shared" si="43"/>
        <v>1088.489000000003</v>
      </c>
      <c r="D335" s="130">
        <v>1.2527185490157411</v>
      </c>
      <c r="E335" s="131">
        <f t="shared" si="41"/>
        <v>17.737619307217713</v>
      </c>
      <c r="F335" s="132">
        <f t="shared" si="36"/>
        <v>17.737619307217713</v>
      </c>
      <c r="G335" s="638">
        <f t="shared" si="42"/>
        <v>1.113314879617525</v>
      </c>
    </row>
    <row r="336" spans="1:7">
      <c r="A336" s="127">
        <v>2022</v>
      </c>
      <c r="B336" s="128" t="s">
        <v>70</v>
      </c>
      <c r="C336" s="129">
        <f t="shared" si="43"/>
        <v>1110.3980000000029</v>
      </c>
      <c r="D336" s="130">
        <v>2.0127902073424631</v>
      </c>
      <c r="E336" s="131">
        <f>(C336/$C$335-1)*100</f>
        <v>2.0127902073424631</v>
      </c>
      <c r="F336" s="132">
        <f t="shared" si="36"/>
        <v>16.712616736476438</v>
      </c>
      <c r="G336" s="638">
        <f t="shared" si="42"/>
        <v>1.0913483273564977</v>
      </c>
    </row>
    <row r="337" spans="1:7">
      <c r="A337" s="127">
        <v>2022</v>
      </c>
      <c r="B337" s="128" t="s">
        <v>71</v>
      </c>
      <c r="C337" s="129">
        <f t="shared" si="43"/>
        <v>1127.077000000003</v>
      </c>
      <c r="D337" s="130">
        <v>1.5020740311131764</v>
      </c>
      <c r="E337" s="131">
        <f t="shared" ref="E337:E347" si="44">(C337/$C$335-1)*100</f>
        <v>3.5450978374609088</v>
      </c>
      <c r="F337" s="132">
        <f t="shared" si="36"/>
        <v>15.34530099791942</v>
      </c>
      <c r="G337" s="638">
        <f t="shared" si="42"/>
        <v>1.0751980565657895</v>
      </c>
    </row>
    <row r="338" spans="1:7">
      <c r="A338" s="127">
        <v>2022</v>
      </c>
      <c r="B338" s="128" t="s">
        <v>72</v>
      </c>
      <c r="C338" s="129">
        <f t="shared" si="43"/>
        <v>1153.7770000000032</v>
      </c>
      <c r="D338" s="130">
        <v>2.3689597072782176</v>
      </c>
      <c r="E338" s="131">
        <f t="shared" si="44"/>
        <v>5.9980394840921658</v>
      </c>
      <c r="F338" s="132">
        <f t="shared" si="36"/>
        <v>15.569082400455159</v>
      </c>
      <c r="G338" s="638">
        <f t="shared" si="42"/>
        <v>1.0503164823011728</v>
      </c>
    </row>
    <row r="339" spans="1:7">
      <c r="A339" s="127">
        <v>2022</v>
      </c>
      <c r="B339" s="128" t="s">
        <v>73</v>
      </c>
      <c r="C339" s="129">
        <f t="shared" si="43"/>
        <v>1158.5460000000032</v>
      </c>
      <c r="D339" s="130">
        <v>0.41333810606383192</v>
      </c>
      <c r="E339" s="131">
        <f t="shared" si="44"/>
        <v>6.4361697729605094</v>
      </c>
      <c r="F339" s="132">
        <f t="shared" si="36"/>
        <v>13.527846780239017</v>
      </c>
      <c r="G339" s="638">
        <f t="shared" si="42"/>
        <v>1.045992994667454</v>
      </c>
    </row>
    <row r="340" spans="1:7">
      <c r="A340" s="127">
        <v>2022</v>
      </c>
      <c r="B340" s="128" t="s">
        <v>74</v>
      </c>
      <c r="C340" s="129">
        <f t="shared" si="43"/>
        <v>1166.5420000000033</v>
      </c>
      <c r="D340" s="130">
        <v>0.69017544404796904</v>
      </c>
      <c r="E340" s="131">
        <f t="shared" si="44"/>
        <v>7.1707660803187023</v>
      </c>
      <c r="F340" s="132">
        <f t="shared" ref="F340:F372" si="45">100*(C340/C328-1)</f>
        <v>10.555201214594479</v>
      </c>
      <c r="G340" s="638">
        <f t="shared" si="42"/>
        <v>1.0388232914031386</v>
      </c>
    </row>
    <row r="341" spans="1:7">
      <c r="A341" s="127">
        <v>2022</v>
      </c>
      <c r="B341" s="128" t="s">
        <v>75</v>
      </c>
      <c r="C341" s="129">
        <f t="shared" si="43"/>
        <v>1173.8310000000033</v>
      </c>
      <c r="D341" s="130">
        <v>0.62483819699590271</v>
      </c>
      <c r="E341" s="131">
        <f t="shared" si="44"/>
        <v>7.8404099628016644</v>
      </c>
      <c r="F341" s="101">
        <f t="shared" si="45"/>
        <v>11.122144985104265</v>
      </c>
      <c r="G341" s="638">
        <f t="shared" si="42"/>
        <v>1.0323726328577114</v>
      </c>
    </row>
    <row r="342" spans="1:7">
      <c r="A342" s="127">
        <v>2022</v>
      </c>
      <c r="B342" s="128" t="s">
        <v>76</v>
      </c>
      <c r="C342" s="129">
        <f t="shared" si="43"/>
        <v>1169.4260000000033</v>
      </c>
      <c r="D342" s="100">
        <v>-0.37526696773214629</v>
      </c>
      <c r="E342" s="131">
        <f t="shared" si="44"/>
        <v>7.435720526344336</v>
      </c>
      <c r="F342" s="101">
        <f t="shared" si="45"/>
        <v>9.1274384923690111</v>
      </c>
      <c r="G342" s="638">
        <f t="shared" si="42"/>
        <v>1.0362613795143942</v>
      </c>
    </row>
    <row r="343" spans="1:7">
      <c r="A343" s="127">
        <v>2022</v>
      </c>
      <c r="B343" s="128" t="s">
        <v>77</v>
      </c>
      <c r="C343" s="129">
        <f t="shared" si="43"/>
        <v>1162.9560000000033</v>
      </c>
      <c r="D343" s="100">
        <v>-0.5532628828160191</v>
      </c>
      <c r="E343" s="131">
        <f t="shared" si="44"/>
        <v>6.8413185617861139</v>
      </c>
      <c r="F343" s="101">
        <f t="shared" si="45"/>
        <v>8.6725468557123708</v>
      </c>
      <c r="G343" s="638">
        <f t="shared" si="42"/>
        <v>1.0420265255091337</v>
      </c>
    </row>
    <row r="344" spans="1:7">
      <c r="A344" s="127">
        <v>2022</v>
      </c>
      <c r="B344" s="128" t="s">
        <v>79</v>
      </c>
      <c r="C344" s="129">
        <f t="shared" si="43"/>
        <v>1148.8110000000033</v>
      </c>
      <c r="D344" s="100">
        <v>-1.2162970912055093</v>
      </c>
      <c r="E344" s="131">
        <f t="shared" si="44"/>
        <v>5.5418107119135085</v>
      </c>
      <c r="F344" s="101">
        <f t="shared" si="45"/>
        <v>7.9395101051385586</v>
      </c>
      <c r="G344" s="638">
        <f t="shared" si="42"/>
        <v>1.0548567170753065</v>
      </c>
    </row>
    <row r="345" spans="1:7">
      <c r="A345" s="127">
        <v>2022</v>
      </c>
      <c r="B345" s="128" t="s">
        <v>78</v>
      </c>
      <c r="C345" s="129">
        <f t="shared" si="43"/>
        <v>1141.7330000000034</v>
      </c>
      <c r="D345" s="100">
        <v>-0.61611527048400783</v>
      </c>
      <c r="E345" s="131">
        <f t="shared" si="44"/>
        <v>4.8915514993720821</v>
      </c>
      <c r="F345" s="101">
        <f t="shared" si="45"/>
        <v>5.5888230936621985</v>
      </c>
      <c r="G345" s="638">
        <f t="shared" si="42"/>
        <v>1.0613961407789736</v>
      </c>
    </row>
    <row r="346" spans="1:7">
      <c r="A346" s="127">
        <v>2022</v>
      </c>
      <c r="B346" s="128" t="s">
        <v>68</v>
      </c>
      <c r="C346" s="129">
        <f t="shared" si="43"/>
        <v>1139.7340000000033</v>
      </c>
      <c r="D346" s="100">
        <v>-0.17508471770545375</v>
      </c>
      <c r="E346" s="131">
        <f t="shared" si="44"/>
        <v>4.7079024225325394</v>
      </c>
      <c r="F346" s="101">
        <f t="shared" si="45"/>
        <v>6.0195977384649213</v>
      </c>
      <c r="G346" s="638">
        <f t="shared" si="42"/>
        <v>1.0632577425960794</v>
      </c>
    </row>
    <row r="347" spans="1:7">
      <c r="A347" s="127">
        <v>2022</v>
      </c>
      <c r="B347" s="128" t="s">
        <v>69</v>
      </c>
      <c r="C347" s="129">
        <f t="shared" si="43"/>
        <v>1143.2250000000033</v>
      </c>
      <c r="D347" s="100">
        <v>0.30629954006811122</v>
      </c>
      <c r="E347" s="131">
        <f t="shared" si="44"/>
        <v>5.0286222460677266</v>
      </c>
      <c r="F347" s="101">
        <f t="shared" si="45"/>
        <v>5.0286222460677266</v>
      </c>
      <c r="G347" s="638">
        <f t="shared" si="42"/>
        <v>1.060010933980625</v>
      </c>
    </row>
    <row r="348" spans="1:7">
      <c r="A348" s="127">
        <v>2023</v>
      </c>
      <c r="B348" s="128" t="s">
        <v>70</v>
      </c>
      <c r="C348" s="129">
        <f t="shared" si="43"/>
        <v>1143.8610000000035</v>
      </c>
      <c r="D348" s="100">
        <v>5.5632093419943907E-2</v>
      </c>
      <c r="E348" s="131">
        <f>(C348/$C$347-1)*100</f>
        <v>5.5632093419943907E-2</v>
      </c>
      <c r="F348" s="101">
        <f t="shared" si="45"/>
        <v>3.0136041311314088</v>
      </c>
      <c r="G348" s="638">
        <f t="shared" si="42"/>
        <v>1.0594215555911075</v>
      </c>
    </row>
    <row r="349" spans="1:7">
      <c r="A349" s="127">
        <v>2023</v>
      </c>
      <c r="B349" s="128" t="s">
        <v>71</v>
      </c>
      <c r="C349" s="129">
        <f t="shared" si="43"/>
        <v>1144.2710000000034</v>
      </c>
      <c r="D349" s="100">
        <v>3.5843515951672344E-2</v>
      </c>
      <c r="E349" s="131">
        <f t="shared" ref="E349:E359" si="46">(C349/$C$347-1)*100</f>
        <v>9.1495549869891057E-2</v>
      </c>
      <c r="F349" s="101">
        <f t="shared" si="45"/>
        <v>1.5255390714210559</v>
      </c>
      <c r="G349" s="638">
        <f t="shared" si="42"/>
        <v>1.0590419577180581</v>
      </c>
    </row>
    <row r="350" spans="1:7">
      <c r="A350" s="133">
        <v>2023</v>
      </c>
      <c r="B350" s="134" t="s">
        <v>72</v>
      </c>
      <c r="C350" s="129">
        <f t="shared" si="43"/>
        <v>1140.3570000000034</v>
      </c>
      <c r="D350" s="100">
        <v>-0.34205183911852899</v>
      </c>
      <c r="E350" s="135">
        <f t="shared" si="46"/>
        <v>-0.25086925145968442</v>
      </c>
      <c r="F350" s="101">
        <f t="shared" si="45"/>
        <v>-1.1631363773068615</v>
      </c>
      <c r="G350" s="638">
        <f t="shared" si="42"/>
        <v>1.062676863473456</v>
      </c>
    </row>
    <row r="351" spans="1:7">
      <c r="A351" s="133">
        <f>2023</f>
        <v>2023</v>
      </c>
      <c r="B351" s="134" t="s">
        <v>73</v>
      </c>
      <c r="C351" s="129">
        <f t="shared" si="43"/>
        <v>1128.8050000000035</v>
      </c>
      <c r="D351" s="100">
        <v>-1.0130160993443216</v>
      </c>
      <c r="E351" s="135">
        <f t="shared" si="46"/>
        <v>-1.2613440048984015</v>
      </c>
      <c r="F351" s="101">
        <f t="shared" si="45"/>
        <v>-2.5670970336956533</v>
      </c>
      <c r="G351" s="638">
        <f t="shared" si="42"/>
        <v>1.07355211927658</v>
      </c>
    </row>
    <row r="352" spans="1:7">
      <c r="A352" s="133">
        <f>2023</f>
        <v>2023</v>
      </c>
      <c r="B352" s="134" t="s">
        <v>74</v>
      </c>
      <c r="C352" s="129">
        <f t="shared" si="43"/>
        <v>1102.5060000000035</v>
      </c>
      <c r="D352" s="100">
        <v>-2.3298089572601044</v>
      </c>
      <c r="E352" s="135">
        <f t="shared" si="46"/>
        <v>-3.5617660565505194</v>
      </c>
      <c r="F352" s="101">
        <f t="shared" si="45"/>
        <v>-5.4893865801659665</v>
      </c>
      <c r="G352" s="638">
        <f t="shared" si="42"/>
        <v>1.0991604580836745</v>
      </c>
    </row>
    <row r="353" spans="1:7">
      <c r="A353" s="133">
        <f>2023</f>
        <v>2023</v>
      </c>
      <c r="B353" s="134" t="s">
        <v>75</v>
      </c>
      <c r="C353" s="136">
        <f t="shared" si="43"/>
        <v>1086.4740000000033</v>
      </c>
      <c r="D353" s="100">
        <v>-1.4541417461673811</v>
      </c>
      <c r="E353" s="135">
        <f t="shared" si="46"/>
        <v>-4.9641146755887817</v>
      </c>
      <c r="F353" s="101">
        <f t="shared" si="45"/>
        <v>-7.4420423382922873</v>
      </c>
      <c r="G353" s="638">
        <f t="shared" si="42"/>
        <v>1.1153796593383734</v>
      </c>
    </row>
    <row r="354" spans="1:7">
      <c r="A354" s="133">
        <f>2023</f>
        <v>2023</v>
      </c>
      <c r="B354" s="134" t="s">
        <v>76</v>
      </c>
      <c r="C354" s="136">
        <f t="shared" si="43"/>
        <v>1082.1050000000034</v>
      </c>
      <c r="D354" s="100">
        <v>-0.40212651200119964</v>
      </c>
      <c r="E354" s="135">
        <f t="shared" si="46"/>
        <v>-5.3462791663932974</v>
      </c>
      <c r="F354" s="101">
        <f t="shared" si="45"/>
        <v>-7.4669966291154521</v>
      </c>
      <c r="G354" s="638">
        <f t="shared" si="42"/>
        <v>1.1198830058081237</v>
      </c>
    </row>
    <row r="355" spans="1:7">
      <c r="A355" s="133">
        <f>2023</f>
        <v>2023</v>
      </c>
      <c r="B355" s="134" t="s">
        <v>77</v>
      </c>
      <c r="C355" s="136">
        <f t="shared" si="43"/>
        <v>1082.5930000000035</v>
      </c>
      <c r="D355" s="100">
        <v>4.5097287231832262E-2</v>
      </c>
      <c r="E355" s="135">
        <f t="shared" si="46"/>
        <v>-5.3035929060333391</v>
      </c>
      <c r="F355" s="101">
        <f t="shared" si="45"/>
        <v>-6.9102356409012522</v>
      </c>
      <c r="G355" s="638">
        <f t="shared" si="42"/>
        <v>1.1193781966075891</v>
      </c>
    </row>
    <row r="356" spans="1:7">
      <c r="A356" s="133">
        <f>2023</f>
        <v>2023</v>
      </c>
      <c r="B356" s="134" t="s">
        <v>79</v>
      </c>
      <c r="C356" s="136">
        <f t="shared" si="43"/>
        <v>1087.4190000000037</v>
      </c>
      <c r="D356" s="100">
        <v>0.44578156333914265</v>
      </c>
      <c r="E356" s="135">
        <f t="shared" si="46"/>
        <v>-4.8814537820638488</v>
      </c>
      <c r="F356" s="101">
        <f t="shared" si="45"/>
        <v>-5.3439599725280669</v>
      </c>
      <c r="G356" s="638">
        <f t="shared" si="42"/>
        <v>1.1144103606797373</v>
      </c>
    </row>
    <row r="357" spans="1:7">
      <c r="A357" s="133">
        <f>2023</f>
        <v>2023</v>
      </c>
      <c r="B357" s="134" t="s">
        <v>78</v>
      </c>
      <c r="C357" s="136">
        <f t="shared" si="43"/>
        <v>1092.9740000000036</v>
      </c>
      <c r="D357" s="100">
        <v>0.51084264667067281</v>
      </c>
      <c r="E357" s="135">
        <f t="shared" si="46"/>
        <v>-4.3955476830894735</v>
      </c>
      <c r="F357" s="101">
        <f t="shared" si="45"/>
        <v>-4.2706131818910027</v>
      </c>
      <c r="G357" s="638">
        <f t="shared" si="42"/>
        <v>1.1087464111680603</v>
      </c>
    </row>
    <row r="358" spans="1:7">
      <c r="A358" s="133">
        <f>2023</f>
        <v>2023</v>
      </c>
      <c r="B358" s="134" t="s">
        <v>68</v>
      </c>
      <c r="C358" s="136">
        <f t="shared" si="43"/>
        <v>1098.4800000000037</v>
      </c>
      <c r="D358" s="100">
        <v>0.50376312702773429</v>
      </c>
      <c r="E358" s="135">
        <f t="shared" si="46"/>
        <v>-3.9139277045200704</v>
      </c>
      <c r="F358" s="101">
        <f t="shared" si="45"/>
        <v>-3.6196165070094932</v>
      </c>
      <c r="G358" s="638">
        <f t="shared" si="42"/>
        <v>1.1031889520064084</v>
      </c>
    </row>
    <row r="359" spans="1:7">
      <c r="A359" s="133">
        <f>2023</f>
        <v>2023</v>
      </c>
      <c r="B359" s="134" t="s">
        <v>69</v>
      </c>
      <c r="C359" s="136">
        <f t="shared" si="43"/>
        <v>1105.5410000000036</v>
      </c>
      <c r="D359" s="100">
        <v>0.64279731993299727</v>
      </c>
      <c r="E359" s="135">
        <f t="shared" si="46"/>
        <v>-3.2962890069758499</v>
      </c>
      <c r="F359" s="101">
        <f t="shared" si="45"/>
        <v>-3.2962890069758499</v>
      </c>
      <c r="G359" s="638">
        <f t="shared" si="42"/>
        <v>1.0961429743446871</v>
      </c>
    </row>
    <row r="360" spans="1:7">
      <c r="A360" s="133">
        <f>2024</f>
        <v>2024</v>
      </c>
      <c r="B360" s="134" t="s">
        <v>70</v>
      </c>
      <c r="C360" s="136">
        <f t="shared" si="43"/>
        <v>1102.5710000000036</v>
      </c>
      <c r="D360" s="100">
        <v>-0.26864675303766017</v>
      </c>
      <c r="E360" s="135">
        <f t="shared" ref="E360:E371" si="47">(C360/$C$359-1)*100</f>
        <v>-0.26864675303766017</v>
      </c>
      <c r="F360" s="101">
        <f t="shared" si="45"/>
        <v>-3.6097043259626704</v>
      </c>
      <c r="G360" s="638">
        <f t="shared" si="42"/>
        <v>1.0990956591457599</v>
      </c>
    </row>
    <row r="361" spans="1:7">
      <c r="A361" s="133">
        <f>2024</f>
        <v>2024</v>
      </c>
      <c r="B361" s="134" t="s">
        <v>71</v>
      </c>
      <c r="C361" s="136">
        <f t="shared" si="43"/>
        <v>1098.0950000000037</v>
      </c>
      <c r="D361" s="100">
        <v>-0.40596025108585732</v>
      </c>
      <c r="E361" s="135">
        <f t="shared" si="47"/>
        <v>-0.67351640509034638</v>
      </c>
      <c r="F361" s="101">
        <f t="shared" si="45"/>
        <v>-4.0354076962537349</v>
      </c>
      <c r="G361" s="638">
        <f t="shared" si="42"/>
        <v>1.1035757379825968</v>
      </c>
    </row>
    <row r="362" spans="1:7">
      <c r="A362" s="133">
        <f>2024</f>
        <v>2024</v>
      </c>
      <c r="B362" s="134" t="s">
        <v>72</v>
      </c>
      <c r="C362" s="136">
        <f t="shared" si="43"/>
        <v>1094.7630000000036</v>
      </c>
      <c r="D362" s="100">
        <v>-0.30343458443942151</v>
      </c>
      <c r="E362" s="135">
        <f t="shared" si="47"/>
        <v>-0.97490730782485713</v>
      </c>
      <c r="F362" s="101">
        <f t="shared" si="45"/>
        <v>-3.9982216095485579</v>
      </c>
      <c r="G362" s="638">
        <f t="shared" si="42"/>
        <v>1.1069345602655549</v>
      </c>
    </row>
    <row r="363" spans="1:7">
      <c r="A363" s="133">
        <f>2024</f>
        <v>2024</v>
      </c>
      <c r="B363" s="134" t="s">
        <v>73</v>
      </c>
      <c r="C363" s="136">
        <f t="shared" si="43"/>
        <v>1102.6600000000037</v>
      </c>
      <c r="D363" s="100">
        <v>0.72134334097884167</v>
      </c>
      <c r="E363" s="135">
        <f t="shared" si="47"/>
        <v>-0.26059639579173455</v>
      </c>
      <c r="F363" s="101">
        <f t="shared" si="45"/>
        <v>-2.3161662111701897</v>
      </c>
      <c r="G363" s="638">
        <f t="shared" si="42"/>
        <v>1.0990069468376467</v>
      </c>
    </row>
    <row r="364" spans="1:7">
      <c r="A364" s="133">
        <f>2024</f>
        <v>2024</v>
      </c>
      <c r="B364" s="134" t="s">
        <v>74</v>
      </c>
      <c r="C364" s="136">
        <f t="shared" si="43"/>
        <v>1112.2600000000036</v>
      </c>
      <c r="D364" s="100">
        <v>0.87062195055591651</v>
      </c>
      <c r="E364" s="135">
        <f t="shared" si="47"/>
        <v>0.60775674534006008</v>
      </c>
      <c r="F364" s="101">
        <f t="shared" si="45"/>
        <v>0.88471173853021945</v>
      </c>
      <c r="G364" s="638">
        <f t="shared" si="42"/>
        <v>1.089521334939672</v>
      </c>
    </row>
    <row r="365" spans="1:7">
      <c r="A365" s="133">
        <f>2024</f>
        <v>2024</v>
      </c>
      <c r="B365" s="134" t="s">
        <v>75</v>
      </c>
      <c r="C365" s="136">
        <f t="shared" si="43"/>
        <v>1117.7870000000037</v>
      </c>
      <c r="D365" s="100">
        <v>0.49691618866092302</v>
      </c>
      <c r="E365" s="135">
        <f t="shared" si="47"/>
        <v>1.1076929756562715</v>
      </c>
      <c r="F365" s="101">
        <f t="shared" si="45"/>
        <v>2.8820754109164293</v>
      </c>
      <c r="G365" s="638">
        <f t="shared" si="42"/>
        <v>1.0841340971043674</v>
      </c>
    </row>
    <row r="366" spans="1:7">
      <c r="A366" s="133">
        <f>2024</f>
        <v>2024</v>
      </c>
      <c r="B366" s="134" t="s">
        <v>76</v>
      </c>
      <c r="C366" s="136">
        <f t="shared" si="43"/>
        <v>1127.1010000000038</v>
      </c>
      <c r="D366" s="100">
        <v>0.83325356261971795</v>
      </c>
      <c r="E366" s="135">
        <f t="shared" si="47"/>
        <v>1.9501764294585389</v>
      </c>
      <c r="F366" s="101">
        <f t="shared" si="45"/>
        <v>4.1581916727120083</v>
      </c>
      <c r="G366" s="638">
        <f t="shared" si="42"/>
        <v>1.075175161764562</v>
      </c>
    </row>
    <row r="367" spans="1:7">
      <c r="A367" s="133">
        <f>2024</f>
        <v>2024</v>
      </c>
      <c r="B367" s="134" t="s">
        <v>77</v>
      </c>
      <c r="C367" s="136">
        <f t="shared" si="43"/>
        <v>1128.4080000000035</v>
      </c>
      <c r="D367" s="100">
        <v>0.11596121376875601</v>
      </c>
      <c r="E367" s="135">
        <f t="shared" si="47"/>
        <v>2.0683990914855066</v>
      </c>
      <c r="F367" s="101">
        <f t="shared" si="45"/>
        <v>4.2319689855744302</v>
      </c>
      <c r="G367" s="638">
        <f t="shared" si="42"/>
        <v>1.0739298197106009</v>
      </c>
    </row>
    <row r="368" spans="1:7">
      <c r="A368" s="133">
        <f>2024</f>
        <v>2024</v>
      </c>
      <c r="B368" s="134" t="s">
        <v>79</v>
      </c>
      <c r="C368" s="136">
        <f t="shared" si="43"/>
        <v>1139.9810000000036</v>
      </c>
      <c r="D368" s="100">
        <v>1.0256042140786015</v>
      </c>
      <c r="E368" s="135">
        <f t="shared" si="47"/>
        <v>3.1152168938103575</v>
      </c>
      <c r="F368" s="101">
        <f t="shared" si="45"/>
        <v>4.8336473797128576</v>
      </c>
      <c r="G368" s="638">
        <f t="shared" si="42"/>
        <v>1.0630273662455776</v>
      </c>
    </row>
    <row r="369" spans="1:7">
      <c r="A369" s="133">
        <f>2024</f>
        <v>2024</v>
      </c>
      <c r="B369" s="134" t="s">
        <v>78</v>
      </c>
      <c r="C369" s="136">
        <f t="shared" si="43"/>
        <v>1157.5160000000039</v>
      </c>
      <c r="D369" s="100">
        <v>1.5381835311290448</v>
      </c>
      <c r="E369" s="135">
        <f t="shared" si="47"/>
        <v>4.701318178158953</v>
      </c>
      <c r="F369" s="101">
        <f t="shared" si="45"/>
        <v>5.9051724926668214</v>
      </c>
      <c r="G369" s="638">
        <f t="shared" si="42"/>
        <v>1.0469237574253829</v>
      </c>
    </row>
    <row r="370" spans="1:7">
      <c r="A370" s="133">
        <f>2024</f>
        <v>2024</v>
      </c>
      <c r="B370" s="134" t="s">
        <v>68</v>
      </c>
      <c r="C370" s="136">
        <f t="shared" si="43"/>
        <v>1171.2100000000039</v>
      </c>
      <c r="D370" s="100">
        <v>1.1830506014603559</v>
      </c>
      <c r="E370" s="135">
        <f t="shared" si="47"/>
        <v>5.9399877526025824</v>
      </c>
      <c r="F370" s="101">
        <f t="shared" si="45"/>
        <v>6.6209671546136439</v>
      </c>
      <c r="G370" s="638">
        <f t="shared" si="42"/>
        <v>1.0346829347427016</v>
      </c>
    </row>
    <row r="371" spans="1:7">
      <c r="A371" s="133">
        <f>2024</f>
        <v>2024</v>
      </c>
      <c r="B371" s="134" t="s">
        <v>69</v>
      </c>
      <c r="C371" s="136">
        <f t="shared" si="43"/>
        <v>1181.4070000000038</v>
      </c>
      <c r="D371" s="100">
        <v>0.87063805807667816</v>
      </c>
      <c r="E371" s="135">
        <f t="shared" si="47"/>
        <v>6.8623416046985186</v>
      </c>
      <c r="F371" s="101">
        <f t="shared" si="45"/>
        <v>6.8623416046985186</v>
      </c>
      <c r="G371" s="638">
        <f t="shared" si="42"/>
        <v>1.0257523444503034</v>
      </c>
    </row>
    <row r="372" spans="1:7">
      <c r="A372" s="133">
        <f>2025</f>
        <v>2025</v>
      </c>
      <c r="B372" s="134" t="s">
        <v>70</v>
      </c>
      <c r="C372" s="136">
        <f t="shared" si="43"/>
        <v>1182.6930000000038</v>
      </c>
      <c r="D372" s="100">
        <v>0.10885325717555627</v>
      </c>
      <c r="E372" s="135">
        <f t="shared" ref="E372:E377" si="48">(C372/$C$371-1)*100</f>
        <v>0.10885325717555627</v>
      </c>
      <c r="F372" s="101">
        <f t="shared" si="45"/>
        <v>7.2668336098083541</v>
      </c>
      <c r="G372" s="638">
        <f t="shared" si="42"/>
        <v>1.0246369937084261</v>
      </c>
    </row>
    <row r="373" spans="1:7">
      <c r="A373" s="133">
        <f>2025</f>
        <v>2025</v>
      </c>
      <c r="B373" s="134" t="s">
        <v>71</v>
      </c>
      <c r="C373" s="136">
        <f>C372*(1+D373/100)</f>
        <v>1194.5180000000039</v>
      </c>
      <c r="D373" s="100">
        <v>0.99983681310364947</v>
      </c>
      <c r="E373" s="135">
        <f t="shared" si="48"/>
        <v>1.109778425216712</v>
      </c>
      <c r="F373" s="101">
        <f t="shared" ref="F373:F378" si="49">100*(C373/C361-1)</f>
        <v>8.7809342543222471</v>
      </c>
      <c r="G373" s="638">
        <f t="shared" si="42"/>
        <v>1.014493712108147</v>
      </c>
    </row>
    <row r="374" spans="1:7">
      <c r="A374" s="133">
        <f>2025</f>
        <v>2025</v>
      </c>
      <c r="B374" s="134" t="s">
        <v>72</v>
      </c>
      <c r="C374" s="136">
        <f>C373*(1+D374/100)</f>
        <v>1188.5500000000038</v>
      </c>
      <c r="D374" s="100">
        <v>-0.49961574459321811</v>
      </c>
      <c r="E374" s="135">
        <f t="shared" si="48"/>
        <v>0.60461805288101189</v>
      </c>
      <c r="F374" s="101">
        <f t="shared" si="49"/>
        <v>8.5668770318324547</v>
      </c>
      <c r="G374" s="638">
        <f t="shared" si="42"/>
        <v>1.0195877329519158</v>
      </c>
    </row>
    <row r="375" spans="1:7">
      <c r="A375" s="133">
        <f>2025</f>
        <v>2025</v>
      </c>
      <c r="B375" s="134" t="s">
        <v>73</v>
      </c>
      <c r="C375" s="136">
        <f t="shared" ref="C375:C379" si="50">C374*(1+D375/100)</f>
        <v>1192.0790000000038</v>
      </c>
      <c r="D375" s="100">
        <v>0.29691641075260122</v>
      </c>
      <c r="E375" s="135">
        <f t="shared" si="48"/>
        <v>0.90332967385498009</v>
      </c>
      <c r="F375" s="101">
        <f t="shared" si="49"/>
        <v>8.1093900204958658</v>
      </c>
      <c r="G375" s="638">
        <f t="shared" si="42"/>
        <v>1.0165693716607704</v>
      </c>
    </row>
    <row r="376" spans="1:7">
      <c r="A376" s="133">
        <f>2025</f>
        <v>2025</v>
      </c>
      <c r="B376" s="134" t="s">
        <v>74</v>
      </c>
      <c r="C376" s="136">
        <f t="shared" si="50"/>
        <v>1181.9450000000038</v>
      </c>
      <c r="D376" s="100">
        <v>-0.85011144395631399</v>
      </c>
      <c r="E376" s="135">
        <f t="shared" si="48"/>
        <v>4.5538920964571794E-2</v>
      </c>
      <c r="F376" s="101">
        <f t="shared" si="49"/>
        <v>6.2651718123460265</v>
      </c>
      <c r="G376" s="638">
        <f t="shared" si="42"/>
        <v>1.025285440523882</v>
      </c>
    </row>
    <row r="377" spans="1:7">
      <c r="A377" s="133">
        <f>2025</f>
        <v>2025</v>
      </c>
      <c r="B377" s="134" t="s">
        <v>75</v>
      </c>
      <c r="C377" s="136">
        <f t="shared" si="50"/>
        <v>1160.6130000000037</v>
      </c>
      <c r="D377" s="100">
        <v>-1.8048217133622924</v>
      </c>
      <c r="E377" s="135">
        <f t="shared" si="48"/>
        <v>-1.7601046887313232</v>
      </c>
      <c r="F377" s="101">
        <f t="shared" si="49"/>
        <v>3.8313202783714528</v>
      </c>
      <c r="G377" s="638">
        <f t="shared" si="42"/>
        <v>1.0441301277859198</v>
      </c>
    </row>
    <row r="378" spans="1:7">
      <c r="A378" s="133">
        <f>2025</f>
        <v>2025</v>
      </c>
      <c r="B378" s="134" t="s">
        <v>76</v>
      </c>
      <c r="C378" s="136">
        <f t="shared" si="50"/>
        <v>1159.8510000000038</v>
      </c>
      <c r="D378" s="100">
        <v>-6.5654959922034628E-2</v>
      </c>
      <c r="E378" s="135">
        <f t="shared" ref="E378" si="51">(C378/$C$371-1)*100</f>
        <v>-1.8246040526253893</v>
      </c>
      <c r="F378" s="101">
        <f t="shared" si="49"/>
        <v>2.9056845837240663</v>
      </c>
      <c r="G378" s="638">
        <f t="shared" si="42"/>
        <v>1.0448161013785389</v>
      </c>
    </row>
    <row r="379" spans="1:7">
      <c r="A379" s="133">
        <f>2025</f>
        <v>2025</v>
      </c>
      <c r="B379" s="134" t="s">
        <v>77</v>
      </c>
      <c r="C379" s="136">
        <f t="shared" si="50"/>
        <v>1162.2190000000037</v>
      </c>
      <c r="D379" s="100">
        <v>0.20416415556825385</v>
      </c>
      <c r="E379" s="135">
        <f t="shared" ref="E379" si="52">(C379/$C$371-1)*100</f>
        <v>-1.6241650845136402</v>
      </c>
      <c r="F379" s="101">
        <f t="shared" ref="F379" si="53">100*(C379/C367-1)</f>
        <v>2.9963452935463097</v>
      </c>
      <c r="G379" s="638">
        <f t="shared" si="42"/>
        <v>1.0426873076416749</v>
      </c>
    </row>
    <row r="380" spans="1:7">
      <c r="A380" s="133">
        <f>2025</f>
        <v>2025</v>
      </c>
      <c r="B380" s="134" t="s">
        <v>79</v>
      </c>
      <c r="C380" s="136">
        <f t="shared" ref="C380" si="54">C379*(1+D380/100)</f>
        <v>1166.3490000000036</v>
      </c>
      <c r="D380" s="100">
        <v>0.35535471369851912</v>
      </c>
      <c r="E380" s="135">
        <f t="shared" ref="E380" si="55">(C380/$C$371-1)*100</f>
        <v>-1.274581918001183</v>
      </c>
      <c r="F380" s="101">
        <f t="shared" ref="F380" si="56">100*(C380/C368-1)</f>
        <v>2.3130210064904455</v>
      </c>
      <c r="G380" s="638">
        <f t="shared" si="42"/>
        <v>1.038995189261533</v>
      </c>
    </row>
    <row r="381" spans="1:7">
      <c r="A381" s="133">
        <f>2025</f>
        <v>2025</v>
      </c>
      <c r="B381" s="134" t="s">
        <v>78</v>
      </c>
      <c r="C381" s="136">
        <f t="shared" ref="C381" si="57">C380*(1+D381/100)</f>
        <v>1165.9840000000036</v>
      </c>
      <c r="D381" s="100">
        <v>-3.1294235258916281E-2</v>
      </c>
      <c r="E381" s="135">
        <f t="shared" ref="E381" si="58">(C381/$C$371-1)*100</f>
        <v>-1.3054772825961014</v>
      </c>
      <c r="F381" s="101">
        <f t="shared" ref="F381" si="59">100*(C381/C369-1)</f>
        <v>0.73156656149890864</v>
      </c>
      <c r="G381" s="638">
        <f t="shared" si="42"/>
        <v>1.0393204366440705</v>
      </c>
    </row>
    <row r="382" spans="1:7">
      <c r="A382" s="133">
        <f>2025</f>
        <v>2025</v>
      </c>
      <c r="B382" s="134" t="s">
        <v>68</v>
      </c>
      <c r="C382" s="136">
        <f t="shared" ref="C382" si="60">C381*(1+D382/100)</f>
        <v>1166.0750000000039</v>
      </c>
      <c r="D382" s="100">
        <v>7.8045667865289658E-3</v>
      </c>
      <c r="E382" s="135">
        <f t="shared" ref="E382" si="61">(C382/$C$371-1)*100</f>
        <v>-1.2977746026559767</v>
      </c>
      <c r="F382" s="101">
        <f t="shared" ref="F382" si="62">100*(C382/C370-1)</f>
        <v>-0.43843546417806634</v>
      </c>
      <c r="G382" s="638">
        <f t="shared" si="42"/>
        <v>1.0392393285166044</v>
      </c>
    </row>
    <row r="383" spans="1:7">
      <c r="A383" s="133">
        <f>2025</f>
        <v>2025</v>
      </c>
      <c r="B383" s="134" t="s">
        <v>69</v>
      </c>
      <c r="C383" s="136">
        <f t="shared" ref="C383" si="63">C382*(1+D383/100)</f>
        <v>1167.2390000000039</v>
      </c>
      <c r="D383" s="100">
        <v>9.9822052612386081E-2</v>
      </c>
      <c r="E383" s="135">
        <f t="shared" ref="E383" si="64">(C383/$C$371-1)*100</f>
        <v>-1.1992480152902329</v>
      </c>
      <c r="F383" s="101">
        <f t="shared" ref="F383" si="65">100*(C383/C371-1)</f>
        <v>-1.1992480152902329</v>
      </c>
      <c r="G383" s="638">
        <f t="shared" si="42"/>
        <v>1.0382029729986741</v>
      </c>
    </row>
    <row r="384" spans="1:7">
      <c r="A384" s="127">
        <f>2026</f>
        <v>2026</v>
      </c>
      <c r="B384" s="128" t="s">
        <v>70</v>
      </c>
      <c r="C384" s="129">
        <f t="shared" ref="C384" si="66">C383*(1+D384/100)</f>
        <v>1169.5660000000037</v>
      </c>
      <c r="D384" s="94">
        <v>0.19935934285950641</v>
      </c>
      <c r="E384" s="131">
        <f>(C384/$C$383-1)*100</f>
        <v>0.19935934285950641</v>
      </c>
      <c r="F384" s="95">
        <f t="shared" ref="F384" si="67">100*(C384/C372-1)</f>
        <v>-1.1099245535401092</v>
      </c>
      <c r="G384" s="638">
        <f t="shared" si="42"/>
        <v>1.0361373364136781</v>
      </c>
    </row>
    <row r="385" spans="1:7">
      <c r="A385" s="127">
        <f>2026</f>
        <v>2026</v>
      </c>
      <c r="B385" s="128" t="s">
        <v>71</v>
      </c>
      <c r="C385" s="129">
        <f t="shared" ref="C385" si="68">C384*(1+D385/100)</f>
        <v>1159.7880000000036</v>
      </c>
      <c r="D385" s="94">
        <v>-0.83603661529149109</v>
      </c>
      <c r="E385" s="131">
        <f>(C385/$C$383-1)*100</f>
        <v>-0.63834398953429572</v>
      </c>
      <c r="F385" s="95">
        <f t="shared" ref="F385" si="69">100*(C385/C373-1)</f>
        <v>-2.9074488622189198</v>
      </c>
      <c r="G385" s="638">
        <f t="shared" si="42"/>
        <v>1.044872856073696</v>
      </c>
    </row>
    <row r="386" spans="1:7">
      <c r="A386" s="127">
        <f>2026</f>
        <v>2026</v>
      </c>
      <c r="B386" s="128" t="s">
        <v>72</v>
      </c>
      <c r="C386" s="129">
        <f t="shared" ref="C386:C387" si="70">C385*(1+D386/100)</f>
        <v>1173.0420000000036</v>
      </c>
      <c r="D386" s="94">
        <v>1.1427950625459093</v>
      </c>
      <c r="E386" s="131">
        <f t="shared" ref="E386:E387" si="71">(C386/$C$383-1)*100</f>
        <v>0.49715610941714061</v>
      </c>
      <c r="F386" s="95">
        <f t="shared" ref="F386:F387" si="72">100*(C386/C374-1)</f>
        <v>-1.3047831391191145</v>
      </c>
      <c r="G386" s="638">
        <f t="shared" si="42"/>
        <v>1.0330670172082499</v>
      </c>
    </row>
    <row r="387" spans="1:7">
      <c r="A387" s="127">
        <f>2026</f>
        <v>2026</v>
      </c>
      <c r="B387" s="128" t="s">
        <v>73</v>
      </c>
      <c r="C387" s="129">
        <f t="shared" si="70"/>
        <v>1201.3620000000037</v>
      </c>
      <c r="D387" s="94">
        <v>2.4142358074135561</v>
      </c>
      <c r="E387" s="131">
        <f t="shared" si="71"/>
        <v>2.923394437643001</v>
      </c>
      <c r="F387" s="95">
        <f t="shared" si="72"/>
        <v>0.77872355775077118</v>
      </c>
      <c r="G387" s="638">
        <f t="shared" ref="G387:G388" si="73">$C$388/C387</f>
        <v>1.008714275963448</v>
      </c>
    </row>
    <row r="388" spans="1:7" ht="15.75" thickBot="1">
      <c r="A388" s="137">
        <f>2026</f>
        <v>2026</v>
      </c>
      <c r="B388" s="659" t="s">
        <v>74</v>
      </c>
      <c r="C388" s="660">
        <f t="shared" ref="C388" si="74">C387*(1+D388/100)</f>
        <v>1211.8310000000035</v>
      </c>
      <c r="D388" s="106">
        <v>0.87142759634479816</v>
      </c>
      <c r="E388" s="661">
        <f t="shared" ref="E388" si="75">(C388/$C$383-1)*100</f>
        <v>3.8202972998674145</v>
      </c>
      <c r="F388" s="107">
        <f t="shared" ref="F388" si="76">100*(C388/C376-1)</f>
        <v>2.5285440523882041</v>
      </c>
      <c r="G388" s="662">
        <f t="shared" si="73"/>
        <v>1</v>
      </c>
    </row>
    <row r="389" spans="1:7">
      <c r="A389" s="138" t="s">
        <v>88</v>
      </c>
      <c r="B389" s="139"/>
    </row>
    <row r="390" spans="1:7">
      <c r="A390" s="138" t="s">
        <v>89</v>
      </c>
      <c r="B390" s="139"/>
    </row>
    <row r="391" spans="1:7" ht="15.75">
      <c r="A391" s="111" t="s">
        <v>90</v>
      </c>
      <c r="B391" s="55"/>
    </row>
    <row r="392" spans="1:7" ht="16.5" thickBot="1">
      <c r="A392" s="111"/>
      <c r="B392" s="55"/>
    </row>
    <row r="393" spans="1:7" ht="26.25" customHeight="1" thickBot="1">
      <c r="A393" s="140" t="s">
        <v>91</v>
      </c>
      <c r="B393" s="141">
        <v>0.6</v>
      </c>
    </row>
    <row r="394" spans="1:7" ht="15.75" thickBot="1">
      <c r="A394" s="142" t="s">
        <v>83</v>
      </c>
      <c r="B394" s="143">
        <v>0.3</v>
      </c>
    </row>
    <row r="395" spans="1:7" ht="15.75" thickBot="1">
      <c r="A395" s="142" t="s">
        <v>84</v>
      </c>
      <c r="B395" s="143">
        <v>0.1</v>
      </c>
    </row>
    <row r="396" spans="1:7" ht="15.75" thickBot="1">
      <c r="A396" s="144" t="s">
        <v>85</v>
      </c>
      <c r="B396" s="145"/>
    </row>
    <row r="397" spans="1:7">
      <c r="A397" s="658" t="s">
        <v>92</v>
      </c>
    </row>
  </sheetData>
  <mergeCells count="6">
    <mergeCell ref="A1:G3"/>
    <mergeCell ref="A4:C4"/>
    <mergeCell ref="D4:G4"/>
    <mergeCell ref="A5:C5"/>
    <mergeCell ref="D5:F5"/>
    <mergeCell ref="G5:G6"/>
  </mergeCells>
  <phoneticPr fontId="77" type="noConversion"/>
  <hyperlinks>
    <hyperlink ref="A397" r:id="rId1" xr:uid="{96CFED27-0CE4-4399-889F-B49B8D59B7A3}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4864A-D7F8-492D-89EC-1D858837F9DD}">
  <sheetPr>
    <tabColor rgb="FF92D050"/>
  </sheetPr>
  <dimension ref="A1:G403"/>
  <sheetViews>
    <sheetView showGridLines="0" topLeftCell="A5" workbookViewId="0">
      <pane ySplit="2610" topLeftCell="A389" activePane="bottomLeft"/>
      <selection pane="bottomLeft" activeCell="I393" sqref="I393:I395"/>
      <selection activeCell="D5" sqref="A4:G6"/>
    </sheetView>
  </sheetViews>
  <sheetFormatPr defaultColWidth="12.42578125" defaultRowHeight="15.7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6384" width="12.42578125" style="55"/>
  </cols>
  <sheetData>
    <row r="1" spans="1:7" ht="21" customHeight="1">
      <c r="A1" s="706" t="s">
        <v>93</v>
      </c>
      <c r="B1" s="706"/>
      <c r="C1" s="706"/>
      <c r="D1" s="706"/>
      <c r="E1" s="706"/>
      <c r="F1" s="706"/>
      <c r="G1" s="706"/>
    </row>
    <row r="2" spans="1:7" ht="15.75" customHeight="1">
      <c r="A2" s="706"/>
      <c r="B2" s="706"/>
      <c r="C2" s="706"/>
      <c r="D2" s="706"/>
      <c r="E2" s="706"/>
      <c r="F2" s="706"/>
      <c r="G2" s="706"/>
    </row>
    <row r="3" spans="1:7" ht="15" customHeight="1" thickBot="1">
      <c r="A3" s="707"/>
      <c r="B3" s="707"/>
      <c r="C3" s="707"/>
      <c r="D3" s="707"/>
      <c r="E3" s="707"/>
      <c r="F3" s="707"/>
      <c r="G3" s="707"/>
    </row>
    <row r="4" spans="1:7" ht="17.25" customHeight="1" thickBot="1">
      <c r="A4" s="708" t="s">
        <v>94</v>
      </c>
      <c r="B4" s="709"/>
      <c r="C4" s="710"/>
      <c r="D4" s="711" t="s">
        <v>95</v>
      </c>
      <c r="E4" s="712"/>
      <c r="F4" s="712"/>
      <c r="G4" s="712"/>
    </row>
    <row r="5" spans="1:7" ht="15" customHeight="1" thickBot="1">
      <c r="A5" s="713" t="s">
        <v>46</v>
      </c>
      <c r="B5" s="714"/>
      <c r="C5" s="715"/>
      <c r="D5" s="716" t="s">
        <v>47</v>
      </c>
      <c r="E5" s="717"/>
      <c r="F5" s="718"/>
      <c r="G5" s="719" t="s">
        <v>96</v>
      </c>
    </row>
    <row r="6" spans="1:7" ht="15.75" customHeight="1" thickBot="1">
      <c r="A6" s="65" t="s">
        <v>49</v>
      </c>
      <c r="B6" s="66" t="s">
        <v>50</v>
      </c>
      <c r="C6" s="66" t="s">
        <v>51</v>
      </c>
      <c r="D6" s="66" t="s">
        <v>52</v>
      </c>
      <c r="E6" s="66" t="s">
        <v>53</v>
      </c>
      <c r="F6" s="66" t="s">
        <v>54</v>
      </c>
      <c r="G6" s="720"/>
    </row>
    <row r="7" spans="1:7" ht="16.5" hidden="1" thickBot="1">
      <c r="A7" s="67">
        <v>1993</v>
      </c>
      <c r="B7" s="68" t="s">
        <v>55</v>
      </c>
      <c r="C7" s="69">
        <v>100</v>
      </c>
      <c r="D7" s="69"/>
      <c r="E7" s="146"/>
      <c r="F7" s="147"/>
      <c r="G7" s="72">
        <f t="shared" ref="G7:G70" si="0">+$C$396/C7</f>
        <v>76.401500000000183</v>
      </c>
    </row>
    <row r="8" spans="1:7" ht="16.5" hidden="1" thickBot="1">
      <c r="A8" s="73">
        <v>1994</v>
      </c>
      <c r="B8" s="74" t="s">
        <v>56</v>
      </c>
      <c r="C8" s="75">
        <f t="shared" ref="C8:C71" si="1">+C7*(1+D8/100)</f>
        <v>141.31</v>
      </c>
      <c r="D8" s="75">
        <v>41.31</v>
      </c>
      <c r="E8" s="79"/>
      <c r="F8" s="148"/>
      <c r="G8" s="78">
        <f t="shared" si="0"/>
        <v>54.066591182506677</v>
      </c>
    </row>
    <row r="9" spans="1:7" ht="16.5" hidden="1" thickBot="1">
      <c r="A9" s="73">
        <v>1994</v>
      </c>
      <c r="B9" s="74" t="s">
        <v>57</v>
      </c>
      <c r="C9" s="75">
        <f t="shared" si="1"/>
        <v>198.22</v>
      </c>
      <c r="D9" s="75">
        <v>40.273158304437054</v>
      </c>
      <c r="E9" s="79"/>
      <c r="F9" s="148"/>
      <c r="G9" s="78">
        <f t="shared" si="0"/>
        <v>38.543789728584493</v>
      </c>
    </row>
    <row r="10" spans="1:7" ht="16.5" hidden="1" thickBot="1">
      <c r="A10" s="73">
        <v>1994</v>
      </c>
      <c r="B10" s="74" t="s">
        <v>58</v>
      </c>
      <c r="C10" s="75">
        <f t="shared" si="1"/>
        <v>282.95999999999998</v>
      </c>
      <c r="D10" s="75">
        <v>42.750479265462602</v>
      </c>
      <c r="E10" s="79"/>
      <c r="F10" s="148"/>
      <c r="G10" s="78">
        <f t="shared" si="0"/>
        <v>27.000812835736568</v>
      </c>
    </row>
    <row r="11" spans="1:7" ht="16.5" hidden="1" thickBot="1">
      <c r="A11" s="73">
        <v>1994</v>
      </c>
      <c r="B11" s="74" t="s">
        <v>59</v>
      </c>
      <c r="C11" s="75">
        <f t="shared" si="1"/>
        <v>403.72999999999996</v>
      </c>
      <c r="D11" s="75">
        <v>42.680944303081716</v>
      </c>
      <c r="E11" s="79"/>
      <c r="F11" s="148"/>
      <c r="G11" s="78">
        <f t="shared" si="0"/>
        <v>18.923909543506849</v>
      </c>
    </row>
    <row r="12" spans="1:7" ht="16.5" hidden="1" thickBot="1">
      <c r="A12" s="73">
        <v>1994</v>
      </c>
      <c r="B12" s="74" t="s">
        <v>60</v>
      </c>
      <c r="C12" s="75">
        <f t="shared" si="1"/>
        <v>581.49</v>
      </c>
      <c r="D12" s="75">
        <v>44.029425606221984</v>
      </c>
      <c r="E12" s="79"/>
      <c r="F12" s="148"/>
      <c r="G12" s="78">
        <f t="shared" si="0"/>
        <v>13.138918983989438</v>
      </c>
    </row>
    <row r="13" spans="1:7" ht="16.5" hidden="1" thickBot="1">
      <c r="A13" s="73">
        <v>1994</v>
      </c>
      <c r="B13" s="74" t="s">
        <v>61</v>
      </c>
      <c r="C13" s="75">
        <f t="shared" si="1"/>
        <v>857.29</v>
      </c>
      <c r="D13" s="75">
        <v>47.429878415793894</v>
      </c>
      <c r="E13" s="79"/>
      <c r="F13" s="148"/>
      <c r="G13" s="78">
        <f t="shared" si="0"/>
        <v>8.9119784437005212</v>
      </c>
    </row>
    <row r="14" spans="1:7" ht="16.5" hidden="1" thickBot="1">
      <c r="A14" s="73">
        <v>1994</v>
      </c>
      <c r="B14" s="74" t="s">
        <v>62</v>
      </c>
      <c r="C14" s="75">
        <f t="shared" si="1"/>
        <v>915.93</v>
      </c>
      <c r="D14" s="75">
        <v>6.8401591060201383</v>
      </c>
      <c r="E14" s="79"/>
      <c r="F14" s="148"/>
      <c r="G14" s="78">
        <f t="shared" si="0"/>
        <v>8.341412553361085</v>
      </c>
    </row>
    <row r="15" spans="1:7" ht="16.5" hidden="1" thickBot="1">
      <c r="A15" s="73">
        <v>1994</v>
      </c>
      <c r="B15" s="74" t="s">
        <v>63</v>
      </c>
      <c r="C15" s="75">
        <f t="shared" si="1"/>
        <v>932.97</v>
      </c>
      <c r="D15" s="75">
        <v>1.8604041793586878</v>
      </c>
      <c r="E15" s="79"/>
      <c r="F15" s="148"/>
      <c r="G15" s="78">
        <f t="shared" si="0"/>
        <v>8.1890628851946143</v>
      </c>
    </row>
    <row r="16" spans="1:7" ht="16.5" hidden="1" thickBot="1">
      <c r="A16" s="73">
        <v>1994</v>
      </c>
      <c r="B16" s="74" t="s">
        <v>64</v>
      </c>
      <c r="C16" s="75">
        <f t="shared" si="1"/>
        <v>947.2399999999999</v>
      </c>
      <c r="D16" s="75">
        <v>1.5295239932687998</v>
      </c>
      <c r="E16" s="79"/>
      <c r="F16" s="148"/>
      <c r="G16" s="78">
        <f t="shared" si="0"/>
        <v>8.0656961276973309</v>
      </c>
    </row>
    <row r="17" spans="1:7" ht="16.5" hidden="1" thickBot="1">
      <c r="A17" s="73">
        <v>1994</v>
      </c>
      <c r="B17" s="74" t="s">
        <v>65</v>
      </c>
      <c r="C17" s="75">
        <f t="shared" si="1"/>
        <v>972.05999999999983</v>
      </c>
      <c r="D17" s="75">
        <v>2.620244077530498</v>
      </c>
      <c r="E17" s="79"/>
      <c r="F17" s="148"/>
      <c r="G17" s="78">
        <f t="shared" si="0"/>
        <v>7.8597514556714811</v>
      </c>
    </row>
    <row r="18" spans="1:7" ht="16.5" hidden="1" thickBot="1">
      <c r="A18" s="73">
        <v>1994</v>
      </c>
      <c r="B18" s="74" t="s">
        <v>66</v>
      </c>
      <c r="C18" s="75">
        <f t="shared" si="1"/>
        <v>999.37</v>
      </c>
      <c r="D18" s="75">
        <v>2.8094973561302972</v>
      </c>
      <c r="E18" s="79"/>
      <c r="F18" s="148"/>
      <c r="G18" s="78">
        <f t="shared" si="0"/>
        <v>7.644966328787155</v>
      </c>
    </row>
    <row r="19" spans="1:7" ht="16.5" hidden="1" thickBot="1">
      <c r="A19" s="73">
        <v>1994</v>
      </c>
      <c r="B19" s="74" t="s">
        <v>55</v>
      </c>
      <c r="C19" s="75">
        <f t="shared" si="1"/>
        <v>1016.46</v>
      </c>
      <c r="D19" s="75">
        <v>1.7100773487296994</v>
      </c>
      <c r="E19" s="75">
        <v>916.43</v>
      </c>
      <c r="F19" s="149">
        <f t="shared" ref="F19:F82" si="2">100*((C19/C7)-1)</f>
        <v>916.46</v>
      </c>
      <c r="G19" s="78">
        <f t="shared" si="0"/>
        <v>7.5164295692895129</v>
      </c>
    </row>
    <row r="20" spans="1:7" ht="16.5" hidden="1" thickBot="1">
      <c r="A20" s="73">
        <v>1995</v>
      </c>
      <c r="B20" s="74" t="s">
        <v>56</v>
      </c>
      <c r="C20" s="75">
        <f t="shared" si="1"/>
        <v>1033.74</v>
      </c>
      <c r="D20" s="75">
        <v>1.7000177085177981</v>
      </c>
      <c r="E20" s="75">
        <f>100*((C20/1016.43)-1)</f>
        <v>1.7030193913993186</v>
      </c>
      <c r="F20" s="149">
        <f t="shared" si="2"/>
        <v>631.54058453046491</v>
      </c>
      <c r="G20" s="78">
        <f t="shared" si="0"/>
        <v>7.3907849169036881</v>
      </c>
    </row>
    <row r="21" spans="1:7" ht="16.5" hidden="1" thickBot="1">
      <c r="A21" s="73">
        <v>1995</v>
      </c>
      <c r="B21" s="74" t="s">
        <v>57</v>
      </c>
      <c r="C21" s="75">
        <f t="shared" si="1"/>
        <v>1044.28</v>
      </c>
      <c r="D21" s="75">
        <v>1.0195987385609451</v>
      </c>
      <c r="E21" s="75">
        <f t="shared" ref="E21:E31" si="3">100*((C21/1016.43)-1)</f>
        <v>2.7399820941924169</v>
      </c>
      <c r="F21" s="149">
        <f t="shared" si="2"/>
        <v>426.82877610735545</v>
      </c>
      <c r="G21" s="78">
        <f t="shared" si="0"/>
        <v>7.3161891446738601</v>
      </c>
    </row>
    <row r="22" spans="1:7" ht="16.5" hidden="1" thickBot="1">
      <c r="A22" s="73">
        <v>1995</v>
      </c>
      <c r="B22" s="74" t="s">
        <v>58</v>
      </c>
      <c r="C22" s="75">
        <f t="shared" si="1"/>
        <v>1060.47</v>
      </c>
      <c r="D22" s="75">
        <v>1.5503504807139912</v>
      </c>
      <c r="E22" s="75">
        <f t="shared" si="3"/>
        <v>4.3328119004752086</v>
      </c>
      <c r="F22" s="149">
        <f t="shared" si="2"/>
        <v>274.77735368956746</v>
      </c>
      <c r="G22" s="78">
        <f t="shared" si="0"/>
        <v>7.2044942336888536</v>
      </c>
    </row>
    <row r="23" spans="1:7" ht="16.5" hidden="1" thickBot="1">
      <c r="A23" s="73">
        <v>1995</v>
      </c>
      <c r="B23" s="74" t="s">
        <v>59</v>
      </c>
      <c r="C23" s="75">
        <f t="shared" si="1"/>
        <v>1086.24</v>
      </c>
      <c r="D23" s="75">
        <v>2.4300545984327737</v>
      </c>
      <c r="E23" s="75">
        <f t="shared" si="3"/>
        <v>6.8681561937369073</v>
      </c>
      <c r="F23" s="149">
        <f t="shared" si="2"/>
        <v>169.05109850642762</v>
      </c>
      <c r="G23" s="78">
        <f t="shared" si="0"/>
        <v>7.0335745323317305</v>
      </c>
    </row>
    <row r="24" spans="1:7" ht="16.5" hidden="1" thickBot="1">
      <c r="A24" s="73">
        <v>1995</v>
      </c>
      <c r="B24" s="74" t="s">
        <v>60</v>
      </c>
      <c r="C24" s="75">
        <f t="shared" si="1"/>
        <v>1115.24</v>
      </c>
      <c r="D24" s="75">
        <v>2.6697599057298627</v>
      </c>
      <c r="E24" s="75">
        <f t="shared" si="3"/>
        <v>9.7212793797900598</v>
      </c>
      <c r="F24" s="149">
        <f t="shared" si="2"/>
        <v>91.790056578788978</v>
      </c>
      <c r="G24" s="78">
        <f t="shared" si="0"/>
        <v>6.8506778809942421</v>
      </c>
    </row>
    <row r="25" spans="1:7" ht="16.5" hidden="1" thickBot="1">
      <c r="A25" s="73">
        <v>1995</v>
      </c>
      <c r="B25" s="74" t="s">
        <v>61</v>
      </c>
      <c r="C25" s="75">
        <f t="shared" si="1"/>
        <v>1140.44</v>
      </c>
      <c r="D25" s="75">
        <v>2.259603314084857</v>
      </c>
      <c r="E25" s="75">
        <f t="shared" si="3"/>
        <v>12.200545044912104</v>
      </c>
      <c r="F25" s="149">
        <f t="shared" si="2"/>
        <v>33.028496774720352</v>
      </c>
      <c r="G25" s="78">
        <f t="shared" si="0"/>
        <v>6.699300270071217</v>
      </c>
    </row>
    <row r="26" spans="1:7" ht="16.5" hidden="1" thickBot="1">
      <c r="A26" s="73">
        <v>1995</v>
      </c>
      <c r="B26" s="74" t="s">
        <v>62</v>
      </c>
      <c r="C26" s="75">
        <f t="shared" si="1"/>
        <v>1167.3499999999999</v>
      </c>
      <c r="D26" s="75">
        <v>2.3596155869664237</v>
      </c>
      <c r="E26" s="75">
        <f t="shared" si="3"/>
        <v>14.848046594453134</v>
      </c>
      <c r="F26" s="149">
        <f t="shared" si="2"/>
        <v>27.449695937462472</v>
      </c>
      <c r="G26" s="78">
        <f t="shared" si="0"/>
        <v>6.5448665781471016</v>
      </c>
    </row>
    <row r="27" spans="1:7" ht="16.5" hidden="1" thickBot="1">
      <c r="A27" s="73">
        <v>1995</v>
      </c>
      <c r="B27" s="74" t="s">
        <v>63</v>
      </c>
      <c r="C27" s="75">
        <f t="shared" si="1"/>
        <v>1178.9100000000001</v>
      </c>
      <c r="D27" s="75">
        <v>0.99027712339916363</v>
      </c>
      <c r="E27" s="75">
        <f t="shared" si="3"/>
        <v>15.985360526548821</v>
      </c>
      <c r="F27" s="149">
        <f t="shared" si="2"/>
        <v>26.360976237178058</v>
      </c>
      <c r="G27" s="78">
        <f t="shared" si="0"/>
        <v>6.4806897897210289</v>
      </c>
    </row>
    <row r="28" spans="1:7" ht="16.5" hidden="1" thickBot="1">
      <c r="A28" s="73">
        <v>1995</v>
      </c>
      <c r="B28" s="74" t="s">
        <v>64</v>
      </c>
      <c r="C28" s="75">
        <f t="shared" si="1"/>
        <v>1190.58</v>
      </c>
      <c r="D28" s="75">
        <v>0.98989744764230725</v>
      </c>
      <c r="E28" s="75">
        <f t="shared" si="3"/>
        <v>17.133496650039849</v>
      </c>
      <c r="F28" s="149">
        <f t="shared" si="2"/>
        <v>25.689371225877288</v>
      </c>
      <c r="G28" s="78">
        <f t="shared" si="0"/>
        <v>6.4171664230879228</v>
      </c>
    </row>
    <row r="29" spans="1:7" ht="16.5" hidden="1" thickBot="1">
      <c r="A29" s="73">
        <v>1995</v>
      </c>
      <c r="B29" s="74" t="s">
        <v>65</v>
      </c>
      <c r="C29" s="75">
        <f t="shared" si="1"/>
        <v>1207.3699999999999</v>
      </c>
      <c r="D29" s="75">
        <v>1.410237027331207</v>
      </c>
      <c r="E29" s="75">
        <f t="shared" si="3"/>
        <v>18.785356591206479</v>
      </c>
      <c r="F29" s="149">
        <f t="shared" si="2"/>
        <v>24.207353455548031</v>
      </c>
      <c r="G29" s="78">
        <f t="shared" si="0"/>
        <v>6.3279276443840908</v>
      </c>
    </row>
    <row r="30" spans="1:7" ht="16.5" hidden="1" thickBot="1">
      <c r="A30" s="73">
        <v>1995</v>
      </c>
      <c r="B30" s="74" t="s">
        <v>66</v>
      </c>
      <c r="C30" s="75">
        <f t="shared" si="1"/>
        <v>1225.1199999999999</v>
      </c>
      <c r="D30" s="75">
        <v>1.4701375717468546</v>
      </c>
      <c r="E30" s="75">
        <f t="shared" si="3"/>
        <v>20.531664748187282</v>
      </c>
      <c r="F30" s="149">
        <f t="shared" si="2"/>
        <v>22.589231215665851</v>
      </c>
      <c r="G30" s="78">
        <f t="shared" si="0"/>
        <v>6.2362462452657859</v>
      </c>
    </row>
    <row r="31" spans="1:7" ht="16.5" hidden="1" thickBot="1">
      <c r="A31" s="73">
        <v>1995</v>
      </c>
      <c r="B31" s="74" t="s">
        <v>55</v>
      </c>
      <c r="C31" s="75">
        <f t="shared" si="1"/>
        <v>1244.23</v>
      </c>
      <c r="D31" s="75">
        <v>1.5598471986417728</v>
      </c>
      <c r="E31" s="75">
        <f t="shared" si="3"/>
        <v>22.41177454423817</v>
      </c>
      <c r="F31" s="149">
        <f t="shared" si="2"/>
        <v>22.408161659091363</v>
      </c>
      <c r="G31" s="78">
        <f t="shared" si="0"/>
        <v>6.1404643835946882</v>
      </c>
    </row>
    <row r="32" spans="1:7" ht="16.5" hidden="1" thickBot="1">
      <c r="A32" s="73">
        <v>1996</v>
      </c>
      <c r="B32" s="74" t="s">
        <v>56</v>
      </c>
      <c r="C32" s="75">
        <f t="shared" si="1"/>
        <v>1260.9000000000001</v>
      </c>
      <c r="D32" s="75">
        <v>1.3397844449981156</v>
      </c>
      <c r="E32" s="75">
        <f>100*((C32/1244.2)-1)</f>
        <v>1.3422279376306134</v>
      </c>
      <c r="F32" s="149">
        <f t="shared" si="2"/>
        <v>21.974577746822234</v>
      </c>
      <c r="G32" s="78">
        <f t="shared" si="0"/>
        <v>6.0592830517884195</v>
      </c>
    </row>
    <row r="33" spans="1:7" ht="16.5" hidden="1" thickBot="1">
      <c r="A33" s="73">
        <v>1996</v>
      </c>
      <c r="B33" s="74" t="s">
        <v>57</v>
      </c>
      <c r="C33" s="75">
        <f t="shared" si="1"/>
        <v>1273.8900000000001</v>
      </c>
      <c r="D33" s="75">
        <v>1.0302165120152251</v>
      </c>
      <c r="E33" s="75">
        <f>100*((C33/1244.4)-1)</f>
        <v>2.3698167791706748</v>
      </c>
      <c r="F33" s="149">
        <f t="shared" si="2"/>
        <v>21.987398015857828</v>
      </c>
      <c r="G33" s="78">
        <f t="shared" si="0"/>
        <v>5.9974958591401286</v>
      </c>
    </row>
    <row r="34" spans="1:7" ht="16.5" hidden="1" thickBot="1">
      <c r="A34" s="73">
        <v>1996</v>
      </c>
      <c r="B34" s="74" t="s">
        <v>58</v>
      </c>
      <c r="C34" s="75">
        <f t="shared" si="1"/>
        <v>1278.3499999999999</v>
      </c>
      <c r="D34" s="75">
        <v>0.35010872210314847</v>
      </c>
      <c r="E34" s="75">
        <f>100*((C34/1244.4)-1)</f>
        <v>2.7282224365155816</v>
      </c>
      <c r="F34" s="149">
        <f t="shared" si="2"/>
        <v>20.545607136458344</v>
      </c>
      <c r="G34" s="78">
        <f t="shared" si="0"/>
        <v>5.9765713615207252</v>
      </c>
    </row>
    <row r="35" spans="1:7" ht="16.5" hidden="1" thickBot="1">
      <c r="A35" s="73">
        <v>1996</v>
      </c>
      <c r="B35" s="74" t="s">
        <v>59</v>
      </c>
      <c r="C35" s="75">
        <f t="shared" si="1"/>
        <v>1294.46</v>
      </c>
      <c r="D35" s="75">
        <v>1.2602182500880188</v>
      </c>
      <c r="E35" s="75">
        <f>100*((C35/1244.4)-1)</f>
        <v>4.0228222436515582</v>
      </c>
      <c r="F35" s="149">
        <f t="shared" si="2"/>
        <v>19.168876123140379</v>
      </c>
      <c r="G35" s="78">
        <f t="shared" si="0"/>
        <v>5.9021908749594569</v>
      </c>
    </row>
    <row r="36" spans="1:7" ht="16.5" hidden="1" thickBot="1">
      <c r="A36" s="73">
        <v>1996</v>
      </c>
      <c r="B36" s="74" t="s">
        <v>60</v>
      </c>
      <c r="C36" s="75">
        <f t="shared" si="1"/>
        <v>1310.25</v>
      </c>
      <c r="D36" s="75">
        <v>1.2198136674752336</v>
      </c>
      <c r="E36" s="75">
        <f t="shared" ref="E36:E43" si="4">100*((C36/1244.4)-1)</f>
        <v>5.2917068466730832</v>
      </c>
      <c r="F36" s="149">
        <f t="shared" si="2"/>
        <v>17.485922312686064</v>
      </c>
      <c r="G36" s="78">
        <f t="shared" si="0"/>
        <v>5.8310627742797321</v>
      </c>
    </row>
    <row r="37" spans="1:7" ht="16.5" hidden="1" thickBot="1">
      <c r="A37" s="73">
        <v>1996</v>
      </c>
      <c r="B37" s="74" t="s">
        <v>61</v>
      </c>
      <c r="C37" s="75">
        <f t="shared" si="1"/>
        <v>1325.8399999999997</v>
      </c>
      <c r="D37" s="75">
        <v>1.18984926540735</v>
      </c>
      <c r="E37" s="75">
        <f t="shared" si="4"/>
        <v>6.5445194471230872</v>
      </c>
      <c r="F37" s="149">
        <f t="shared" si="2"/>
        <v>16.256883308196812</v>
      </c>
      <c r="G37" s="78">
        <f t="shared" si="0"/>
        <v>5.7624977372835486</v>
      </c>
    </row>
    <row r="38" spans="1:7" ht="16.5" hidden="1" thickBot="1">
      <c r="A38" s="73">
        <v>1996</v>
      </c>
      <c r="B38" s="74" t="s">
        <v>62</v>
      </c>
      <c r="C38" s="75">
        <f t="shared" si="1"/>
        <v>1340.56</v>
      </c>
      <c r="D38" s="75">
        <v>1.1102395462499359</v>
      </c>
      <c r="E38" s="75">
        <f t="shared" si="4"/>
        <v>7.7274188363870122</v>
      </c>
      <c r="F38" s="149">
        <f t="shared" si="2"/>
        <v>14.837880669893355</v>
      </c>
      <c r="G38" s="78">
        <f t="shared" si="0"/>
        <v>5.699222712896117</v>
      </c>
    </row>
    <row r="39" spans="1:7" ht="16.5" hidden="1" thickBot="1">
      <c r="A39" s="73">
        <v>1996</v>
      </c>
      <c r="B39" s="74" t="s">
        <v>63</v>
      </c>
      <c r="C39" s="75">
        <f t="shared" si="1"/>
        <v>1346.46</v>
      </c>
      <c r="D39" s="75">
        <v>0.44011457898192052</v>
      </c>
      <c r="E39" s="75">
        <f t="shared" si="4"/>
        <v>8.2015429122468611</v>
      </c>
      <c r="F39" s="149">
        <f t="shared" si="2"/>
        <v>14.212280835687196</v>
      </c>
      <c r="G39" s="78">
        <f t="shared" si="0"/>
        <v>5.6742495135392206</v>
      </c>
    </row>
    <row r="40" spans="1:7" ht="16.5" hidden="1" thickBot="1">
      <c r="A40" s="73">
        <v>1996</v>
      </c>
      <c r="B40" s="74" t="s">
        <v>64</v>
      </c>
      <c r="C40" s="75">
        <f t="shared" si="1"/>
        <v>1348.48</v>
      </c>
      <c r="D40" s="75">
        <v>0.15002302333526618</v>
      </c>
      <c r="E40" s="75">
        <f t="shared" si="4"/>
        <v>8.3638701382192195</v>
      </c>
      <c r="F40" s="149">
        <f t="shared" si="2"/>
        <v>13.262443514925515</v>
      </c>
      <c r="G40" s="78">
        <f t="shared" si="0"/>
        <v>5.6657495847176218</v>
      </c>
    </row>
    <row r="41" spans="1:7" ht="16.5" hidden="1" thickBot="1">
      <c r="A41" s="73">
        <v>1996</v>
      </c>
      <c r="B41" s="74" t="s">
        <v>65</v>
      </c>
      <c r="C41" s="75">
        <f t="shared" si="1"/>
        <v>1352.53</v>
      </c>
      <c r="D41" s="75">
        <v>0.30033815851921997</v>
      </c>
      <c r="E41" s="75">
        <f t="shared" si="4"/>
        <v>8.6893281902925104</v>
      </c>
      <c r="F41" s="149">
        <f t="shared" si="2"/>
        <v>12.022826474071756</v>
      </c>
      <c r="G41" s="78">
        <f t="shared" si="0"/>
        <v>5.6487841304814079</v>
      </c>
    </row>
    <row r="42" spans="1:7" ht="16.5" hidden="1" thickBot="1">
      <c r="A42" s="73">
        <v>1996</v>
      </c>
      <c r="B42" s="74" t="s">
        <v>66</v>
      </c>
      <c r="C42" s="75">
        <f t="shared" si="1"/>
        <v>1356.8600000000001</v>
      </c>
      <c r="D42" s="75">
        <v>0.32014077321760315</v>
      </c>
      <c r="E42" s="75">
        <f t="shared" si="4"/>
        <v>9.037287045965936</v>
      </c>
      <c r="F42" s="149">
        <f t="shared" si="2"/>
        <v>10.753232336424201</v>
      </c>
      <c r="G42" s="78">
        <f t="shared" si="0"/>
        <v>5.6307577789897394</v>
      </c>
    </row>
    <row r="43" spans="1:7" ht="16.5" hidden="1" thickBot="1">
      <c r="A43" s="73">
        <v>1996</v>
      </c>
      <c r="B43" s="74" t="s">
        <v>55</v>
      </c>
      <c r="C43" s="75">
        <f t="shared" si="1"/>
        <v>1363.2400000000005</v>
      </c>
      <c r="D43" s="75">
        <v>0.4702032634170239</v>
      </c>
      <c r="E43" s="75">
        <f t="shared" si="4"/>
        <v>9.549983927997463</v>
      </c>
      <c r="F43" s="149">
        <f t="shared" si="2"/>
        <v>9.5649518175900283</v>
      </c>
      <c r="G43" s="78">
        <f t="shared" si="0"/>
        <v>5.6044056805845015</v>
      </c>
    </row>
    <row r="44" spans="1:7" ht="16.5" hidden="1" thickBot="1">
      <c r="A44" s="73">
        <v>1997</v>
      </c>
      <c r="B44" s="74" t="s">
        <v>56</v>
      </c>
      <c r="C44" s="75">
        <f t="shared" si="1"/>
        <v>1379.3300000000004</v>
      </c>
      <c r="D44" s="75">
        <v>1.1802764003403521</v>
      </c>
      <c r="E44" s="75">
        <f>100*((C44/1244.4)-1)</f>
        <v>10.84297653487627</v>
      </c>
      <c r="F44" s="149">
        <f t="shared" si="2"/>
        <v>9.3924974224760316</v>
      </c>
      <c r="G44" s="78">
        <f t="shared" si="0"/>
        <v>5.5390298188250942</v>
      </c>
    </row>
    <row r="45" spans="1:7" ht="16.5" hidden="1" thickBot="1">
      <c r="A45" s="73">
        <v>1997</v>
      </c>
      <c r="B45" s="74" t="s">
        <v>57</v>
      </c>
      <c r="C45" s="75">
        <f t="shared" si="1"/>
        <v>1386.2300000000005</v>
      </c>
      <c r="D45" s="75">
        <v>0.50024287153909164</v>
      </c>
      <c r="E45" s="75">
        <f>100*((C45/1244.4)-1)</f>
        <v>11.397460623593725</v>
      </c>
      <c r="F45" s="149">
        <f t="shared" si="2"/>
        <v>8.818657811899012</v>
      </c>
      <c r="G45" s="78">
        <f t="shared" si="0"/>
        <v>5.5114591373725981</v>
      </c>
    </row>
    <row r="46" spans="1:7" ht="16.5" hidden="1" thickBot="1">
      <c r="A46" s="73">
        <v>1997</v>
      </c>
      <c r="B46" s="74" t="s">
        <v>58</v>
      </c>
      <c r="C46" s="75">
        <f t="shared" si="1"/>
        <v>1393.3000000000002</v>
      </c>
      <c r="D46" s="75">
        <v>0.51001637534895394</v>
      </c>
      <c r="E46" s="75">
        <f>100*((C46/1244.4)-1)</f>
        <v>11.965605914496958</v>
      </c>
      <c r="F46" s="149">
        <f t="shared" si="2"/>
        <v>8.9920600774435968</v>
      </c>
      <c r="G46" s="78">
        <f t="shared" si="0"/>
        <v>5.4834924280485309</v>
      </c>
    </row>
    <row r="47" spans="1:7" ht="16.5" hidden="1" thickBot="1">
      <c r="A47" s="73">
        <v>1997</v>
      </c>
      <c r="B47" s="74" t="s">
        <v>59</v>
      </c>
      <c r="C47" s="75">
        <f t="shared" si="1"/>
        <v>1405.5600000000002</v>
      </c>
      <c r="D47" s="75">
        <v>0.8799253570659582</v>
      </c>
      <c r="E47" s="75">
        <f>100*((C47/1244.4)-1)</f>
        <v>12.950819672131164</v>
      </c>
      <c r="F47" s="149">
        <f t="shared" si="2"/>
        <v>8.5827294779290408</v>
      </c>
      <c r="G47" s="78">
        <f t="shared" si="0"/>
        <v>5.4356626540311463</v>
      </c>
    </row>
    <row r="48" spans="1:7" ht="16.5" hidden="1" thickBot="1">
      <c r="A48" s="73">
        <v>1997</v>
      </c>
      <c r="B48" s="74" t="s">
        <v>60</v>
      </c>
      <c r="C48" s="75">
        <f t="shared" si="1"/>
        <v>1411.3200000000004</v>
      </c>
      <c r="D48" s="75">
        <v>0.40980107572783364</v>
      </c>
      <c r="E48" s="75">
        <f>100*((C48/1363.2)-1)</f>
        <v>3.5299295774648076</v>
      </c>
      <c r="F48" s="149">
        <f t="shared" si="2"/>
        <v>7.713795077275365</v>
      </c>
      <c r="G48" s="78">
        <f t="shared" si="0"/>
        <v>5.4134781622877988</v>
      </c>
    </row>
    <row r="49" spans="1:7" ht="16.5" hidden="1" thickBot="1">
      <c r="A49" s="73">
        <v>1997</v>
      </c>
      <c r="B49" s="74" t="s">
        <v>61</v>
      </c>
      <c r="C49" s="75">
        <f t="shared" si="1"/>
        <v>1418.9400000000005</v>
      </c>
      <c r="D49" s="75">
        <v>0.5399200748235744</v>
      </c>
      <c r="E49" s="75">
        <f>100*((C49/1363.2)-1)</f>
        <v>4.088908450704265</v>
      </c>
      <c r="F49" s="149">
        <f t="shared" si="2"/>
        <v>7.0219634345019655</v>
      </c>
      <c r="G49" s="78">
        <f t="shared" si="0"/>
        <v>5.3844066697675839</v>
      </c>
    </row>
    <row r="50" spans="1:7" ht="16.5" hidden="1" thickBot="1">
      <c r="A50" s="73">
        <v>1997</v>
      </c>
      <c r="B50" s="74" t="s">
        <v>62</v>
      </c>
      <c r="C50" s="75">
        <f t="shared" si="1"/>
        <v>1422.0600000000002</v>
      </c>
      <c r="D50" s="75">
        <v>0.21988244746076191</v>
      </c>
      <c r="E50" s="75">
        <f>100*((C50/1363.2)-1)</f>
        <v>4.3177816901408539</v>
      </c>
      <c r="F50" s="149">
        <f t="shared" si="2"/>
        <v>6.0795488452587199</v>
      </c>
      <c r="G50" s="78">
        <f t="shared" si="0"/>
        <v>5.3725932801710323</v>
      </c>
    </row>
    <row r="51" spans="1:7" ht="16.5" hidden="1" thickBot="1">
      <c r="A51" s="73">
        <v>1997</v>
      </c>
      <c r="B51" s="74" t="s">
        <v>63</v>
      </c>
      <c r="C51" s="75">
        <f t="shared" si="1"/>
        <v>1421.7800000000002</v>
      </c>
      <c r="D51" s="75">
        <v>-1.9689745861639629E-2</v>
      </c>
      <c r="E51" s="75">
        <f>100*((C51/1363.2)-1)</f>
        <v>4.2972417840375643</v>
      </c>
      <c r="F51" s="149">
        <f t="shared" si="2"/>
        <v>5.5939277809960997</v>
      </c>
      <c r="G51" s="78">
        <f t="shared" si="0"/>
        <v>5.3736513384630662</v>
      </c>
    </row>
    <row r="52" spans="1:7" ht="16.5" hidden="1" thickBot="1">
      <c r="A52" s="73">
        <v>1997</v>
      </c>
      <c r="B52" s="74" t="s">
        <v>64</v>
      </c>
      <c r="C52" s="75">
        <f t="shared" si="1"/>
        <v>1422.6300000000003</v>
      </c>
      <c r="D52" s="75">
        <v>5.978421415409052E-2</v>
      </c>
      <c r="E52" s="75">
        <f>100*(($C$52/$C$43)-1)</f>
        <v>4.3565329655819829</v>
      </c>
      <c r="F52" s="149">
        <f t="shared" si="2"/>
        <v>5.4987838158519375</v>
      </c>
      <c r="G52" s="78">
        <f t="shared" si="0"/>
        <v>5.3704406627162484</v>
      </c>
    </row>
    <row r="53" spans="1:7" ht="16.5" hidden="1" thickBot="1">
      <c r="A53" s="73">
        <v>1997</v>
      </c>
      <c r="B53" s="74" t="s">
        <v>65</v>
      </c>
      <c r="C53" s="75">
        <f t="shared" si="1"/>
        <v>1425.9000000000005</v>
      </c>
      <c r="D53" s="75">
        <v>0.22985597098332811</v>
      </c>
      <c r="E53" s="75">
        <f>100*(($C$53/$C$43)-1)</f>
        <v>4.5964026877145736</v>
      </c>
      <c r="F53" s="149">
        <f t="shared" si="2"/>
        <v>5.4246486214723832</v>
      </c>
      <c r="G53" s="78">
        <f t="shared" si="0"/>
        <v>5.3581246931762507</v>
      </c>
    </row>
    <row r="54" spans="1:7" ht="16.5" hidden="1" thickBot="1">
      <c r="A54" s="73">
        <v>1997</v>
      </c>
      <c r="B54" s="74" t="s">
        <v>66</v>
      </c>
      <c r="C54" s="75">
        <f t="shared" si="1"/>
        <v>1428.3200000000002</v>
      </c>
      <c r="D54" s="75">
        <v>0.16971737148465671</v>
      </c>
      <c r="E54" s="75">
        <f>100*(($C$54/$C$43)-1)</f>
        <v>4.7739209530236471</v>
      </c>
      <c r="F54" s="149">
        <f t="shared" si="2"/>
        <v>5.2665713485547494</v>
      </c>
      <c r="G54" s="78">
        <f t="shared" si="0"/>
        <v>5.3490464321720745</v>
      </c>
    </row>
    <row r="55" spans="1:7" ht="16.5" hidden="1" thickBot="1">
      <c r="A55" s="73">
        <v>1997</v>
      </c>
      <c r="B55" s="74" t="s">
        <v>55</v>
      </c>
      <c r="C55" s="75">
        <f t="shared" si="1"/>
        <v>1434.4600000000003</v>
      </c>
      <c r="D55" s="75">
        <v>0.42987565811583028</v>
      </c>
      <c r="E55" s="75">
        <f>100*(($C$55/$C$43)-1)</f>
        <v>5.2243185352542243</v>
      </c>
      <c r="F55" s="149">
        <f t="shared" si="2"/>
        <v>5.2243185352542243</v>
      </c>
      <c r="G55" s="78">
        <f t="shared" si="0"/>
        <v>5.3261506071971452</v>
      </c>
    </row>
    <row r="56" spans="1:7" ht="16.5" hidden="1" thickBot="1">
      <c r="A56" s="73">
        <v>1998</v>
      </c>
      <c r="B56" s="74" t="s">
        <v>56</v>
      </c>
      <c r="C56" s="75">
        <f t="shared" si="1"/>
        <v>1444.6400000000003</v>
      </c>
      <c r="D56" s="75">
        <v>0.70967472080085692</v>
      </c>
      <c r="E56" s="75">
        <f>+$C$56/$C$55*100-100</f>
        <v>0.70967472080086225</v>
      </c>
      <c r="F56" s="149">
        <f t="shared" si="2"/>
        <v>4.7349075275677333</v>
      </c>
      <c r="G56" s="78">
        <f t="shared" si="0"/>
        <v>5.2886186177871419</v>
      </c>
    </row>
    <row r="57" spans="1:7" ht="16.5" hidden="1" thickBot="1">
      <c r="A57" s="73">
        <v>1998</v>
      </c>
      <c r="B57" s="74" t="s">
        <v>57</v>
      </c>
      <c r="C57" s="75">
        <f t="shared" si="1"/>
        <v>1451.2900000000002</v>
      </c>
      <c r="D57" s="75">
        <v>0.4603222948277752</v>
      </c>
      <c r="E57" s="75">
        <f>+$C$57/$C$55*100-100</f>
        <v>1.1732638065892473</v>
      </c>
      <c r="F57" s="149">
        <f t="shared" si="2"/>
        <v>4.6933048628293728</v>
      </c>
      <c r="G57" s="78">
        <f t="shared" si="0"/>
        <v>5.2643854777473953</v>
      </c>
    </row>
    <row r="58" spans="1:7" ht="16.5" hidden="1" thickBot="1">
      <c r="A58" s="73">
        <v>1998</v>
      </c>
      <c r="B58" s="74" t="s">
        <v>58</v>
      </c>
      <c r="C58" s="75">
        <f t="shared" si="1"/>
        <v>1456.2200000000003</v>
      </c>
      <c r="D58" s="75">
        <v>0.33969778610754009</v>
      </c>
      <c r="E58" s="75">
        <f>+$C$58/$C$55*100-100</f>
        <v>1.5169471438729545</v>
      </c>
      <c r="F58" s="149">
        <f t="shared" si="2"/>
        <v>4.5158975095098031</v>
      </c>
      <c r="G58" s="78">
        <f t="shared" si="0"/>
        <v>5.2465630193240154</v>
      </c>
    </row>
    <row r="59" spans="1:7" ht="16.5" hidden="1" thickBot="1">
      <c r="A59" s="73">
        <v>1998</v>
      </c>
      <c r="B59" s="74" t="s">
        <v>59</v>
      </c>
      <c r="C59" s="75">
        <f t="shared" si="1"/>
        <v>1459.7100000000003</v>
      </c>
      <c r="D59" s="75">
        <v>0.23966158959498607</v>
      </c>
      <c r="E59" s="75">
        <f>+$C$59/$C$55*100-100</f>
        <v>1.7602442731062524</v>
      </c>
      <c r="F59" s="149">
        <f t="shared" si="2"/>
        <v>3.8525569879620969</v>
      </c>
      <c r="G59" s="78">
        <f t="shared" si="0"/>
        <v>5.2340190859828439</v>
      </c>
    </row>
    <row r="60" spans="1:7" ht="16.5" hidden="1" thickBot="1">
      <c r="A60" s="73">
        <v>1998</v>
      </c>
      <c r="B60" s="74" t="s">
        <v>60</v>
      </c>
      <c r="C60" s="75">
        <f t="shared" si="1"/>
        <v>1467.0100000000002</v>
      </c>
      <c r="D60" s="75">
        <v>0.50009933479937541</v>
      </c>
      <c r="E60" s="75">
        <f>+$C$61/$C$55*100-100</f>
        <v>2.2893632447053278</v>
      </c>
      <c r="F60" s="149">
        <f t="shared" si="2"/>
        <v>3.9459513079953323</v>
      </c>
      <c r="G60" s="78">
        <f t="shared" si="0"/>
        <v>5.2079740424400773</v>
      </c>
    </row>
    <row r="61" spans="1:7" ht="16.5" hidden="1" thickBot="1">
      <c r="A61" s="73">
        <v>1998</v>
      </c>
      <c r="B61" s="74" t="s">
        <v>61</v>
      </c>
      <c r="C61" s="75">
        <f t="shared" si="1"/>
        <v>1467.3000000000002</v>
      </c>
      <c r="D61" s="75">
        <v>1.9768099740291589E-2</v>
      </c>
      <c r="E61" s="75">
        <f>+$C$61/$C$55*100-100</f>
        <v>2.2893632447053278</v>
      </c>
      <c r="F61" s="149">
        <f t="shared" si="2"/>
        <v>3.4081779356420761</v>
      </c>
      <c r="G61" s="78">
        <f t="shared" si="0"/>
        <v>5.2069447284127426</v>
      </c>
    </row>
    <row r="62" spans="1:7" ht="16.5" hidden="1" thickBot="1">
      <c r="A62" s="73">
        <v>1998</v>
      </c>
      <c r="B62" s="74" t="s">
        <v>62</v>
      </c>
      <c r="C62" s="75">
        <f t="shared" si="1"/>
        <v>1465.5400000000002</v>
      </c>
      <c r="D62" s="75">
        <v>-0.1199482041845612</v>
      </c>
      <c r="E62" s="75">
        <f>+($C$62/$C$55)*100-100</f>
        <v>2.1666689904214849</v>
      </c>
      <c r="F62" s="149">
        <f t="shared" si="2"/>
        <v>3.0575362502285319</v>
      </c>
      <c r="G62" s="78">
        <f t="shared" si="0"/>
        <v>5.2131978656331572</v>
      </c>
    </row>
    <row r="63" spans="1:7" ht="16.5" hidden="1" thickBot="1">
      <c r="A63" s="73">
        <v>1998</v>
      </c>
      <c r="B63" s="74" t="s">
        <v>63</v>
      </c>
      <c r="C63" s="75">
        <f t="shared" si="1"/>
        <v>1458.0700000000002</v>
      </c>
      <c r="D63" s="75">
        <v>-0.50970973156652111</v>
      </c>
      <c r="E63" s="75">
        <f>+$C$63/$C$55*100-100</f>
        <v>1.6459155361599329</v>
      </c>
      <c r="F63" s="149">
        <f t="shared" si="2"/>
        <v>2.5524342725316229</v>
      </c>
      <c r="G63" s="78">
        <f t="shared" si="0"/>
        <v>5.2399061773440359</v>
      </c>
    </row>
    <row r="64" spans="1:7" ht="16.5" hidden="1" thickBot="1">
      <c r="A64" s="73">
        <v>1998</v>
      </c>
      <c r="B64" s="74" t="s">
        <v>64</v>
      </c>
      <c r="C64" s="75">
        <f t="shared" si="1"/>
        <v>1454.8600000000001</v>
      </c>
      <c r="D64" s="75">
        <v>-0.22015403924365851</v>
      </c>
      <c r="E64" s="75">
        <f>+$C$64/$C$55*100-100</f>
        <v>1.4221379473808895</v>
      </c>
      <c r="F64" s="149">
        <f t="shared" si="2"/>
        <v>2.2655223072759467</v>
      </c>
      <c r="G64" s="78">
        <f t="shared" si="0"/>
        <v>5.2514674951541851</v>
      </c>
    </row>
    <row r="65" spans="1:7" ht="16.5" hidden="1" thickBot="1">
      <c r="A65" s="73">
        <v>1998</v>
      </c>
      <c r="B65" s="74" t="s">
        <v>65</v>
      </c>
      <c r="C65" s="75">
        <f t="shared" si="1"/>
        <v>1455.1500000000003</v>
      </c>
      <c r="D65" s="75">
        <v>1.9933189447796096E-2</v>
      </c>
      <c r="E65" s="75">
        <f>+$C$65/$C$55*100-100</f>
        <v>1.4423546142799495</v>
      </c>
      <c r="F65" s="149">
        <f t="shared" si="2"/>
        <v>2.0513359983168389</v>
      </c>
      <c r="G65" s="78">
        <f t="shared" si="0"/>
        <v>5.2504209188056334</v>
      </c>
    </row>
    <row r="66" spans="1:7" ht="16.5" hidden="1" thickBot="1">
      <c r="A66" s="73">
        <v>1998</v>
      </c>
      <c r="B66" s="74" t="s">
        <v>66</v>
      </c>
      <c r="C66" s="75">
        <f t="shared" si="1"/>
        <v>1453.4000000000003</v>
      </c>
      <c r="D66" s="75">
        <v>-0.12026251589183357</v>
      </c>
      <c r="E66" s="75">
        <f>+$C$66/$C$55*100-100</f>
        <v>1.3203574864408978</v>
      </c>
      <c r="F66" s="149">
        <f t="shared" si="2"/>
        <v>1.7559090399910549</v>
      </c>
      <c r="G66" s="78">
        <f t="shared" si="0"/>
        <v>5.2567428099628577</v>
      </c>
    </row>
    <row r="67" spans="1:7" ht="16.5" hidden="1" thickBot="1">
      <c r="A67" s="73">
        <v>1998</v>
      </c>
      <c r="B67" s="74" t="s">
        <v>55</v>
      </c>
      <c r="C67" s="75">
        <f t="shared" si="1"/>
        <v>1458.2000000000003</v>
      </c>
      <c r="D67" s="75">
        <v>0.33026007981284966</v>
      </c>
      <c r="E67" s="75">
        <f>+(($C$67/$C$55)-1)*100</f>
        <v>1.654978179942268</v>
      </c>
      <c r="F67" s="149">
        <f t="shared" si="2"/>
        <v>1.654978179942268</v>
      </c>
      <c r="G67" s="78">
        <f t="shared" si="0"/>
        <v>5.2394390344260167</v>
      </c>
    </row>
    <row r="68" spans="1:7" ht="16.5" hidden="1" thickBot="1">
      <c r="A68" s="73">
        <v>1999</v>
      </c>
      <c r="B68" s="74" t="s">
        <v>56</v>
      </c>
      <c r="C68" s="75">
        <f t="shared" si="1"/>
        <v>1468.4100000000003</v>
      </c>
      <c r="D68" s="75">
        <v>0.70017830201618558</v>
      </c>
      <c r="E68" s="75">
        <f>+(($C$68/$C$67)-1)*100</f>
        <v>0.70017830201618558</v>
      </c>
      <c r="F68" s="149">
        <f t="shared" si="2"/>
        <v>1.6453926237678607</v>
      </c>
      <c r="G68" s="78">
        <f t="shared" si="0"/>
        <v>5.2030086964812394</v>
      </c>
    </row>
    <row r="69" spans="1:7" ht="16.5" hidden="1" thickBot="1">
      <c r="A69" s="73">
        <v>1999</v>
      </c>
      <c r="B69" s="74" t="s">
        <v>57</v>
      </c>
      <c r="C69" s="75">
        <f t="shared" si="1"/>
        <v>1483.8300000000002</v>
      </c>
      <c r="D69" s="75">
        <v>1.0501154309763505</v>
      </c>
      <c r="E69" s="75">
        <f>+(($C$69/$C$67)-1)*100</f>
        <v>1.7576464133863601</v>
      </c>
      <c r="F69" s="149">
        <f t="shared" si="2"/>
        <v>2.2421431967422079</v>
      </c>
      <c r="G69" s="78">
        <f t="shared" si="0"/>
        <v>5.14893889461732</v>
      </c>
    </row>
    <row r="70" spans="1:7" ht="16.5" hidden="1" thickBot="1">
      <c r="A70" s="73">
        <v>1999</v>
      </c>
      <c r="B70" s="74" t="s">
        <v>58</v>
      </c>
      <c r="C70" s="75">
        <f t="shared" si="1"/>
        <v>1500.1500000000003</v>
      </c>
      <c r="D70" s="75">
        <v>1.0998564525585897</v>
      </c>
      <c r="E70" s="75">
        <f>+(($C$70/$C$67)-1)*100</f>
        <v>2.8768344534357393</v>
      </c>
      <c r="F70" s="149">
        <f t="shared" si="2"/>
        <v>3.0167145074233348</v>
      </c>
      <c r="G70" s="78">
        <f t="shared" si="0"/>
        <v>5.092924040929252</v>
      </c>
    </row>
    <row r="71" spans="1:7" ht="16.5" hidden="1" thickBot="1">
      <c r="A71" s="73">
        <v>1999</v>
      </c>
      <c r="B71" s="74" t="s">
        <v>59</v>
      </c>
      <c r="C71" s="75">
        <f t="shared" si="1"/>
        <v>1508.55</v>
      </c>
      <c r="D71" s="75">
        <v>0.55994400559942203</v>
      </c>
      <c r="E71" s="75">
        <f>+(($C$71/$C$67)-1)*100</f>
        <v>3.4528871211081835</v>
      </c>
      <c r="F71" s="149">
        <f t="shared" si="2"/>
        <v>3.3458700700824018</v>
      </c>
      <c r="G71" s="78">
        <f t="shared" ref="G71:G134" si="5">+$C$396/C71</f>
        <v>5.0645653110603019</v>
      </c>
    </row>
    <row r="72" spans="1:7" ht="16.5" hidden="1" thickBot="1">
      <c r="A72" s="73">
        <v>1999</v>
      </c>
      <c r="B72" s="74" t="s">
        <v>60</v>
      </c>
      <c r="C72" s="75">
        <f t="shared" ref="C72:C111" si="6">+C71*(1+D72/100)</f>
        <v>1513.0800000000002</v>
      </c>
      <c r="D72" s="75">
        <v>0.30028835636870532</v>
      </c>
      <c r="E72" s="75">
        <f>+(($C$72/$C$67)-1)*100</f>
        <v>3.7635440954601584</v>
      </c>
      <c r="F72" s="149">
        <f t="shared" si="2"/>
        <v>3.1404012242588708</v>
      </c>
      <c r="G72" s="78">
        <f t="shared" si="5"/>
        <v>5.049402543157016</v>
      </c>
    </row>
    <row r="73" spans="1:7" ht="16.5" hidden="1" thickBot="1">
      <c r="A73" s="73">
        <v>1999</v>
      </c>
      <c r="B73" s="74" t="s">
        <v>61</v>
      </c>
      <c r="C73" s="75">
        <f t="shared" si="6"/>
        <v>1515.9500000000003</v>
      </c>
      <c r="D73" s="75">
        <v>0.18967932957940636</v>
      </c>
      <c r="E73" s="75">
        <f>+(($C$73/$C$67)-1)*100</f>
        <v>3.9603620902482595</v>
      </c>
      <c r="F73" s="149">
        <f t="shared" si="2"/>
        <v>3.3156137122606122</v>
      </c>
      <c r="G73" s="78">
        <f t="shared" si="5"/>
        <v>5.0398430027375687</v>
      </c>
    </row>
    <row r="74" spans="1:7" ht="16.5" hidden="1" thickBot="1">
      <c r="A74" s="73">
        <v>1999</v>
      </c>
      <c r="B74" s="74" t="s">
        <v>62</v>
      </c>
      <c r="C74" s="75">
        <f t="shared" si="6"/>
        <v>1532.4700000000003</v>
      </c>
      <c r="D74" s="75">
        <v>1.0897457040139891</v>
      </c>
      <c r="E74" s="75">
        <f>+(($C$74/$C$67)-1)*100</f>
        <v>5.0932656700041212</v>
      </c>
      <c r="F74" s="149">
        <f t="shared" si="2"/>
        <v>4.5669173137546704</v>
      </c>
      <c r="G74" s="78">
        <f t="shared" si="5"/>
        <v>4.9855135826476324</v>
      </c>
    </row>
    <row r="75" spans="1:7" ht="16.5" hidden="1" thickBot="1">
      <c r="A75" s="73">
        <v>1999</v>
      </c>
      <c r="B75" s="74" t="s">
        <v>63</v>
      </c>
      <c r="C75" s="75">
        <f t="shared" si="6"/>
        <v>1541.05</v>
      </c>
      <c r="D75" s="75">
        <v>0.55988045442976198</v>
      </c>
      <c r="E75" s="75">
        <f>+(($C$75/$C$67)-1)*100</f>
        <v>5.6816623234124064</v>
      </c>
      <c r="F75" s="149">
        <f t="shared" si="2"/>
        <v>5.6910847901677997</v>
      </c>
      <c r="G75" s="78">
        <f t="shared" si="5"/>
        <v>4.9577560754031467</v>
      </c>
    </row>
    <row r="76" spans="1:7" ht="16.5" hidden="1" thickBot="1">
      <c r="A76" s="73">
        <v>1999</v>
      </c>
      <c r="B76" s="74" t="s">
        <v>64</v>
      </c>
      <c r="C76" s="75">
        <f t="shared" si="6"/>
        <v>1545.8300000000002</v>
      </c>
      <c r="D76" s="75">
        <v>0.31017812530418354</v>
      </c>
      <c r="E76" s="75">
        <f>+(($C$76/$C$67)-1)*100</f>
        <v>6.0094637223974567</v>
      </c>
      <c r="F76" s="149">
        <f t="shared" si="2"/>
        <v>6.2528353243611168</v>
      </c>
      <c r="G76" s="78">
        <f t="shared" si="5"/>
        <v>4.9424257518614709</v>
      </c>
    </row>
    <row r="77" spans="1:7" ht="16.5" hidden="1" thickBot="1">
      <c r="A77" s="73">
        <v>1999</v>
      </c>
      <c r="B77" s="74" t="s">
        <v>65</v>
      </c>
      <c r="C77" s="75">
        <f t="shared" si="6"/>
        <v>1564.2300000000002</v>
      </c>
      <c r="D77" s="150">
        <v>1.1902990626394994</v>
      </c>
      <c r="E77" s="75">
        <f>+(($C$77/$C$67)-1)*100</f>
        <v>7.2712933753943165</v>
      </c>
      <c r="F77" s="149">
        <f t="shared" si="2"/>
        <v>7.4961344191320389</v>
      </c>
      <c r="G77" s="78">
        <f t="shared" si="5"/>
        <v>4.8842881161977569</v>
      </c>
    </row>
    <row r="78" spans="1:7" ht="16.5" hidden="1" thickBot="1">
      <c r="A78" s="73">
        <v>1999</v>
      </c>
      <c r="B78" s="74" t="s">
        <v>66</v>
      </c>
      <c r="C78" s="75">
        <f t="shared" si="6"/>
        <v>1579.0900000000004</v>
      </c>
      <c r="D78" s="150">
        <v>0.94998817309475125</v>
      </c>
      <c r="E78" s="75">
        <f>+(($C$78/$C$67)-1)*100</f>
        <v>8.2903579755863497</v>
      </c>
      <c r="F78" s="149">
        <f t="shared" si="2"/>
        <v>8.6479977982661271</v>
      </c>
      <c r="G78" s="78">
        <f t="shared" si="5"/>
        <v>4.8383246046773882</v>
      </c>
    </row>
    <row r="79" spans="1:7" ht="16.5" hidden="1" thickBot="1">
      <c r="A79" s="73">
        <v>1999</v>
      </c>
      <c r="B79" s="74" t="s">
        <v>55</v>
      </c>
      <c r="C79" s="75">
        <f t="shared" si="6"/>
        <v>1588.5600000000004</v>
      </c>
      <c r="D79" s="75">
        <v>0.59971249263817139</v>
      </c>
      <c r="E79" s="75">
        <f>+(($C$79/$C$67)-1)*100</f>
        <v>8.939788780688529</v>
      </c>
      <c r="F79" s="149">
        <f t="shared" si="2"/>
        <v>8.939788780688529</v>
      </c>
      <c r="G79" s="78">
        <f t="shared" si="5"/>
        <v>4.8094815430326943</v>
      </c>
    </row>
    <row r="80" spans="1:7" ht="16.5" hidden="1" thickBot="1">
      <c r="A80" s="73">
        <v>2000</v>
      </c>
      <c r="B80" s="80" t="s">
        <v>56</v>
      </c>
      <c r="C80" s="75">
        <f t="shared" si="6"/>
        <v>1598.4100000000005</v>
      </c>
      <c r="D80" s="75">
        <v>0.6200584176864643</v>
      </c>
      <c r="E80" s="75">
        <f>+(($C$80/$C$79)-1)*100</f>
        <v>0.6200584176864643</v>
      </c>
      <c r="F80" s="149">
        <f t="shared" si="2"/>
        <v>8.8531132313182326</v>
      </c>
      <c r="G80" s="78">
        <f t="shared" si="5"/>
        <v>4.7798437196964585</v>
      </c>
    </row>
    <row r="81" spans="1:7" ht="16.5" hidden="1" thickBot="1">
      <c r="A81" s="73">
        <v>2000</v>
      </c>
      <c r="B81" s="80" t="s">
        <v>57</v>
      </c>
      <c r="C81" s="75">
        <f t="shared" si="6"/>
        <v>1600.4900000000005</v>
      </c>
      <c r="D81" s="75">
        <v>0.13012931600777655</v>
      </c>
      <c r="E81" s="75">
        <f>+(($C$81/$C$79)-1)*100</f>
        <v>0.75099461147203339</v>
      </c>
      <c r="F81" s="149">
        <f t="shared" si="2"/>
        <v>7.8620866271742917</v>
      </c>
      <c r="G81" s="78">
        <f t="shared" si="5"/>
        <v>4.7736318252535268</v>
      </c>
    </row>
    <row r="82" spans="1:7" ht="16.5" hidden="1" thickBot="1">
      <c r="A82" s="73">
        <v>2000</v>
      </c>
      <c r="B82" s="80" t="s">
        <v>58</v>
      </c>
      <c r="C82" s="75">
        <f t="shared" si="6"/>
        <v>1604.0100000000004</v>
      </c>
      <c r="D82" s="75">
        <v>0.21993264562727433</v>
      </c>
      <c r="E82" s="75">
        <f>+(($C$82/$C$79)-1)*100</f>
        <v>0.97257893941682383</v>
      </c>
      <c r="F82" s="149">
        <f t="shared" si="2"/>
        <v>6.9233076692330808</v>
      </c>
      <c r="G82" s="78">
        <f t="shared" si="5"/>
        <v>4.7631560900493239</v>
      </c>
    </row>
    <row r="83" spans="1:7" ht="16.5" hidden="1" thickBot="1">
      <c r="A83" s="73">
        <v>2000</v>
      </c>
      <c r="B83" s="80" t="s">
        <v>59</v>
      </c>
      <c r="C83" s="75">
        <f t="shared" si="6"/>
        <v>1610.7500000000005</v>
      </c>
      <c r="D83" s="75">
        <v>0.4201968815655821</v>
      </c>
      <c r="E83" s="75">
        <f>+(($C$83/$C$79)-1)*100</f>
        <v>1.3968625673566049</v>
      </c>
      <c r="F83" s="149">
        <f t="shared" ref="F83:F146" si="7">100*((C83/C71)-1)</f>
        <v>6.7747174439031221</v>
      </c>
      <c r="G83" s="78">
        <f t="shared" si="5"/>
        <v>4.7432252056495523</v>
      </c>
    </row>
    <row r="84" spans="1:7" ht="16.5" hidden="1" thickBot="1">
      <c r="A84" s="73">
        <v>2000</v>
      </c>
      <c r="B84" s="80" t="s">
        <v>60</v>
      </c>
      <c r="C84" s="75">
        <f t="shared" si="6"/>
        <v>1610.9100000000005</v>
      </c>
      <c r="D84" s="75">
        <v>9.9332609033053743E-3</v>
      </c>
      <c r="E84" s="75">
        <f>+(($C$84/$C$79)-1)*100</f>
        <v>1.4069345822631973</v>
      </c>
      <c r="F84" s="149">
        <f t="shared" si="7"/>
        <v>6.4656197953842698</v>
      </c>
      <c r="G84" s="78">
        <f t="shared" si="5"/>
        <v>4.7427540955112431</v>
      </c>
    </row>
    <row r="85" spans="1:7" ht="16.5" hidden="1" thickBot="1">
      <c r="A85" s="73">
        <v>2000</v>
      </c>
      <c r="B85" s="80" t="s">
        <v>61</v>
      </c>
      <c r="C85" s="75">
        <f t="shared" si="6"/>
        <v>1614.6200000000001</v>
      </c>
      <c r="D85" s="75">
        <v>0.23030461043755945</v>
      </c>
      <c r="E85" s="75">
        <f>+(($C$85/$C$79)-1)*100</f>
        <v>1.6404794279095247</v>
      </c>
      <c r="F85" s="149">
        <f t="shared" si="7"/>
        <v>6.5087898677396838</v>
      </c>
      <c r="G85" s="78">
        <f t="shared" si="5"/>
        <v>4.7318564120350413</v>
      </c>
    </row>
    <row r="86" spans="1:7" ht="16.5" hidden="1" thickBot="1">
      <c r="A86" s="73">
        <v>2000</v>
      </c>
      <c r="B86" s="80" t="s">
        <v>62</v>
      </c>
      <c r="C86" s="75">
        <f t="shared" si="6"/>
        <v>1640.6200000000003</v>
      </c>
      <c r="D86" s="75">
        <v>1.6102860115692952</v>
      </c>
      <c r="E86" s="75">
        <f>+(($C$86/$C$79)-1)*100</f>
        <v>3.2771818502291383</v>
      </c>
      <c r="F86" s="149">
        <f t="shared" si="7"/>
        <v>7.0572343993683395</v>
      </c>
      <c r="G86" s="78">
        <f t="shared" si="5"/>
        <v>4.6568675256915171</v>
      </c>
    </row>
    <row r="87" spans="1:7" ht="16.5" hidden="1" thickBot="1">
      <c r="A87" s="73">
        <v>2000</v>
      </c>
      <c r="B87" s="80" t="s">
        <v>63</v>
      </c>
      <c r="C87" s="75">
        <f t="shared" si="6"/>
        <v>1662.1100000000006</v>
      </c>
      <c r="D87" s="75">
        <v>1.3098706586534448</v>
      </c>
      <c r="E87" s="75">
        <f>+(($C$87/$C$79)-1)*100</f>
        <v>4.6299793523694621</v>
      </c>
      <c r="F87" s="149">
        <f t="shared" si="7"/>
        <v>7.8556828136660428</v>
      </c>
      <c r="G87" s="78">
        <f t="shared" si="5"/>
        <v>4.5966572609514511</v>
      </c>
    </row>
    <row r="88" spans="1:7" ht="16.5" hidden="1" thickBot="1">
      <c r="A88" s="73">
        <v>2000</v>
      </c>
      <c r="B88" s="80" t="s">
        <v>64</v>
      </c>
      <c r="C88" s="75">
        <f t="shared" si="6"/>
        <v>1665.9300000000007</v>
      </c>
      <c r="D88" s="75">
        <v>0.22982835071085894</v>
      </c>
      <c r="E88" s="75">
        <f>+(($C$88/$C$79)-1)*100</f>
        <v>4.870448708264119</v>
      </c>
      <c r="F88" s="149">
        <f t="shared" si="7"/>
        <v>7.7692889903806073</v>
      </c>
      <c r="G88" s="78">
        <f t="shared" si="5"/>
        <v>4.5861170637421829</v>
      </c>
    </row>
    <row r="89" spans="1:7" ht="16.5" hidden="1" thickBot="1">
      <c r="A89" s="73">
        <v>2000</v>
      </c>
      <c r="B89" s="80" t="s">
        <v>65</v>
      </c>
      <c r="C89" s="75">
        <f t="shared" si="6"/>
        <v>1668.2600000000007</v>
      </c>
      <c r="D89" s="75">
        <v>0.13986181892395866</v>
      </c>
      <c r="E89" s="75">
        <f>+(($C$89/$C$79)-1)*100</f>
        <v>5.0171224253412028</v>
      </c>
      <c r="F89" s="149">
        <f t="shared" si="7"/>
        <v>6.6505565038389669</v>
      </c>
      <c r="G89" s="78">
        <f t="shared" si="5"/>
        <v>4.5797117955234885</v>
      </c>
    </row>
    <row r="90" spans="1:7" ht="16.5" hidden="1" thickBot="1">
      <c r="A90" s="73">
        <v>2000</v>
      </c>
      <c r="B90" s="80" t="s">
        <v>66</v>
      </c>
      <c r="C90" s="75">
        <f t="shared" si="6"/>
        <v>1673.6000000000006</v>
      </c>
      <c r="D90" s="75">
        <v>0.32009399014540918</v>
      </c>
      <c r="E90" s="75">
        <f>+(($C$90/$C$79)-1)*100</f>
        <v>5.3532759228483773</v>
      </c>
      <c r="F90" s="149">
        <f t="shared" si="7"/>
        <v>5.9850926799612569</v>
      </c>
      <c r="G90" s="78">
        <f t="shared" si="5"/>
        <v>4.5650991873805067</v>
      </c>
    </row>
    <row r="91" spans="1:7" ht="16.5" hidden="1" thickBot="1">
      <c r="A91" s="73">
        <v>2000</v>
      </c>
      <c r="B91" s="80" t="s">
        <v>55</v>
      </c>
      <c r="C91" s="75">
        <f t="shared" si="6"/>
        <v>1683.4700000000009</v>
      </c>
      <c r="D91" s="75">
        <v>0.58974665391970937</v>
      </c>
      <c r="E91" s="75">
        <f>+(($C$91/$C$79)-1)*100</f>
        <v>5.9745933423981823</v>
      </c>
      <c r="F91" s="149">
        <f t="shared" si="7"/>
        <v>5.9745933423981823</v>
      </c>
      <c r="G91" s="78">
        <f t="shared" si="5"/>
        <v>4.5383345114555143</v>
      </c>
    </row>
    <row r="92" spans="1:7" ht="16.5" hidden="1" thickBot="1">
      <c r="A92" s="73">
        <v>2001</v>
      </c>
      <c r="B92" s="80" t="s">
        <v>56</v>
      </c>
      <c r="C92" s="75">
        <f t="shared" si="6"/>
        <v>1693.0700000000011</v>
      </c>
      <c r="D92" s="75">
        <v>0.57025073211878219</v>
      </c>
      <c r="E92" s="75">
        <f>+(($C$92/$C$91)-1)*100</f>
        <v>0.57025073211878219</v>
      </c>
      <c r="F92" s="149">
        <f t="shared" si="7"/>
        <v>5.9221351217773055</v>
      </c>
      <c r="G92" s="78">
        <f t="shared" si="5"/>
        <v>4.5126013691105591</v>
      </c>
    </row>
    <row r="93" spans="1:7" ht="16.5" hidden="1" thickBot="1">
      <c r="A93" s="73">
        <v>2001</v>
      </c>
      <c r="B93" s="80" t="s">
        <v>57</v>
      </c>
      <c r="C93" s="75">
        <f t="shared" si="6"/>
        <v>1700.860000000001</v>
      </c>
      <c r="D93" s="75">
        <v>0.46011092276161403</v>
      </c>
      <c r="E93" s="75">
        <f>+(($C$93/$C$91)-1)*100</f>
        <v>1.0329854407860051</v>
      </c>
      <c r="F93" s="149">
        <f t="shared" si="7"/>
        <v>6.2712044436391778</v>
      </c>
      <c r="G93" s="78">
        <f t="shared" si="5"/>
        <v>4.4919334924685241</v>
      </c>
    </row>
    <row r="94" spans="1:7" ht="16.5" hidden="1" thickBot="1">
      <c r="A94" s="73">
        <v>2001</v>
      </c>
      <c r="B94" s="80" t="s">
        <v>58</v>
      </c>
      <c r="C94" s="75">
        <f t="shared" si="6"/>
        <v>1707.3200000000008</v>
      </c>
      <c r="D94" s="75">
        <v>0.37980786190514593</v>
      </c>
      <c r="E94" s="75">
        <f t="shared" ref="E94:E100" si="8">+((C94/$C$91)-1)*100</f>
        <v>1.4167166626075867</v>
      </c>
      <c r="F94" s="149">
        <f t="shared" si="7"/>
        <v>6.440732913136471</v>
      </c>
      <c r="G94" s="78">
        <f t="shared" si="5"/>
        <v>4.4749373286788741</v>
      </c>
    </row>
    <row r="95" spans="1:7" ht="16.5" hidden="1" thickBot="1">
      <c r="A95" s="73">
        <v>2001</v>
      </c>
      <c r="B95" s="80" t="s">
        <v>59</v>
      </c>
      <c r="C95" s="75">
        <f t="shared" si="6"/>
        <v>1717.2200000000009</v>
      </c>
      <c r="D95" s="75">
        <v>0.57985614881803649</v>
      </c>
      <c r="E95" s="75">
        <f t="shared" si="8"/>
        <v>2.0047877301050843</v>
      </c>
      <c r="F95" s="149">
        <f t="shared" si="7"/>
        <v>6.6099643023436627</v>
      </c>
      <c r="G95" s="78">
        <f t="shared" si="5"/>
        <v>4.4491387242170566</v>
      </c>
    </row>
    <row r="96" spans="1:7" ht="16.5" hidden="1" thickBot="1">
      <c r="A96" s="73">
        <v>2001</v>
      </c>
      <c r="B96" s="80" t="s">
        <v>60</v>
      </c>
      <c r="C96" s="75">
        <f t="shared" si="6"/>
        <v>1724.2600000000009</v>
      </c>
      <c r="D96" s="75">
        <v>0.40996494333864764</v>
      </c>
      <c r="E96" s="75">
        <f t="shared" si="8"/>
        <v>2.4229716003255186</v>
      </c>
      <c r="F96" s="149">
        <f t="shared" si="7"/>
        <v>7.036395577654897</v>
      </c>
      <c r="G96" s="78">
        <f t="shared" si="5"/>
        <v>4.4309732870912821</v>
      </c>
    </row>
    <row r="97" spans="1:7" ht="16.5" hidden="1" thickBot="1">
      <c r="A97" s="73">
        <v>2001</v>
      </c>
      <c r="B97" s="80" t="s">
        <v>61</v>
      </c>
      <c r="C97" s="75">
        <f t="shared" si="6"/>
        <v>1733.2300000000007</v>
      </c>
      <c r="D97" s="75">
        <v>0.52022316819968495</v>
      </c>
      <c r="E97" s="75">
        <f t="shared" si="8"/>
        <v>2.9557996281489807</v>
      </c>
      <c r="F97" s="149">
        <f t="shared" si="7"/>
        <v>7.3460009166243845</v>
      </c>
      <c r="G97" s="78">
        <f t="shared" si="5"/>
        <v>4.408041633251222</v>
      </c>
    </row>
    <row r="98" spans="1:7" ht="16.5" hidden="1" thickBot="1">
      <c r="A98" s="73">
        <v>2001</v>
      </c>
      <c r="B98" s="80" t="s">
        <v>62</v>
      </c>
      <c r="C98" s="75">
        <f t="shared" si="6"/>
        <v>1756.2800000000007</v>
      </c>
      <c r="D98" s="75">
        <v>1.3298869740311359</v>
      </c>
      <c r="E98" s="75">
        <f t="shared" si="8"/>
        <v>4.3249953964133336</v>
      </c>
      <c r="F98" s="149">
        <f t="shared" si="7"/>
        <v>7.0497738659775155</v>
      </c>
      <c r="G98" s="78">
        <f t="shared" si="5"/>
        <v>4.3501890359168334</v>
      </c>
    </row>
    <row r="99" spans="1:7" ht="16.5" hidden="1" thickBot="1">
      <c r="A99" s="73">
        <v>2001</v>
      </c>
      <c r="B99" s="80" t="s">
        <v>63</v>
      </c>
      <c r="C99" s="75">
        <f t="shared" si="6"/>
        <v>1768.5700000000006</v>
      </c>
      <c r="D99" s="75">
        <v>0.6997745234245123</v>
      </c>
      <c r="E99" s="75">
        <f t="shared" si="8"/>
        <v>5.0550351357612433</v>
      </c>
      <c r="F99" s="149">
        <f t="shared" si="7"/>
        <v>6.405111575046174</v>
      </c>
      <c r="G99" s="78">
        <f t="shared" si="5"/>
        <v>4.3199590629717886</v>
      </c>
    </row>
    <row r="100" spans="1:7" ht="16.5" hidden="1" thickBot="1">
      <c r="A100" s="73">
        <v>2001</v>
      </c>
      <c r="B100" s="80" t="s">
        <v>64</v>
      </c>
      <c r="C100" s="75">
        <f t="shared" si="6"/>
        <v>1773.5200000000009</v>
      </c>
      <c r="D100" s="150">
        <v>0.2798871404581238</v>
      </c>
      <c r="E100" s="75">
        <f t="shared" si="8"/>
        <v>5.3490706695100032</v>
      </c>
      <c r="F100" s="149">
        <f t="shared" si="7"/>
        <v>6.4582545485104559</v>
      </c>
      <c r="G100" s="78">
        <f t="shared" si="5"/>
        <v>4.3079017998105549</v>
      </c>
    </row>
    <row r="101" spans="1:7" ht="16.5" hidden="1" thickBot="1">
      <c r="A101" s="73">
        <v>2001</v>
      </c>
      <c r="B101" s="80" t="s">
        <v>65</v>
      </c>
      <c r="C101" s="75">
        <f t="shared" si="6"/>
        <v>1788.2400000000011</v>
      </c>
      <c r="D101" s="150">
        <v>0.82998782083090195</v>
      </c>
      <c r="E101" s="75">
        <f>+((C101/$C$91)-1)*100</f>
        <v>6.2234551254254589</v>
      </c>
      <c r="F101" s="149">
        <f t="shared" si="7"/>
        <v>7.1919245201587545</v>
      </c>
      <c r="G101" s="78">
        <f t="shared" si="5"/>
        <v>4.272441059365641</v>
      </c>
    </row>
    <row r="102" spans="1:7" ht="16.5" hidden="1" thickBot="1">
      <c r="A102" s="73">
        <v>2001</v>
      </c>
      <c r="B102" s="80" t="s">
        <v>66</v>
      </c>
      <c r="C102" s="75">
        <f t="shared" si="6"/>
        <v>1800.940000000001</v>
      </c>
      <c r="D102" s="150">
        <v>0.71019549948552196</v>
      </c>
      <c r="E102" s="75">
        <f>+((C102/$C$91)-1)*100</f>
        <v>6.9778493231242633</v>
      </c>
      <c r="F102" s="149">
        <f t="shared" si="7"/>
        <v>7.6087476099426565</v>
      </c>
      <c r="G102" s="78">
        <f t="shared" si="5"/>
        <v>4.2423123479960543</v>
      </c>
    </row>
    <row r="103" spans="1:7" ht="16.5" hidden="1" thickBot="1">
      <c r="A103" s="73">
        <v>2001</v>
      </c>
      <c r="B103" s="80" t="s">
        <v>55</v>
      </c>
      <c r="C103" s="75">
        <f>+C102*(1+D103/100)</f>
        <v>1812.6500000000008</v>
      </c>
      <c r="D103" s="150">
        <v>0.65021599831198706</v>
      </c>
      <c r="E103" s="75">
        <f>+((C103/$C$91)-1)*100</f>
        <v>7.673436414073298</v>
      </c>
      <c r="F103" s="149">
        <f t="shared" si="7"/>
        <v>7.673436414073298</v>
      </c>
      <c r="G103" s="78">
        <f t="shared" si="5"/>
        <v>4.2149063525777262</v>
      </c>
    </row>
    <row r="104" spans="1:7" ht="16.5" hidden="1" thickBot="1">
      <c r="A104" s="73">
        <v>2002</v>
      </c>
      <c r="B104" s="80" t="s">
        <v>56</v>
      </c>
      <c r="C104" s="75">
        <f>+C103*(1+D104/100)</f>
        <v>1822.0800000000006</v>
      </c>
      <c r="D104" s="150">
        <v>0.52023280831929863</v>
      </c>
      <c r="E104" s="75">
        <f t="shared" ref="E104:E111" si="9">+((C104/$C$103)-1)*100</f>
        <v>0.52023280831929863</v>
      </c>
      <c r="F104" s="149">
        <f t="shared" si="7"/>
        <v>7.619885769637369</v>
      </c>
      <c r="G104" s="78">
        <f t="shared" si="5"/>
        <v>4.1930925096592997</v>
      </c>
    </row>
    <row r="105" spans="1:7" ht="16.5" hidden="1" thickBot="1">
      <c r="A105" s="73">
        <v>2002</v>
      </c>
      <c r="B105" s="80" t="s">
        <v>57</v>
      </c>
      <c r="C105" s="75">
        <f t="shared" si="6"/>
        <v>1828.6400000000006</v>
      </c>
      <c r="D105" s="150">
        <v>0.36002809975412831</v>
      </c>
      <c r="E105" s="75">
        <f t="shared" si="9"/>
        <v>0.88213389236750928</v>
      </c>
      <c r="F105" s="149">
        <f t="shared" si="7"/>
        <v>7.5126700610279151</v>
      </c>
      <c r="G105" s="78">
        <f t="shared" si="5"/>
        <v>4.1780503543617202</v>
      </c>
    </row>
    <row r="106" spans="1:7" ht="16.5" hidden="1" thickBot="1">
      <c r="A106" s="73">
        <v>2002</v>
      </c>
      <c r="B106" s="80" t="s">
        <v>58</v>
      </c>
      <c r="C106" s="75">
        <f t="shared" si="6"/>
        <v>1839.6100000000006</v>
      </c>
      <c r="D106" s="150">
        <v>0.59989937877329425</v>
      </c>
      <c r="E106" s="75">
        <f t="shared" si="9"/>
        <v>1.4873251868810833</v>
      </c>
      <c r="F106" s="149">
        <f t="shared" si="7"/>
        <v>7.7484010027411232</v>
      </c>
      <c r="G106" s="78">
        <f t="shared" si="5"/>
        <v>4.1531357189839238</v>
      </c>
    </row>
    <row r="107" spans="1:7" ht="16.5" hidden="1" thickBot="1">
      <c r="A107" s="73">
        <v>2002</v>
      </c>
      <c r="B107" s="80" t="s">
        <v>59</v>
      </c>
      <c r="C107" s="75">
        <f t="shared" si="6"/>
        <v>1854.3300000000006</v>
      </c>
      <c r="D107" s="150">
        <v>0.80016960116546798</v>
      </c>
      <c r="E107" s="75">
        <f t="shared" si="9"/>
        <v>2.2993959120624297</v>
      </c>
      <c r="F107" s="149">
        <f t="shared" si="7"/>
        <v>7.9844166734605704</v>
      </c>
      <c r="G107" s="78">
        <f t="shared" si="5"/>
        <v>4.1201673919960395</v>
      </c>
    </row>
    <row r="108" spans="1:7" ht="16.5" hidden="1" thickBot="1">
      <c r="A108" s="73">
        <v>2002</v>
      </c>
      <c r="B108" s="80" t="s">
        <v>60</v>
      </c>
      <c r="C108" s="75">
        <f t="shared" si="6"/>
        <v>1858.2200000000007</v>
      </c>
      <c r="D108" s="150">
        <v>0.20977927337637592</v>
      </c>
      <c r="E108" s="75">
        <f t="shared" si="9"/>
        <v>2.5139988414751846</v>
      </c>
      <c r="F108" s="149">
        <f t="shared" si="7"/>
        <v>7.7691299455998397</v>
      </c>
      <c r="G108" s="78">
        <f t="shared" si="5"/>
        <v>4.1115422285843524</v>
      </c>
    </row>
    <row r="109" spans="1:7" ht="16.5" hidden="1" thickBot="1">
      <c r="A109" s="73">
        <v>2002</v>
      </c>
      <c r="B109" s="80" t="s">
        <v>61</v>
      </c>
      <c r="C109" s="75">
        <f t="shared" si="6"/>
        <v>1866.0200000000007</v>
      </c>
      <c r="D109" s="150">
        <v>0.41975654120609551</v>
      </c>
      <c r="E109" s="75">
        <f t="shared" si="9"/>
        <v>2.9443080572642222</v>
      </c>
      <c r="F109" s="149">
        <f t="shared" si="7"/>
        <v>7.6614182768588002</v>
      </c>
      <c r="G109" s="78">
        <f t="shared" si="5"/>
        <v>4.0943559018660123</v>
      </c>
    </row>
    <row r="110" spans="1:7" ht="16.5" hidden="1" thickBot="1">
      <c r="A110" s="73">
        <v>2002</v>
      </c>
      <c r="B110" s="80" t="s">
        <v>62</v>
      </c>
      <c r="C110" s="75">
        <f t="shared" si="6"/>
        <v>1888.2300000000009</v>
      </c>
      <c r="D110" s="150">
        <v>1.1902337595524282</v>
      </c>
      <c r="E110" s="75">
        <f t="shared" si="9"/>
        <v>4.1695859652994383</v>
      </c>
      <c r="F110" s="149">
        <f t="shared" si="7"/>
        <v>7.5130389231785388</v>
      </c>
      <c r="G110" s="78">
        <f t="shared" si="5"/>
        <v>4.0461967027321961</v>
      </c>
    </row>
    <row r="111" spans="1:7" ht="16.5" hidden="1" thickBot="1">
      <c r="A111" s="73">
        <v>2002</v>
      </c>
      <c r="B111" s="80" t="s">
        <v>63</v>
      </c>
      <c r="C111" s="75">
        <f t="shared" si="6"/>
        <v>1900.5000000000009</v>
      </c>
      <c r="D111" s="150">
        <v>0.649814906023094</v>
      </c>
      <c r="E111" s="75">
        <f t="shared" si="9"/>
        <v>4.8464954624444889</v>
      </c>
      <c r="F111" s="149">
        <f t="shared" si="7"/>
        <v>7.4596990789168816</v>
      </c>
      <c r="G111" s="78">
        <f t="shared" si="5"/>
        <v>4.0200736648250537</v>
      </c>
    </row>
    <row r="112" spans="1:7" ht="16.5" hidden="1" thickBot="1">
      <c r="A112" s="73">
        <v>2002</v>
      </c>
      <c r="B112" s="80" t="s">
        <v>64</v>
      </c>
      <c r="C112" s="75">
        <f>+C111*(1+D112/100)</f>
        <v>1914.180000000001</v>
      </c>
      <c r="D112" s="150">
        <v>0.71981057616417043</v>
      </c>
      <c r="E112" s="75">
        <f>+((C112/$C$103)-1)*100</f>
        <v>5.6011916255206629</v>
      </c>
      <c r="F112" s="149">
        <f t="shared" si="7"/>
        <v>7.9311200324777786</v>
      </c>
      <c r="G112" s="78">
        <f t="shared" si="5"/>
        <v>3.9913435518080926</v>
      </c>
    </row>
    <row r="113" spans="1:7" ht="16.5" hidden="1" thickBot="1">
      <c r="A113" s="73">
        <v>2002</v>
      </c>
      <c r="B113" s="80" t="s">
        <v>65</v>
      </c>
      <c r="C113" s="75">
        <f>+C112*(1+D113/100)</f>
        <v>1939.2600000000009</v>
      </c>
      <c r="D113" s="150">
        <v>1.3102216092530483</v>
      </c>
      <c r="E113" s="75">
        <f>+((C113/$C$103)-1)*100</f>
        <v>6.9848012578269447</v>
      </c>
      <c r="F113" s="149">
        <f t="shared" si="7"/>
        <v>8.4451751442759182</v>
      </c>
      <c r="G113" s="78">
        <f t="shared" si="5"/>
        <v>3.9397244309685218</v>
      </c>
    </row>
    <row r="114" spans="1:7" ht="16.5" hidden="1" thickBot="1">
      <c r="A114" s="73">
        <v>2002</v>
      </c>
      <c r="B114" s="80" t="s">
        <v>66</v>
      </c>
      <c r="C114" s="75">
        <f>+C113*(1+D114/100)</f>
        <v>1997.8300000000008</v>
      </c>
      <c r="D114" s="150">
        <v>3.0202242092344456</v>
      </c>
      <c r="E114" s="75">
        <f>+((C114/$C$103)-1)*100</f>
        <v>10.215982125617185</v>
      </c>
      <c r="F114" s="149">
        <f t="shared" si="7"/>
        <v>10.932624074094633</v>
      </c>
      <c r="G114" s="78">
        <f t="shared" si="5"/>
        <v>3.8242242833474398</v>
      </c>
    </row>
    <row r="115" spans="1:7" ht="16.5" hidden="1" thickBot="1">
      <c r="A115" s="73">
        <v>2002</v>
      </c>
      <c r="B115" s="80" t="s">
        <v>55</v>
      </c>
      <c r="C115" s="75">
        <f>+C114*(1+D115/100)</f>
        <v>2039.7800000000007</v>
      </c>
      <c r="D115" s="150">
        <v>2.0997782594114556</v>
      </c>
      <c r="E115" s="75">
        <f>+((C115/$C$103)-1)*100</f>
        <v>12.530273356687704</v>
      </c>
      <c r="F115" s="149">
        <f t="shared" si="7"/>
        <v>12.530273356687704</v>
      </c>
      <c r="G115" s="78">
        <f t="shared" si="5"/>
        <v>3.7455755032405533</v>
      </c>
    </row>
    <row r="116" spans="1:7" ht="16.5" hidden="1" thickBot="1">
      <c r="A116" s="73">
        <v>2003</v>
      </c>
      <c r="B116" s="80" t="s">
        <v>56</v>
      </c>
      <c r="C116" s="75">
        <f>+C115*(1+D116/100)</f>
        <v>2085.6800000000007</v>
      </c>
      <c r="D116" s="150">
        <v>2.2502426732294634</v>
      </c>
      <c r="E116" s="75">
        <f t="shared" ref="E116:E127" si="10">+((C116/$C$115)-1)*100</f>
        <v>2.2502426732294634</v>
      </c>
      <c r="F116" s="149">
        <f t="shared" si="7"/>
        <v>14.466982788900594</v>
      </c>
      <c r="G116" s="78">
        <f t="shared" si="5"/>
        <v>3.6631458325342412</v>
      </c>
    </row>
    <row r="117" spans="1:7" ht="16.5" hidden="1" thickBot="1">
      <c r="A117" s="73">
        <v>2003</v>
      </c>
      <c r="B117" s="80" t="s">
        <v>57</v>
      </c>
      <c r="C117" s="75">
        <f t="shared" ref="C117:C173" si="11">+C116*(1+D117/100)</f>
        <v>2118.4300000000007</v>
      </c>
      <c r="D117" s="150">
        <v>1.5702312914732897</v>
      </c>
      <c r="E117" s="75">
        <f t="shared" si="10"/>
        <v>3.8558079792918809</v>
      </c>
      <c r="F117" s="149">
        <f t="shared" si="7"/>
        <v>15.84729635138682</v>
      </c>
      <c r="G117" s="78">
        <f t="shared" si="5"/>
        <v>3.6065152022960474</v>
      </c>
    </row>
    <row r="118" spans="1:7" ht="16.5" hidden="1" thickBot="1">
      <c r="A118" s="73">
        <v>2003</v>
      </c>
      <c r="B118" s="80" t="s">
        <v>58</v>
      </c>
      <c r="C118" s="75">
        <f t="shared" si="11"/>
        <v>2144.4900000000007</v>
      </c>
      <c r="D118" s="150">
        <v>1.2301562949920353</v>
      </c>
      <c r="E118" s="75">
        <f t="shared" si="10"/>
        <v>5.1333967388639934</v>
      </c>
      <c r="F118" s="149">
        <f t="shared" si="7"/>
        <v>16.573077989356435</v>
      </c>
      <c r="G118" s="78">
        <f t="shared" si="5"/>
        <v>3.5626885646470798</v>
      </c>
    </row>
    <row r="119" spans="1:7" ht="16.5" hidden="1" thickBot="1">
      <c r="A119" s="73">
        <v>2003</v>
      </c>
      <c r="B119" s="80" t="s">
        <v>59</v>
      </c>
      <c r="C119" s="75">
        <f t="shared" si="11"/>
        <v>2165.2900000000009</v>
      </c>
      <c r="D119" s="150">
        <v>0.96992758184930583</v>
      </c>
      <c r="E119" s="75">
        <f t="shared" si="10"/>
        <v>6.1531145515693053</v>
      </c>
      <c r="F119" s="149">
        <f t="shared" si="7"/>
        <v>16.769399190003952</v>
      </c>
      <c r="G119" s="78">
        <f t="shared" si="5"/>
        <v>3.5284650093059202</v>
      </c>
    </row>
    <row r="120" spans="1:7" ht="16.5" hidden="1" thickBot="1">
      <c r="A120" s="73">
        <v>2003</v>
      </c>
      <c r="B120" s="80" t="s">
        <v>60</v>
      </c>
      <c r="C120" s="75">
        <f t="shared" si="11"/>
        <v>2178.5000000000009</v>
      </c>
      <c r="D120" s="150">
        <v>0.61007994310231517</v>
      </c>
      <c r="E120" s="75">
        <f t="shared" si="10"/>
        <v>6.8007334124268404</v>
      </c>
      <c r="F120" s="149">
        <f t="shared" si="7"/>
        <v>17.235849361216648</v>
      </c>
      <c r="G120" s="78">
        <f t="shared" si="5"/>
        <v>3.5070690842322771</v>
      </c>
    </row>
    <row r="121" spans="1:7" ht="16.5" hidden="1" thickBot="1">
      <c r="A121" s="73">
        <v>2003</v>
      </c>
      <c r="B121" s="80" t="s">
        <v>61</v>
      </c>
      <c r="C121" s="75">
        <f t="shared" si="11"/>
        <v>2175.2300000000009</v>
      </c>
      <c r="D121" s="150">
        <v>-0.15010328207482049</v>
      </c>
      <c r="E121" s="75">
        <f t="shared" si="10"/>
        <v>6.6404220062947994</v>
      </c>
      <c r="F121" s="149">
        <f t="shared" si="7"/>
        <v>16.570561944673699</v>
      </c>
      <c r="G121" s="78">
        <f t="shared" si="5"/>
        <v>3.5123412236866978</v>
      </c>
    </row>
    <row r="122" spans="1:7" ht="16.5" hidden="1" thickBot="1">
      <c r="A122" s="73">
        <v>2003</v>
      </c>
      <c r="B122" s="80" t="s">
        <v>62</v>
      </c>
      <c r="C122" s="75">
        <f t="shared" si="11"/>
        <v>2179.5800000000008</v>
      </c>
      <c r="D122" s="150">
        <v>0.19997885281095584</v>
      </c>
      <c r="E122" s="75">
        <f t="shared" si="10"/>
        <v>6.8536802988557577</v>
      </c>
      <c r="F122" s="149">
        <f t="shared" si="7"/>
        <v>15.429794039920974</v>
      </c>
      <c r="G122" s="78">
        <f t="shared" si="5"/>
        <v>3.5053313023610126</v>
      </c>
    </row>
    <row r="123" spans="1:7" ht="16.5" hidden="1" thickBot="1">
      <c r="A123" s="73">
        <v>2003</v>
      </c>
      <c r="B123" s="80" t="s">
        <v>63</v>
      </c>
      <c r="C123" s="75">
        <f t="shared" si="11"/>
        <v>2186.9900000000007</v>
      </c>
      <c r="D123" s="150">
        <v>0.33997375641177108</v>
      </c>
      <c r="E123" s="75">
        <f t="shared" si="10"/>
        <v>7.2169547696320224</v>
      </c>
      <c r="F123" s="149">
        <f t="shared" si="7"/>
        <v>15.074454091028656</v>
      </c>
      <c r="G123" s="78">
        <f t="shared" si="5"/>
        <v>3.4934544739573643</v>
      </c>
    </row>
    <row r="124" spans="1:7" ht="16.5" hidden="1" thickBot="1">
      <c r="A124" s="73">
        <v>2003</v>
      </c>
      <c r="B124" s="80" t="s">
        <v>64</v>
      </c>
      <c r="C124" s="75">
        <f t="shared" si="11"/>
        <v>2204.0500000000011</v>
      </c>
      <c r="D124" s="150">
        <v>0.78006758147044497</v>
      </c>
      <c r="E124" s="75">
        <f t="shared" si="10"/>
        <v>8.053319475629749</v>
      </c>
      <c r="F124" s="149">
        <f t="shared" si="7"/>
        <v>15.143298958300688</v>
      </c>
      <c r="G124" s="78">
        <f t="shared" si="5"/>
        <v>3.4664141013134979</v>
      </c>
    </row>
    <row r="125" spans="1:7" ht="16.5" hidden="1" thickBot="1">
      <c r="A125" s="73">
        <v>2003</v>
      </c>
      <c r="B125" s="80" t="s">
        <v>65</v>
      </c>
      <c r="C125" s="75">
        <f t="shared" si="11"/>
        <v>2210.440000000001</v>
      </c>
      <c r="D125" s="150">
        <v>0.28992082756742477</v>
      </c>
      <c r="E125" s="75">
        <f t="shared" si="10"/>
        <v>8.3665885536675653</v>
      </c>
      <c r="F125" s="149">
        <f t="shared" si="7"/>
        <v>13.983684498210657</v>
      </c>
      <c r="G125" s="78">
        <f t="shared" si="5"/>
        <v>3.4563932972620903</v>
      </c>
    </row>
    <row r="126" spans="1:7" ht="16.5" hidden="1" thickBot="1">
      <c r="A126" s="73">
        <v>2003</v>
      </c>
      <c r="B126" s="80" t="s">
        <v>66</v>
      </c>
      <c r="C126" s="75">
        <f t="shared" si="11"/>
        <v>2217.9600000000009</v>
      </c>
      <c r="D126" s="150">
        <v>0.34020376033729871</v>
      </c>
      <c r="E126" s="75">
        <f t="shared" si="10"/>
        <v>8.7352557628763918</v>
      </c>
      <c r="F126" s="149">
        <f t="shared" si="7"/>
        <v>11.018455023700714</v>
      </c>
      <c r="G126" s="78">
        <f t="shared" si="5"/>
        <v>3.4446743854713411</v>
      </c>
    </row>
    <row r="127" spans="1:7" ht="16.5" hidden="1" thickBot="1">
      <c r="A127" s="73">
        <v>2003</v>
      </c>
      <c r="B127" s="80" t="s">
        <v>55</v>
      </c>
      <c r="C127" s="75">
        <f t="shared" si="11"/>
        <v>2229.4900000000007</v>
      </c>
      <c r="D127" s="150">
        <v>0.51984706667387304</v>
      </c>
      <c r="E127" s="75">
        <f t="shared" si="10"/>
        <v>9.3005128004000515</v>
      </c>
      <c r="F127" s="149">
        <f t="shared" si="7"/>
        <v>9.3005128004000515</v>
      </c>
      <c r="G127" s="78">
        <f t="shared" si="5"/>
        <v>3.4268599545187537</v>
      </c>
    </row>
    <row r="128" spans="1:7" ht="16.5" hidden="1" thickBot="1">
      <c r="A128" s="73">
        <v>2004</v>
      </c>
      <c r="B128" s="80" t="s">
        <v>56</v>
      </c>
      <c r="C128" s="75">
        <f t="shared" si="11"/>
        <v>2246.4300000000007</v>
      </c>
      <c r="D128" s="150">
        <v>0.75981502496087483</v>
      </c>
      <c r="E128" s="75">
        <f t="shared" ref="E128:E139" si="12">+((C128/$C$127)-1)*100</f>
        <v>0.75981502496087483</v>
      </c>
      <c r="F128" s="149">
        <f t="shared" si="7"/>
        <v>7.7073184764681058</v>
      </c>
      <c r="G128" s="78">
        <f t="shared" si="5"/>
        <v>3.4010185049166974</v>
      </c>
    </row>
    <row r="129" spans="1:7" ht="16.5" hidden="1" thickBot="1">
      <c r="A129" s="73">
        <v>2004</v>
      </c>
      <c r="B129" s="80" t="s">
        <v>57</v>
      </c>
      <c r="C129" s="75">
        <f t="shared" si="11"/>
        <v>2260.130000000001</v>
      </c>
      <c r="D129" s="150">
        <v>0.60985652791318845</v>
      </c>
      <c r="E129" s="75">
        <f t="shared" si="12"/>
        <v>1.3743053344038358</v>
      </c>
      <c r="F129" s="149">
        <f t="shared" si="7"/>
        <v>6.6889158480573085</v>
      </c>
      <c r="G129" s="78">
        <f t="shared" si="5"/>
        <v>3.3804028971784876</v>
      </c>
    </row>
    <row r="130" spans="1:7" ht="16.5" hidden="1" thickBot="1">
      <c r="A130" s="73">
        <v>2004</v>
      </c>
      <c r="B130" s="80" t="s">
        <v>58</v>
      </c>
      <c r="C130" s="75">
        <f t="shared" si="11"/>
        <v>2270.7500000000009</v>
      </c>
      <c r="D130" s="150">
        <v>0.46988447567175573</v>
      </c>
      <c r="E130" s="75">
        <f t="shared" si="12"/>
        <v>1.8506474574902843</v>
      </c>
      <c r="F130" s="149">
        <f t="shared" si="7"/>
        <v>5.8876469463602144</v>
      </c>
      <c r="G130" s="78">
        <f t="shared" si="5"/>
        <v>3.3645931960805968</v>
      </c>
    </row>
    <row r="131" spans="1:7" ht="16.5" hidden="1" thickBot="1">
      <c r="A131" s="73">
        <v>2004</v>
      </c>
      <c r="B131" s="80" t="s">
        <v>59</v>
      </c>
      <c r="C131" s="75">
        <f t="shared" si="11"/>
        <v>2279.150000000001</v>
      </c>
      <c r="D131" s="150">
        <v>0.36992183199384687</v>
      </c>
      <c r="E131" s="75">
        <f t="shared" si="12"/>
        <v>2.2274152384626156</v>
      </c>
      <c r="F131" s="149">
        <f t="shared" si="7"/>
        <v>5.2584180410014447</v>
      </c>
      <c r="G131" s="78">
        <f t="shared" si="5"/>
        <v>3.3521927034201413</v>
      </c>
    </row>
    <row r="132" spans="1:7" ht="16.5" hidden="1" thickBot="1">
      <c r="A132" s="73">
        <v>2004</v>
      </c>
      <c r="B132" s="80" t="s">
        <v>60</v>
      </c>
      <c r="C132" s="75">
        <f t="shared" si="11"/>
        <v>2290.7700000000009</v>
      </c>
      <c r="D132" s="150">
        <v>0.50983919443652326</v>
      </c>
      <c r="E132" s="75">
        <f t="shared" si="12"/>
        <v>2.7486106688076717</v>
      </c>
      <c r="F132" s="149">
        <f t="shared" si="7"/>
        <v>5.153546017902233</v>
      </c>
      <c r="G132" s="78">
        <f t="shared" si="5"/>
        <v>3.335188604704975</v>
      </c>
    </row>
    <row r="133" spans="1:7" ht="16.5" hidden="1" thickBot="1">
      <c r="A133" s="73">
        <v>2004</v>
      </c>
      <c r="B133" s="80" t="s">
        <v>61</v>
      </c>
      <c r="C133" s="75">
        <f t="shared" si="11"/>
        <v>2307.0300000000016</v>
      </c>
      <c r="D133" s="150">
        <v>0.70980500006549985</v>
      </c>
      <c r="E133" s="75">
        <f t="shared" si="12"/>
        <v>3.477925444832719</v>
      </c>
      <c r="F133" s="149">
        <f t="shared" si="7"/>
        <v>6.0591293794219681</v>
      </c>
      <c r="G133" s="78">
        <f t="shared" si="5"/>
        <v>3.3116821194349502</v>
      </c>
    </row>
    <row r="134" spans="1:7" ht="16.5" hidden="1" thickBot="1">
      <c r="A134" s="73">
        <v>2004</v>
      </c>
      <c r="B134" s="80" t="s">
        <v>62</v>
      </c>
      <c r="C134" s="75">
        <f t="shared" si="11"/>
        <v>2328.0200000000013</v>
      </c>
      <c r="D134" s="150">
        <v>0.90982778724160163</v>
      </c>
      <c r="E134" s="75">
        <f t="shared" si="12"/>
        <v>4.4193963641909306</v>
      </c>
      <c r="F134" s="149">
        <f t="shared" si="7"/>
        <v>6.8104864239899587</v>
      </c>
      <c r="G134" s="78">
        <f t="shared" si="5"/>
        <v>3.2818231802132347</v>
      </c>
    </row>
    <row r="135" spans="1:7" ht="16.5" hidden="1" thickBot="1">
      <c r="A135" s="73">
        <v>2004</v>
      </c>
      <c r="B135" s="80" t="s">
        <v>63</v>
      </c>
      <c r="C135" s="75">
        <f t="shared" si="11"/>
        <v>2344.0800000000008</v>
      </c>
      <c r="D135" s="150">
        <v>0.68985661635208029</v>
      </c>
      <c r="E135" s="75">
        <f t="shared" si="12"/>
        <v>5.1397404787641987</v>
      </c>
      <c r="F135" s="149">
        <f t="shared" si="7"/>
        <v>7.1829317920978131</v>
      </c>
      <c r="G135" s="78">
        <f t="shared" ref="G135:G198" si="13">+$C$396/C135</f>
        <v>3.2593384184840177</v>
      </c>
    </row>
    <row r="136" spans="1:7" ht="16.5" hidden="1" thickBot="1">
      <c r="A136" s="73">
        <v>2004</v>
      </c>
      <c r="B136" s="80" t="s">
        <v>64</v>
      </c>
      <c r="C136" s="75">
        <f t="shared" si="11"/>
        <v>2351.8200000000011</v>
      </c>
      <c r="D136" s="150">
        <v>0.33019350875398423</v>
      </c>
      <c r="E136" s="75">
        <f t="shared" si="12"/>
        <v>5.4869050769458694</v>
      </c>
      <c r="F136" s="149">
        <f t="shared" si="7"/>
        <v>6.7044758512737834</v>
      </c>
      <c r="G136" s="78">
        <f t="shared" si="13"/>
        <v>3.2486117134814805</v>
      </c>
    </row>
    <row r="137" spans="1:7" ht="16.5" hidden="1" thickBot="1">
      <c r="A137" s="73">
        <v>2004</v>
      </c>
      <c r="B137" s="80" t="s">
        <v>65</v>
      </c>
      <c r="C137" s="75">
        <f t="shared" si="11"/>
        <v>2362.170000000001</v>
      </c>
      <c r="D137" s="150">
        <v>0.44008470035972191</v>
      </c>
      <c r="E137" s="75">
        <f t="shared" si="12"/>
        <v>5.9511368070724879</v>
      </c>
      <c r="F137" s="149">
        <f t="shared" si="7"/>
        <v>6.8642442228696421</v>
      </c>
      <c r="G137" s="78">
        <f t="shared" si="13"/>
        <v>3.23437771201904</v>
      </c>
    </row>
    <row r="138" spans="1:7" ht="16.5" hidden="1" thickBot="1">
      <c r="A138" s="73">
        <v>2004</v>
      </c>
      <c r="B138" s="80" t="s">
        <v>66</v>
      </c>
      <c r="C138" s="75">
        <f t="shared" si="11"/>
        <v>2378.4700000000007</v>
      </c>
      <c r="D138" s="150">
        <v>0.69004347697243507</v>
      </c>
      <c r="E138" s="75">
        <f t="shared" si="12"/>
        <v>6.6822457153878245</v>
      </c>
      <c r="F138" s="149">
        <f t="shared" si="7"/>
        <v>7.2368302404010709</v>
      </c>
      <c r="G138" s="78">
        <f t="shared" si="13"/>
        <v>3.2122120522857198</v>
      </c>
    </row>
    <row r="139" spans="1:7" ht="16.5" hidden="1" thickBot="1">
      <c r="A139" s="73">
        <v>2004</v>
      </c>
      <c r="B139" s="80" t="s">
        <v>55</v>
      </c>
      <c r="C139" s="75">
        <f>+C138*(1+D139/100)</f>
        <v>2398.9200000000014</v>
      </c>
      <c r="D139" s="150">
        <v>0.8597964237514244</v>
      </c>
      <c r="E139" s="75">
        <f t="shared" si="12"/>
        <v>7.599495848826443</v>
      </c>
      <c r="F139" s="149">
        <f t="shared" si="7"/>
        <v>7.599495848826443</v>
      </c>
      <c r="G139" s="78">
        <f t="shared" si="13"/>
        <v>3.184829006386213</v>
      </c>
    </row>
    <row r="140" spans="1:7" ht="16.5" hidden="1" thickBot="1">
      <c r="A140" s="73">
        <v>2005</v>
      </c>
      <c r="B140" s="80" t="s">
        <v>56</v>
      </c>
      <c r="C140" s="75">
        <f t="shared" si="11"/>
        <v>2412.8300000000013</v>
      </c>
      <c r="D140" s="150">
        <v>0.57984426325179417</v>
      </c>
      <c r="E140" s="75">
        <f t="shared" ref="E140:E151" si="14">+((C140/$C$139)-1)*100</f>
        <v>0.57984426325179417</v>
      </c>
      <c r="F140" s="149">
        <f t="shared" si="7"/>
        <v>7.4073084850184712</v>
      </c>
      <c r="G140" s="78">
        <f t="shared" si="13"/>
        <v>3.1664684208999452</v>
      </c>
    </row>
    <row r="141" spans="1:7" ht="16.5" hidden="1" thickBot="1">
      <c r="A141" s="73">
        <v>2005</v>
      </c>
      <c r="B141" s="80" t="s">
        <v>57</v>
      </c>
      <c r="C141" s="75">
        <f t="shared" si="11"/>
        <v>2427.0700000000015</v>
      </c>
      <c r="D141" s="150">
        <v>0.59017833829984045</v>
      </c>
      <c r="E141" s="75">
        <f t="shared" si="14"/>
        <v>1.1734447167892181</v>
      </c>
      <c r="F141" s="149">
        <f t="shared" si="7"/>
        <v>7.3863007880077935</v>
      </c>
      <c r="G141" s="78">
        <f t="shared" si="13"/>
        <v>3.1478902545044081</v>
      </c>
    </row>
    <row r="142" spans="1:7" ht="16.5" hidden="1" thickBot="1">
      <c r="A142" s="73">
        <v>2005</v>
      </c>
      <c r="B142" s="80" t="s">
        <v>58</v>
      </c>
      <c r="C142" s="75">
        <f t="shared" si="11"/>
        <v>2441.8700000000013</v>
      </c>
      <c r="D142" s="150">
        <v>0.60978875763779694</v>
      </c>
      <c r="E142" s="75">
        <f t="shared" si="14"/>
        <v>1.7903890083871055</v>
      </c>
      <c r="F142" s="149">
        <f t="shared" si="7"/>
        <v>7.5358361774744198</v>
      </c>
      <c r="G142" s="78">
        <f t="shared" si="13"/>
        <v>3.128811116070886</v>
      </c>
    </row>
    <row r="143" spans="1:7" ht="16.5" hidden="1" thickBot="1">
      <c r="A143" s="73">
        <v>2005</v>
      </c>
      <c r="B143" s="80" t="s">
        <v>59</v>
      </c>
      <c r="C143" s="75">
        <f t="shared" si="11"/>
        <v>2463.110000000001</v>
      </c>
      <c r="D143" s="150">
        <v>0.86982517496836387</v>
      </c>
      <c r="E143" s="75">
        <f t="shared" si="14"/>
        <v>2.6757874376802659</v>
      </c>
      <c r="F143" s="149">
        <f t="shared" si="7"/>
        <v>8.0714301384287914</v>
      </c>
      <c r="G143" s="78">
        <f t="shared" si="13"/>
        <v>3.1018306125183268</v>
      </c>
    </row>
    <row r="144" spans="1:7" ht="16.5" hidden="1" thickBot="1">
      <c r="A144" s="73">
        <v>2005</v>
      </c>
      <c r="B144" s="80" t="s">
        <v>60</v>
      </c>
      <c r="C144" s="75">
        <f t="shared" si="11"/>
        <v>2475.1800000000007</v>
      </c>
      <c r="D144" s="150">
        <v>0.49003089589989557</v>
      </c>
      <c r="E144" s="75">
        <f t="shared" si="14"/>
        <v>3.1789305187333916</v>
      </c>
      <c r="F144" s="149">
        <f t="shared" si="7"/>
        <v>8.0501316151337718</v>
      </c>
      <c r="G144" s="78">
        <f t="shared" si="13"/>
        <v>3.0867048053070953</v>
      </c>
    </row>
    <row r="145" spans="1:7" ht="16.5" hidden="1" thickBot="1">
      <c r="A145" s="73">
        <v>2005</v>
      </c>
      <c r="B145" s="80" t="s">
        <v>61</v>
      </c>
      <c r="C145" s="75">
        <f t="shared" si="11"/>
        <v>2474.6800000000007</v>
      </c>
      <c r="D145" s="150">
        <v>-2.0200551071036799E-2</v>
      </c>
      <c r="E145" s="75">
        <f t="shared" si="14"/>
        <v>3.1580878061794104</v>
      </c>
      <c r="F145" s="149">
        <f t="shared" si="7"/>
        <v>7.2669189390688116</v>
      </c>
      <c r="G145" s="78">
        <f t="shared" si="13"/>
        <v>3.0873284626699276</v>
      </c>
    </row>
    <row r="146" spans="1:7" ht="16.5" hidden="1" thickBot="1">
      <c r="A146" s="73">
        <v>2005</v>
      </c>
      <c r="B146" s="80" t="s">
        <v>62</v>
      </c>
      <c r="C146" s="75">
        <f t="shared" si="11"/>
        <v>2480.8700000000008</v>
      </c>
      <c r="D146" s="150">
        <v>0.25013335057462172</v>
      </c>
      <c r="E146" s="75">
        <f t="shared" si="14"/>
        <v>3.4161205875977263</v>
      </c>
      <c r="F146" s="149">
        <f t="shared" si="7"/>
        <v>6.5656652434257223</v>
      </c>
      <c r="G146" s="78">
        <f t="shared" si="13"/>
        <v>3.0796252927400536</v>
      </c>
    </row>
    <row r="147" spans="1:7" ht="16.5" hidden="1" thickBot="1">
      <c r="A147" s="73">
        <v>2005</v>
      </c>
      <c r="B147" s="80" t="s">
        <v>63</v>
      </c>
      <c r="C147" s="75">
        <f t="shared" si="11"/>
        <v>2485.0900000000011</v>
      </c>
      <c r="D147" s="150">
        <v>0.17010161757771147</v>
      </c>
      <c r="E147" s="75">
        <f t="shared" si="14"/>
        <v>3.5920330815533585</v>
      </c>
      <c r="F147" s="149">
        <f t="shared" ref="F147:F210" si="15">100*((C147/C135)-1)</f>
        <v>6.0155796730487099</v>
      </c>
      <c r="G147" s="78">
        <f t="shared" si="13"/>
        <v>3.0743956959305359</v>
      </c>
    </row>
    <row r="148" spans="1:7" ht="16.5" hidden="1" thickBot="1">
      <c r="A148" s="83">
        <v>2005</v>
      </c>
      <c r="B148" s="80" t="s">
        <v>79</v>
      </c>
      <c r="C148" s="75">
        <f t="shared" si="11"/>
        <v>2493.7900000000009</v>
      </c>
      <c r="D148" s="150">
        <v>0.350087924381004</v>
      </c>
      <c r="E148" s="75">
        <f t="shared" si="14"/>
        <v>3.9546962799926311</v>
      </c>
      <c r="F148" s="149">
        <f t="shared" si="15"/>
        <v>6.0366014405864199</v>
      </c>
      <c r="G148" s="78">
        <f t="shared" si="13"/>
        <v>3.0636701566691729</v>
      </c>
    </row>
    <row r="149" spans="1:7" ht="16.5" hidden="1" thickBot="1">
      <c r="A149" s="83">
        <v>2005</v>
      </c>
      <c r="B149" s="80" t="s">
        <v>78</v>
      </c>
      <c r="C149" s="75">
        <f t="shared" si="11"/>
        <v>2512.4900000000007</v>
      </c>
      <c r="D149" s="150">
        <v>0.74986265884455783</v>
      </c>
      <c r="E149" s="75">
        <f t="shared" si="14"/>
        <v>4.7342137295115716</v>
      </c>
      <c r="F149" s="149">
        <f t="shared" si="15"/>
        <v>6.363640212177768</v>
      </c>
      <c r="G149" s="78">
        <f t="shared" si="13"/>
        <v>3.0408678243495562</v>
      </c>
    </row>
    <row r="150" spans="1:7" ht="16.5" hidden="1" thickBot="1">
      <c r="A150" s="83">
        <v>2005</v>
      </c>
      <c r="B150" s="80" t="s">
        <v>68</v>
      </c>
      <c r="C150" s="75">
        <f t="shared" si="11"/>
        <v>2526.3100000000009</v>
      </c>
      <c r="D150" s="150">
        <v>0.5500519405052362</v>
      </c>
      <c r="E150" s="75">
        <f t="shared" si="14"/>
        <v>5.3103063045036647</v>
      </c>
      <c r="F150" s="149">
        <f t="shared" si="15"/>
        <v>6.2157605519514769</v>
      </c>
      <c r="G150" s="78">
        <f t="shared" si="13"/>
        <v>3.0242329722005676</v>
      </c>
    </row>
    <row r="151" spans="1:7" ht="16.5" hidden="1" thickBot="1">
      <c r="A151" s="83">
        <v>2005</v>
      </c>
      <c r="B151" s="80" t="s">
        <v>69</v>
      </c>
      <c r="C151" s="75">
        <f t="shared" si="11"/>
        <v>2535.400000000001</v>
      </c>
      <c r="D151" s="150">
        <v>0.35981332457220017</v>
      </c>
      <c r="E151" s="75">
        <f t="shared" si="14"/>
        <v>5.6892268187350714</v>
      </c>
      <c r="F151" s="149">
        <f t="shared" si="15"/>
        <v>5.6892268187350714</v>
      </c>
      <c r="G151" s="78">
        <f t="shared" si="13"/>
        <v>3.0133903920485983</v>
      </c>
    </row>
    <row r="152" spans="1:7" ht="16.5" hidden="1" thickBot="1">
      <c r="A152" s="83">
        <v>2006</v>
      </c>
      <c r="B152" s="80" t="s">
        <v>70</v>
      </c>
      <c r="C152" s="75">
        <f t="shared" si="11"/>
        <v>2550.360000000001</v>
      </c>
      <c r="D152" s="150">
        <v>0.5900449633194027</v>
      </c>
      <c r="E152" s="75">
        <f t="shared" ref="E152:E163" si="16">+((C152/$C$151)-1)*100</f>
        <v>0.5900449633194027</v>
      </c>
      <c r="F152" s="149">
        <f t="shared" si="15"/>
        <v>5.6999457069084825</v>
      </c>
      <c r="G152" s="78">
        <f t="shared" si="13"/>
        <v>2.9957143305258929</v>
      </c>
    </row>
    <row r="153" spans="1:7" ht="16.5" hidden="1" thickBot="1">
      <c r="A153" s="73">
        <v>2006</v>
      </c>
      <c r="B153" s="80" t="s">
        <v>71</v>
      </c>
      <c r="C153" s="75">
        <f t="shared" si="11"/>
        <v>2560.8200000000015</v>
      </c>
      <c r="D153" s="150">
        <v>0.41013817657116203</v>
      </c>
      <c r="E153" s="75">
        <f t="shared" si="16"/>
        <v>1.0026031395440782</v>
      </c>
      <c r="F153" s="149">
        <f t="shared" si="15"/>
        <v>5.5107598874362784</v>
      </c>
      <c r="G153" s="78">
        <f t="shared" si="13"/>
        <v>2.9834779484696363</v>
      </c>
    </row>
    <row r="154" spans="1:7" ht="16.5" hidden="1" thickBot="1">
      <c r="A154" s="73">
        <v>2006</v>
      </c>
      <c r="B154" s="80" t="s">
        <v>72</v>
      </c>
      <c r="C154" s="75">
        <f t="shared" si="11"/>
        <v>2571.8300000000017</v>
      </c>
      <c r="D154" s="150">
        <v>0.42994040971251479</v>
      </c>
      <c r="E154" s="75">
        <f t="shared" si="16"/>
        <v>1.4368541453025463</v>
      </c>
      <c r="F154" s="149">
        <f t="shared" si="15"/>
        <v>5.3221506468403401</v>
      </c>
      <c r="G154" s="78">
        <f t="shared" si="13"/>
        <v>2.9707056842792929</v>
      </c>
    </row>
    <row r="155" spans="1:7" ht="16.5" hidden="1" thickBot="1">
      <c r="A155" s="73">
        <v>2006</v>
      </c>
      <c r="B155" s="80" t="s">
        <v>73</v>
      </c>
      <c r="C155" s="75">
        <f t="shared" si="11"/>
        <v>2577.2300000000023</v>
      </c>
      <c r="D155" s="150">
        <v>0.20996722178372451</v>
      </c>
      <c r="E155" s="75">
        <f t="shared" si="16"/>
        <v>1.6498382898162633</v>
      </c>
      <c r="F155" s="149">
        <f t="shared" si="15"/>
        <v>4.6331670124355462</v>
      </c>
      <c r="G155" s="78">
        <f t="shared" si="13"/>
        <v>2.9644812453680935</v>
      </c>
    </row>
    <row r="156" spans="1:7" ht="16.5" hidden="1" thickBot="1">
      <c r="A156" s="73">
        <v>2006</v>
      </c>
      <c r="B156" s="80" t="s">
        <v>74</v>
      </c>
      <c r="C156" s="75">
        <f t="shared" si="11"/>
        <v>2579.8100000000022</v>
      </c>
      <c r="D156" s="150">
        <v>0.1001074797359891</v>
      </c>
      <c r="E156" s="75">
        <f t="shared" si="16"/>
        <v>1.7515973810839025</v>
      </c>
      <c r="F156" s="149">
        <f t="shared" si="15"/>
        <v>4.2271673171244695</v>
      </c>
      <c r="G156" s="78">
        <f t="shared" si="13"/>
        <v>2.9615165457921369</v>
      </c>
    </row>
    <row r="157" spans="1:7" ht="16.5" hidden="1" thickBot="1">
      <c r="A157" s="73">
        <v>2006</v>
      </c>
      <c r="B157" s="80" t="s">
        <v>75</v>
      </c>
      <c r="C157" s="75">
        <f t="shared" si="11"/>
        <v>2574.3900000000021</v>
      </c>
      <c r="D157" s="150">
        <v>-0.21009299134432391</v>
      </c>
      <c r="E157" s="75">
        <f t="shared" si="16"/>
        <v>1.5378244064053526</v>
      </c>
      <c r="F157" s="149">
        <f t="shared" si="15"/>
        <v>4.0292078167682766</v>
      </c>
      <c r="G157" s="78">
        <f t="shared" si="13"/>
        <v>2.9677515838703585</v>
      </c>
    </row>
    <row r="158" spans="1:7" ht="16.5" hidden="1" thickBot="1">
      <c r="A158" s="73">
        <v>2006</v>
      </c>
      <c r="B158" s="80" t="s">
        <v>76</v>
      </c>
      <c r="C158" s="75">
        <f t="shared" si="11"/>
        <v>2579.2800000000025</v>
      </c>
      <c r="D158" s="150">
        <v>0.18994790999034006</v>
      </c>
      <c r="E158" s="75">
        <f t="shared" si="16"/>
        <v>1.730693381714965</v>
      </c>
      <c r="F158" s="149">
        <f t="shared" si="15"/>
        <v>3.9667535985360658</v>
      </c>
      <c r="G158" s="78">
        <f t="shared" si="13"/>
        <v>2.9621250891721767</v>
      </c>
    </row>
    <row r="159" spans="1:7" ht="16.5" hidden="1" thickBot="1">
      <c r="A159" s="73">
        <v>2006</v>
      </c>
      <c r="B159" s="80" t="s">
        <v>77</v>
      </c>
      <c r="C159" s="75">
        <f t="shared" si="11"/>
        <v>2580.570000000002</v>
      </c>
      <c r="D159" s="150">
        <v>5.0013957383443497E-2</v>
      </c>
      <c r="E159" s="75">
        <f t="shared" si="16"/>
        <v>1.7815729273487735</v>
      </c>
      <c r="F159" s="149">
        <f t="shared" si="15"/>
        <v>3.8421143701033333</v>
      </c>
      <c r="G159" s="78">
        <f t="shared" si="13"/>
        <v>2.9606443537668086</v>
      </c>
    </row>
    <row r="160" spans="1:7" ht="16.5" hidden="1" thickBot="1">
      <c r="A160" s="73">
        <v>2006</v>
      </c>
      <c r="B160" s="80" t="s">
        <v>64</v>
      </c>
      <c r="C160" s="75">
        <f t="shared" si="11"/>
        <v>2585.9900000000016</v>
      </c>
      <c r="D160" s="150">
        <v>0.21003111715627298</v>
      </c>
      <c r="E160" s="75">
        <f t="shared" si="16"/>
        <v>1.9953459020273234</v>
      </c>
      <c r="F160" s="149">
        <f t="shared" si="15"/>
        <v>3.6971838045705807</v>
      </c>
      <c r="G160" s="78">
        <f t="shared" si="13"/>
        <v>2.9544391122935565</v>
      </c>
    </row>
    <row r="161" spans="1:7" ht="16.5" hidden="1" thickBot="1">
      <c r="A161" s="73">
        <v>2006</v>
      </c>
      <c r="B161" s="80" t="s">
        <v>65</v>
      </c>
      <c r="C161" s="75">
        <f t="shared" si="11"/>
        <v>2594.5200000000018</v>
      </c>
      <c r="D161" s="150">
        <v>0.32985433044985246</v>
      </c>
      <c r="E161" s="75">
        <f t="shared" si="16"/>
        <v>2.3317819673424722</v>
      </c>
      <c r="F161" s="149">
        <f t="shared" si="15"/>
        <v>3.2648886164721391</v>
      </c>
      <c r="G161" s="78">
        <f t="shared" si="13"/>
        <v>2.9447258067002813</v>
      </c>
    </row>
    <row r="162" spans="1:7" ht="16.5" hidden="1" thickBot="1">
      <c r="A162" s="84">
        <v>2006</v>
      </c>
      <c r="B162" s="80" t="s">
        <v>66</v>
      </c>
      <c r="C162" s="75">
        <f t="shared" si="11"/>
        <v>2602.5600000000018</v>
      </c>
      <c r="D162" s="150">
        <v>0.3098839091623784</v>
      </c>
      <c r="E162" s="75">
        <f t="shared" si="16"/>
        <v>2.6488916936183937</v>
      </c>
      <c r="F162" s="149">
        <f t="shared" si="15"/>
        <v>3.018236083457726</v>
      </c>
      <c r="G162" s="78">
        <f t="shared" si="13"/>
        <v>2.9356287655231825</v>
      </c>
    </row>
    <row r="163" spans="1:7" ht="16.5" hidden="1" thickBot="1">
      <c r="A163" s="84">
        <v>2006</v>
      </c>
      <c r="B163" s="80" t="s">
        <v>55</v>
      </c>
      <c r="C163" s="75">
        <f t="shared" si="11"/>
        <v>2615.050000000002</v>
      </c>
      <c r="D163" s="150">
        <v>0.47991208656092965</v>
      </c>
      <c r="E163" s="75">
        <f t="shared" si="16"/>
        <v>3.1415161315769158</v>
      </c>
      <c r="F163" s="149">
        <f t="shared" si="15"/>
        <v>3.1415161315769158</v>
      </c>
      <c r="G163" s="78">
        <f t="shared" si="13"/>
        <v>2.9216076174451779</v>
      </c>
    </row>
    <row r="164" spans="1:7" ht="16.5" hidden="1" thickBot="1">
      <c r="A164" s="73">
        <v>2007</v>
      </c>
      <c r="B164" s="80" t="s">
        <v>70</v>
      </c>
      <c r="C164" s="75">
        <f t="shared" si="11"/>
        <v>2626.5600000000013</v>
      </c>
      <c r="D164" s="150">
        <v>0.44014454790537449</v>
      </c>
      <c r="E164" s="75">
        <f t="shared" ref="E164:E175" si="17">+((C164/$C$163)-1)*100</f>
        <v>0.44014454790537449</v>
      </c>
      <c r="F164" s="149">
        <f t="shared" si="15"/>
        <v>2.9878134851550442</v>
      </c>
      <c r="G164" s="78">
        <f t="shared" si="13"/>
        <v>2.9088046722709611</v>
      </c>
    </row>
    <row r="165" spans="1:7" ht="16.5" hidden="1" thickBot="1">
      <c r="A165" s="73">
        <v>2007</v>
      </c>
      <c r="B165" s="80" t="s">
        <v>71</v>
      </c>
      <c r="C165" s="75">
        <f t="shared" si="11"/>
        <v>2638.1200000000013</v>
      </c>
      <c r="D165" s="150">
        <v>0.44011939571149128</v>
      </c>
      <c r="E165" s="75">
        <f t="shared" si="17"/>
        <v>0.88220110514136696</v>
      </c>
      <c r="F165" s="149">
        <f t="shared" si="15"/>
        <v>3.0185643661014616</v>
      </c>
      <c r="G165" s="78">
        <f t="shared" si="13"/>
        <v>2.8960585568510968</v>
      </c>
    </row>
    <row r="166" spans="1:7" ht="16.5" hidden="1" thickBot="1">
      <c r="A166" s="73">
        <v>2007</v>
      </c>
      <c r="B166" s="80" t="s">
        <v>72</v>
      </c>
      <c r="C166" s="75">
        <f t="shared" si="11"/>
        <v>2647.8800000000015</v>
      </c>
      <c r="D166" s="150">
        <v>0.36996042636423532</v>
      </c>
      <c r="E166" s="75">
        <f t="shared" si="17"/>
        <v>1.2554253264755788</v>
      </c>
      <c r="F166" s="149">
        <f t="shared" si="15"/>
        <v>2.957038373453913</v>
      </c>
      <c r="G166" s="78">
        <f t="shared" si="13"/>
        <v>2.8853837787210956</v>
      </c>
    </row>
    <row r="167" spans="1:7" ht="16.5" hidden="1" thickBot="1">
      <c r="A167" s="73">
        <v>2007</v>
      </c>
      <c r="B167" s="80" t="s">
        <v>73</v>
      </c>
      <c r="C167" s="75">
        <f t="shared" si="11"/>
        <v>2654.5000000000014</v>
      </c>
      <c r="D167" s="150">
        <v>0.25001132981856689</v>
      </c>
      <c r="E167" s="75">
        <f t="shared" si="17"/>
        <v>1.5085753618477415</v>
      </c>
      <c r="F167" s="149">
        <f t="shared" si="15"/>
        <v>2.998180216744295</v>
      </c>
      <c r="G167" s="78">
        <f t="shared" si="13"/>
        <v>2.8781879826709416</v>
      </c>
    </row>
    <row r="168" spans="1:7" ht="16.5" hidden="1" thickBot="1">
      <c r="A168" s="73">
        <v>2007</v>
      </c>
      <c r="B168" s="80" t="s">
        <v>74</v>
      </c>
      <c r="C168" s="75">
        <f t="shared" si="11"/>
        <v>2661.9300000000012</v>
      </c>
      <c r="D168" s="150">
        <v>0.2799020531173424</v>
      </c>
      <c r="E168" s="75">
        <f t="shared" si="17"/>
        <v>1.79269994837572</v>
      </c>
      <c r="F168" s="149">
        <f t="shared" si="15"/>
        <v>3.1831801566781559</v>
      </c>
      <c r="G168" s="78">
        <f t="shared" si="13"/>
        <v>2.8701543616849485</v>
      </c>
    </row>
    <row r="169" spans="1:7" ht="16.5" hidden="1" thickBot="1">
      <c r="A169" s="73">
        <v>2007</v>
      </c>
      <c r="B169" s="80" t="s">
        <v>75</v>
      </c>
      <c r="C169" s="75">
        <f t="shared" si="11"/>
        <v>2669.380000000001</v>
      </c>
      <c r="D169" s="150">
        <v>0.27987212285822682</v>
      </c>
      <c r="E169" s="75">
        <f t="shared" si="17"/>
        <v>2.0775893386359323</v>
      </c>
      <c r="F169" s="149">
        <f t="shared" si="15"/>
        <v>3.6898061288304751</v>
      </c>
      <c r="G169" s="78">
        <f t="shared" si="13"/>
        <v>2.8621440184612217</v>
      </c>
    </row>
    <row r="170" spans="1:7" ht="16.5" hidden="1" thickBot="1">
      <c r="A170" s="73">
        <v>2007</v>
      </c>
      <c r="B170" s="80" t="s">
        <v>76</v>
      </c>
      <c r="C170" s="75">
        <f t="shared" si="11"/>
        <v>2675.7900000000009</v>
      </c>
      <c r="D170" s="150">
        <v>0.24013066704626773</v>
      </c>
      <c r="E170" s="75">
        <f t="shared" si="17"/>
        <v>2.3227089348195618</v>
      </c>
      <c r="F170" s="149">
        <f t="shared" si="15"/>
        <v>3.7417418814552184</v>
      </c>
      <c r="G170" s="78">
        <f t="shared" si="13"/>
        <v>2.8552875973077172</v>
      </c>
    </row>
    <row r="171" spans="1:7" ht="16.5" hidden="1" thickBot="1">
      <c r="A171" s="73">
        <v>2007</v>
      </c>
      <c r="B171" s="80" t="s">
        <v>77</v>
      </c>
      <c r="C171" s="75">
        <f t="shared" si="11"/>
        <v>2688.3700000000008</v>
      </c>
      <c r="D171" s="150">
        <v>0.4701415282963195</v>
      </c>
      <c r="E171" s="75">
        <f t="shared" si="17"/>
        <v>2.8037704823999032</v>
      </c>
      <c r="F171" s="149">
        <f t="shared" si="15"/>
        <v>4.177371665949714</v>
      </c>
      <c r="G171" s="78">
        <f t="shared" si="13"/>
        <v>2.8419265205310342</v>
      </c>
    </row>
    <row r="172" spans="1:7" ht="16.5" hidden="1" thickBot="1">
      <c r="A172" s="73">
        <v>2007</v>
      </c>
      <c r="B172" s="80" t="s">
        <v>79</v>
      </c>
      <c r="C172" s="75">
        <f t="shared" si="11"/>
        <v>2693.2100000000014</v>
      </c>
      <c r="D172" s="150">
        <v>0.1800347422415971</v>
      </c>
      <c r="E172" s="75">
        <f t="shared" si="17"/>
        <v>2.9888529856025414</v>
      </c>
      <c r="F172" s="149">
        <f t="shared" si="15"/>
        <v>4.1461877269440173</v>
      </c>
      <c r="G172" s="78">
        <f t="shared" si="13"/>
        <v>2.8368192602879145</v>
      </c>
    </row>
    <row r="173" spans="1:7" ht="16.5" hidden="1" thickBot="1">
      <c r="A173" s="73">
        <v>2007</v>
      </c>
      <c r="B173" s="80" t="s">
        <v>78</v>
      </c>
      <c r="C173" s="75">
        <f t="shared" si="11"/>
        <v>2701.2900000000013</v>
      </c>
      <c r="D173" s="150">
        <v>0.30001373825285782</v>
      </c>
      <c r="E173" s="75">
        <f t="shared" si="17"/>
        <v>3.297833693428398</v>
      </c>
      <c r="F173" s="149">
        <f t="shared" si="15"/>
        <v>4.1152120623467736</v>
      </c>
      <c r="G173" s="78">
        <f t="shared" si="13"/>
        <v>2.828333870113914</v>
      </c>
    </row>
    <row r="174" spans="1:7" ht="16.5" hidden="1" thickBot="1">
      <c r="A174" s="73">
        <v>2007</v>
      </c>
      <c r="B174" s="80" t="s">
        <v>68</v>
      </c>
      <c r="C174" s="75">
        <f>+C173*(1+D174/100)</f>
        <v>2711.5500000000015</v>
      </c>
      <c r="D174" s="150">
        <v>0.37981853114623654</v>
      </c>
      <c r="E174" s="75">
        <f t="shared" si="17"/>
        <v>3.6901780080686564</v>
      </c>
      <c r="F174" s="149">
        <f t="shared" si="15"/>
        <v>4.1877997049059257</v>
      </c>
      <c r="G174" s="78">
        <f t="shared" si="13"/>
        <v>2.8176319817078848</v>
      </c>
    </row>
    <row r="175" spans="1:7" ht="16.5" hidden="1" thickBot="1">
      <c r="A175" s="73">
        <v>2007</v>
      </c>
      <c r="B175" s="80" t="s">
        <v>69</v>
      </c>
      <c r="C175" s="75">
        <f>+C174*(1+D175/100)</f>
        <v>2731.6200000000017</v>
      </c>
      <c r="D175" s="150">
        <v>0.74016706311887948</v>
      </c>
      <c r="E175" s="75">
        <f t="shared" si="17"/>
        <v>4.4576585533737223</v>
      </c>
      <c r="F175" s="149">
        <f t="shared" si="15"/>
        <v>4.4576585533737223</v>
      </c>
      <c r="G175" s="78">
        <f t="shared" si="13"/>
        <v>2.7969300268705068</v>
      </c>
    </row>
    <row r="176" spans="1:7" ht="16.5" hidden="1" thickBot="1">
      <c r="A176" s="73">
        <v>2008</v>
      </c>
      <c r="B176" s="80" t="s">
        <v>70</v>
      </c>
      <c r="C176" s="75">
        <f t="shared" ref="C176:C239" si="18">+C175*(1+D176/100)</f>
        <v>2746.3700000000017</v>
      </c>
      <c r="D176" s="150">
        <v>0.53997261698186527</v>
      </c>
      <c r="E176" s="75">
        <f t="shared" ref="E176:E187" si="19">+((C176/$C$175)-1)*100</f>
        <v>0.53997261698186527</v>
      </c>
      <c r="F176" s="149">
        <f t="shared" si="15"/>
        <v>4.5614796539961144</v>
      </c>
      <c r="G176" s="78">
        <f t="shared" si="13"/>
        <v>2.7819084828337091</v>
      </c>
    </row>
    <row r="177" spans="1:7" ht="16.5" hidden="1" thickBot="1">
      <c r="A177" s="73">
        <v>2008</v>
      </c>
      <c r="B177" s="80" t="s">
        <v>71</v>
      </c>
      <c r="C177" s="75">
        <f t="shared" si="18"/>
        <v>2759.8300000000017</v>
      </c>
      <c r="D177" s="150">
        <v>0.4901014794073566</v>
      </c>
      <c r="E177" s="75">
        <f t="shared" si="19"/>
        <v>1.032720510173446</v>
      </c>
      <c r="F177" s="149">
        <f t="shared" si="15"/>
        <v>4.6135126529498471</v>
      </c>
      <c r="G177" s="78">
        <f t="shared" si="13"/>
        <v>2.7683408036002266</v>
      </c>
    </row>
    <row r="178" spans="1:7" ht="16.5" hidden="1" thickBot="1">
      <c r="A178" s="73">
        <v>2008</v>
      </c>
      <c r="B178" s="80" t="s">
        <v>72</v>
      </c>
      <c r="C178" s="75">
        <f t="shared" si="18"/>
        <v>2773.0800000000017</v>
      </c>
      <c r="D178" s="150">
        <v>0.48010203527029116</v>
      </c>
      <c r="E178" s="75">
        <f t="shared" si="19"/>
        <v>1.5177806576317288</v>
      </c>
      <c r="F178" s="149">
        <f t="shared" si="15"/>
        <v>4.7283109506473187</v>
      </c>
      <c r="G178" s="78">
        <f t="shared" si="13"/>
        <v>2.7551134478630308</v>
      </c>
    </row>
    <row r="179" spans="1:7" ht="16.5" hidden="1" thickBot="1">
      <c r="A179" s="73">
        <v>2008</v>
      </c>
      <c r="B179" s="80" t="s">
        <v>73</v>
      </c>
      <c r="C179" s="75">
        <f t="shared" si="18"/>
        <v>2788.3300000000022</v>
      </c>
      <c r="D179" s="150">
        <v>0.54993004168650828</v>
      </c>
      <c r="E179" s="75">
        <f t="shared" si="19"/>
        <v>2.0760574311214697</v>
      </c>
      <c r="F179" s="149">
        <f t="shared" si="15"/>
        <v>5.0416274251271709</v>
      </c>
      <c r="G179" s="78">
        <f t="shared" si="13"/>
        <v>2.7400451166110225</v>
      </c>
    </row>
    <row r="180" spans="1:7" ht="16.5" hidden="1" thickBot="1">
      <c r="A180" s="73">
        <v>2008</v>
      </c>
      <c r="B180" s="80" t="s">
        <v>74</v>
      </c>
      <c r="C180" s="75">
        <f t="shared" si="18"/>
        <v>2810.3600000000029</v>
      </c>
      <c r="D180" s="150">
        <v>0.79007864922733262</v>
      </c>
      <c r="E180" s="75">
        <f t="shared" si="19"/>
        <v>2.8825385668578063</v>
      </c>
      <c r="F180" s="149">
        <f t="shared" si="15"/>
        <v>5.5760294222613416</v>
      </c>
      <c r="G180" s="78">
        <f t="shared" si="13"/>
        <v>2.7185663046727151</v>
      </c>
    </row>
    <row r="181" spans="1:7" ht="16.5" hidden="1" thickBot="1">
      <c r="A181" s="73">
        <v>2008</v>
      </c>
      <c r="B181" s="80" t="s">
        <v>75</v>
      </c>
      <c r="C181" s="75">
        <f t="shared" si="18"/>
        <v>2831.160000000003</v>
      </c>
      <c r="D181" s="150">
        <v>0.74011870365362498</v>
      </c>
      <c r="E181" s="75">
        <f t="shared" si="19"/>
        <v>3.6439914775847848</v>
      </c>
      <c r="F181" s="149">
        <f t="shared" si="15"/>
        <v>6.0605833564348899</v>
      </c>
      <c r="G181" s="78">
        <f t="shared" si="13"/>
        <v>2.6985935093742532</v>
      </c>
    </row>
    <row r="182" spans="1:7" ht="16.5" hidden="1" thickBot="1">
      <c r="A182" s="73">
        <v>2008</v>
      </c>
      <c r="B182" s="80" t="s">
        <v>76</v>
      </c>
      <c r="C182" s="75">
        <f t="shared" si="18"/>
        <v>2846.160000000003</v>
      </c>
      <c r="D182" s="150">
        <v>0.52981816640529367</v>
      </c>
      <c r="E182" s="75">
        <f t="shared" si="19"/>
        <v>4.1931161728205657</v>
      </c>
      <c r="F182" s="149">
        <f t="shared" si="15"/>
        <v>6.3670915879049605</v>
      </c>
      <c r="G182" s="78">
        <f t="shared" si="13"/>
        <v>2.6843712229811434</v>
      </c>
    </row>
    <row r="183" spans="1:7" ht="16.5" hidden="1" thickBot="1">
      <c r="A183" s="73">
        <v>2008</v>
      </c>
      <c r="B183" s="80" t="s">
        <v>77</v>
      </c>
      <c r="C183" s="75">
        <f t="shared" si="18"/>
        <v>2854.1300000000033</v>
      </c>
      <c r="D183" s="150">
        <v>0.28002642156450541</v>
      </c>
      <c r="E183" s="75">
        <f t="shared" si="19"/>
        <v>4.4848844275558575</v>
      </c>
      <c r="F183" s="149">
        <f t="shared" si="15"/>
        <v>6.1658179491663079</v>
      </c>
      <c r="G183" s="78">
        <f t="shared" si="13"/>
        <v>2.676875264966911</v>
      </c>
    </row>
    <row r="184" spans="1:7" ht="16.5" hidden="1" thickBot="1">
      <c r="A184" s="73">
        <v>2008</v>
      </c>
      <c r="B184" s="80" t="s">
        <v>79</v>
      </c>
      <c r="C184" s="75">
        <f t="shared" si="18"/>
        <v>2861.5500000000034</v>
      </c>
      <c r="D184" s="150">
        <v>0.25997414273351005</v>
      </c>
      <c r="E184" s="75">
        <f t="shared" si="19"/>
        <v>4.7565181101325127</v>
      </c>
      <c r="F184" s="149">
        <f t="shared" si="15"/>
        <v>6.2505337496891133</v>
      </c>
      <c r="G184" s="78">
        <f t="shared" si="13"/>
        <v>2.6699341266097081</v>
      </c>
    </row>
    <row r="185" spans="1:7" ht="16.5" hidden="1" thickBot="1">
      <c r="A185" s="73">
        <v>2008</v>
      </c>
      <c r="B185" s="80" t="s">
        <v>78</v>
      </c>
      <c r="C185" s="75">
        <f t="shared" si="18"/>
        <v>2874.4300000000035</v>
      </c>
      <c r="D185" s="150">
        <v>0.45010571193933036</v>
      </c>
      <c r="E185" s="75">
        <f t="shared" si="19"/>
        <v>5.2280331817749826</v>
      </c>
      <c r="F185" s="149">
        <f t="shared" si="15"/>
        <v>6.4095302614677552</v>
      </c>
      <c r="G185" s="78">
        <f t="shared" si="13"/>
        <v>2.6579704497935275</v>
      </c>
    </row>
    <row r="186" spans="1:7" ht="16.5" hidden="1" thickBot="1">
      <c r="A186" s="73">
        <v>2008</v>
      </c>
      <c r="B186" s="80" t="s">
        <v>68</v>
      </c>
      <c r="C186" s="75">
        <f t="shared" si="18"/>
        <v>2884.7800000000034</v>
      </c>
      <c r="D186" s="150">
        <v>0.3600713880665074</v>
      </c>
      <c r="E186" s="75">
        <f t="shared" si="19"/>
        <v>5.6069292214876665</v>
      </c>
      <c r="F186" s="149">
        <f t="shared" si="15"/>
        <v>6.3885969279563914</v>
      </c>
      <c r="G186" s="78">
        <f t="shared" si="13"/>
        <v>2.6484341960218836</v>
      </c>
    </row>
    <row r="187" spans="1:7" ht="16.5" hidden="1" thickBot="1">
      <c r="A187" s="73">
        <v>2008</v>
      </c>
      <c r="B187" s="80" t="s">
        <v>69</v>
      </c>
      <c r="C187" s="75">
        <f t="shared" si="18"/>
        <v>2892.8600000000038</v>
      </c>
      <c r="D187" s="150">
        <v>0.28009068282504046</v>
      </c>
      <c r="E187" s="75">
        <f t="shared" si="19"/>
        <v>5.9027243906547122</v>
      </c>
      <c r="F187" s="149">
        <f t="shared" si="15"/>
        <v>5.9027243906547122</v>
      </c>
      <c r="G187" s="78">
        <f t="shared" si="13"/>
        <v>2.6410368977413388</v>
      </c>
    </row>
    <row r="188" spans="1:7" ht="16.5" hidden="1" thickBot="1">
      <c r="A188" s="73">
        <v>2009</v>
      </c>
      <c r="B188" s="80" t="s">
        <v>70</v>
      </c>
      <c r="C188" s="75">
        <f t="shared" si="18"/>
        <v>2906.7400000000034</v>
      </c>
      <c r="D188" s="150">
        <v>0.47980199525727851</v>
      </c>
      <c r="E188" s="75">
        <f t="shared" ref="E188:E199" si="20">+((C188/$C$187)-1)*100</f>
        <v>0.47980199525727851</v>
      </c>
      <c r="F188" s="149">
        <f t="shared" si="15"/>
        <v>5.8393442981099275</v>
      </c>
      <c r="G188" s="78">
        <f t="shared" si="13"/>
        <v>2.6284256589856709</v>
      </c>
    </row>
    <row r="189" spans="1:7" ht="16.5" hidden="1" thickBot="1">
      <c r="A189" s="73">
        <v>2009</v>
      </c>
      <c r="B189" s="80" t="s">
        <v>71</v>
      </c>
      <c r="C189" s="75">
        <f t="shared" si="18"/>
        <v>2922.7300000000041</v>
      </c>
      <c r="D189" s="150">
        <v>0.55010080020918561</v>
      </c>
      <c r="E189" s="75">
        <f t="shared" si="20"/>
        <v>1.0325421900817977</v>
      </c>
      <c r="F189" s="149">
        <f t="shared" si="15"/>
        <v>5.9025374751344284</v>
      </c>
      <c r="G189" s="78">
        <f t="shared" si="13"/>
        <v>2.6140457722745545</v>
      </c>
    </row>
    <row r="190" spans="1:7" ht="16.5" hidden="1" thickBot="1">
      <c r="A190" s="73">
        <v>2009</v>
      </c>
      <c r="B190" s="80" t="s">
        <v>72</v>
      </c>
      <c r="C190" s="75">
        <f t="shared" si="18"/>
        <v>2928.5700000000047</v>
      </c>
      <c r="D190" s="150">
        <v>0.19981318835473605</v>
      </c>
      <c r="E190" s="75">
        <f t="shared" si="20"/>
        <v>1.2344185339076441</v>
      </c>
      <c r="F190" s="149">
        <f t="shared" si="15"/>
        <v>5.6071227660219991</v>
      </c>
      <c r="G190" s="78">
        <f t="shared" si="13"/>
        <v>2.608832979918529</v>
      </c>
    </row>
    <row r="191" spans="1:7" ht="16.5" hidden="1" thickBot="1">
      <c r="A191" s="73">
        <v>2009</v>
      </c>
      <c r="B191" s="80" t="s">
        <v>73</v>
      </c>
      <c r="C191" s="75">
        <f t="shared" si="18"/>
        <v>2942.6300000000051</v>
      </c>
      <c r="D191" s="150">
        <v>0.480097795169665</v>
      </c>
      <c r="E191" s="75">
        <f t="shared" si="20"/>
        <v>1.7204427452417681</v>
      </c>
      <c r="F191" s="149">
        <f t="shared" si="15"/>
        <v>5.5337782830584104</v>
      </c>
      <c r="G191" s="78">
        <f t="shared" si="13"/>
        <v>2.5963678749961789</v>
      </c>
    </row>
    <row r="192" spans="1:7" ht="16.5" hidden="1" thickBot="1">
      <c r="A192" s="73">
        <v>2009</v>
      </c>
      <c r="B192" s="80" t="s">
        <v>74</v>
      </c>
      <c r="C192" s="75">
        <f t="shared" si="18"/>
        <v>2956.460000000005</v>
      </c>
      <c r="D192" s="150">
        <v>0.46998773206281541</v>
      </c>
      <c r="E192" s="75">
        <f t="shared" si="20"/>
        <v>2.1985163471443858</v>
      </c>
      <c r="F192" s="149">
        <f t="shared" si="15"/>
        <v>5.1986222405671079</v>
      </c>
      <c r="G192" s="78">
        <f t="shared" si="13"/>
        <v>2.5842223469960715</v>
      </c>
    </row>
    <row r="193" spans="1:7" ht="16.5" hidden="1" thickBot="1">
      <c r="A193" s="73">
        <v>2009</v>
      </c>
      <c r="B193" s="80" t="s">
        <v>75</v>
      </c>
      <c r="C193" s="75">
        <f t="shared" si="18"/>
        <v>2967.1000000000054</v>
      </c>
      <c r="D193" s="150">
        <v>0.35988986828843217</v>
      </c>
      <c r="E193" s="75">
        <f t="shared" si="20"/>
        <v>2.5663184530188676</v>
      </c>
      <c r="F193" s="149">
        <f t="shared" si="15"/>
        <v>4.8015654360757498</v>
      </c>
      <c r="G193" s="78">
        <f t="shared" si="13"/>
        <v>2.574955343601498</v>
      </c>
    </row>
    <row r="194" spans="1:7" ht="16.5" hidden="1" thickBot="1">
      <c r="A194" s="73">
        <v>2009</v>
      </c>
      <c r="B194" s="80" t="s">
        <v>76</v>
      </c>
      <c r="C194" s="75">
        <f t="shared" si="18"/>
        <v>2974.2200000000048</v>
      </c>
      <c r="D194" s="150">
        <v>0.23996494894003018</v>
      </c>
      <c r="E194" s="75">
        <f t="shared" si="20"/>
        <v>2.8124416667243191</v>
      </c>
      <c r="F194" s="149">
        <f t="shared" si="15"/>
        <v>4.4993956769823873</v>
      </c>
      <c r="G194" s="78">
        <f t="shared" si="13"/>
        <v>2.5687911452414438</v>
      </c>
    </row>
    <row r="195" spans="1:7" ht="16.5" hidden="1" thickBot="1">
      <c r="A195" s="73">
        <v>2009</v>
      </c>
      <c r="B195" s="80" t="s">
        <v>77</v>
      </c>
      <c r="C195" s="75">
        <f t="shared" si="18"/>
        <v>2978.6800000000048</v>
      </c>
      <c r="D195" s="150">
        <v>0.14995528239336586</v>
      </c>
      <c r="E195" s="75">
        <f t="shared" si="20"/>
        <v>2.9666143539611722</v>
      </c>
      <c r="F195" s="149">
        <f t="shared" si="15"/>
        <v>4.3638516815982964</v>
      </c>
      <c r="G195" s="78">
        <f t="shared" si="13"/>
        <v>2.5649448749110366</v>
      </c>
    </row>
    <row r="196" spans="1:7" ht="16.5" hidden="1" thickBot="1">
      <c r="A196" s="73">
        <v>2009</v>
      </c>
      <c r="B196" s="80" t="s">
        <v>79</v>
      </c>
      <c r="C196" s="75">
        <f t="shared" si="18"/>
        <v>2985.8300000000049</v>
      </c>
      <c r="D196" s="150">
        <v>0.24003921199995393</v>
      </c>
      <c r="E196" s="75">
        <f t="shared" si="20"/>
        <v>3.2137746036794423</v>
      </c>
      <c r="F196" s="149">
        <f t="shared" si="15"/>
        <v>4.3431007670668542</v>
      </c>
      <c r="G196" s="78">
        <f t="shared" si="13"/>
        <v>2.5588027449653885</v>
      </c>
    </row>
    <row r="197" spans="1:7" ht="16.5" hidden="1" thickBot="1">
      <c r="A197" s="73">
        <v>2009</v>
      </c>
      <c r="B197" s="80" t="s">
        <v>78</v>
      </c>
      <c r="C197" s="75">
        <f t="shared" si="18"/>
        <v>2994.1900000000051</v>
      </c>
      <c r="D197" s="150">
        <v>0.27998914874591829</v>
      </c>
      <c r="E197" s="75">
        <f t="shared" si="20"/>
        <v>3.5027619725808146</v>
      </c>
      <c r="F197" s="149">
        <f t="shared" si="15"/>
        <v>4.166391249743473</v>
      </c>
      <c r="G197" s="78">
        <f t="shared" si="13"/>
        <v>2.5516583783928226</v>
      </c>
    </row>
    <row r="198" spans="1:7" ht="16.5" hidden="1" thickBot="1">
      <c r="A198" s="73">
        <v>2009</v>
      </c>
      <c r="B198" s="80" t="s">
        <v>68</v>
      </c>
      <c r="C198" s="75">
        <f t="shared" si="18"/>
        <v>3006.4700000000048</v>
      </c>
      <c r="D198" s="150">
        <v>0.41012761381207241</v>
      </c>
      <c r="E198" s="75">
        <f t="shared" si="20"/>
        <v>3.9272553804885479</v>
      </c>
      <c r="F198" s="149">
        <f t="shared" si="15"/>
        <v>4.2183459397250767</v>
      </c>
      <c r="G198" s="78">
        <f t="shared" si="13"/>
        <v>2.5412360675476577</v>
      </c>
    </row>
    <row r="199" spans="1:7" ht="16.5" hidden="1" thickBot="1">
      <c r="A199" s="73">
        <v>2009</v>
      </c>
      <c r="B199" s="80" t="s">
        <v>55</v>
      </c>
      <c r="C199" s="75">
        <f t="shared" si="18"/>
        <v>3017.5900000000051</v>
      </c>
      <c r="D199" s="150">
        <v>0.36986898256095024</v>
      </c>
      <c r="E199" s="75">
        <f t="shared" si="20"/>
        <v>4.3116500625678844</v>
      </c>
      <c r="F199" s="149">
        <f t="shared" si="15"/>
        <v>4.3116500625678844</v>
      </c>
      <c r="G199" s="78">
        <f t="shared" ref="G199:G262" si="21">+$C$396/C199</f>
        <v>2.5318714603375558</v>
      </c>
    </row>
    <row r="200" spans="1:7" ht="16.5" hidden="1" thickBot="1">
      <c r="A200" s="73">
        <v>2010</v>
      </c>
      <c r="B200" s="80" t="s">
        <v>56</v>
      </c>
      <c r="C200" s="75">
        <f t="shared" si="18"/>
        <v>3040.2200000000043</v>
      </c>
      <c r="D200" s="150">
        <v>0.7499362073707605</v>
      </c>
      <c r="E200" s="75">
        <f t="shared" ref="E200:E211" si="22">+((C200/$C$199)-1)*100</f>
        <v>0.7499362073707605</v>
      </c>
      <c r="F200" s="149">
        <f t="shared" si="15"/>
        <v>4.5920859794821967</v>
      </c>
      <c r="G200" s="78">
        <f t="shared" si="21"/>
        <v>2.5130253731637868</v>
      </c>
    </row>
    <row r="201" spans="1:7" ht="16.5" hidden="1" thickBot="1">
      <c r="A201" s="73">
        <v>2010</v>
      </c>
      <c r="B201" s="80" t="s">
        <v>57</v>
      </c>
      <c r="C201" s="75">
        <f t="shared" si="18"/>
        <v>3063.9300000000044</v>
      </c>
      <c r="D201" s="150">
        <v>0.77987777200334563</v>
      </c>
      <c r="E201" s="75">
        <f t="shared" si="22"/>
        <v>1.535662565159579</v>
      </c>
      <c r="F201" s="149">
        <f t="shared" si="15"/>
        <v>4.8310996910422732</v>
      </c>
      <c r="G201" s="78">
        <f t="shared" si="21"/>
        <v>2.4935785086473934</v>
      </c>
    </row>
    <row r="202" spans="1:7" ht="16.5" hidden="1" thickBot="1">
      <c r="A202" s="73">
        <v>2010</v>
      </c>
      <c r="B202" s="80" t="s">
        <v>58</v>
      </c>
      <c r="C202" s="75">
        <f t="shared" si="18"/>
        <v>3079.8600000000042</v>
      </c>
      <c r="D202" s="150">
        <v>0.51992049426716758</v>
      </c>
      <c r="E202" s="75">
        <f t="shared" si="22"/>
        <v>2.0635672838257957</v>
      </c>
      <c r="F202" s="149">
        <f t="shared" si="15"/>
        <v>5.1660025200012116</v>
      </c>
      <c r="G202" s="78">
        <f t="shared" si="21"/>
        <v>2.4806809400427321</v>
      </c>
    </row>
    <row r="203" spans="1:7" ht="16.5" hidden="1" thickBot="1">
      <c r="A203" s="73">
        <v>2010</v>
      </c>
      <c r="B203" s="80" t="s">
        <v>59</v>
      </c>
      <c r="C203" s="75">
        <f t="shared" si="18"/>
        <v>3097.4200000000042</v>
      </c>
      <c r="D203" s="150">
        <v>0.5701557863019735</v>
      </c>
      <c r="E203" s="75">
        <f t="shared" si="22"/>
        <v>2.6454886184007487</v>
      </c>
      <c r="F203" s="149">
        <f t="shared" si="15"/>
        <v>5.2602603793205027</v>
      </c>
      <c r="G203" s="78">
        <f t="shared" si="21"/>
        <v>2.4666173783342291</v>
      </c>
    </row>
    <row r="204" spans="1:7" ht="16.5" hidden="1" thickBot="1">
      <c r="A204" s="73">
        <v>2010</v>
      </c>
      <c r="B204" s="80" t="s">
        <v>60</v>
      </c>
      <c r="C204" s="75">
        <f t="shared" si="18"/>
        <v>3110.7400000000034</v>
      </c>
      <c r="D204" s="150">
        <v>0.43003531971768094</v>
      </c>
      <c r="E204" s="75">
        <f t="shared" si="22"/>
        <v>3.0869004735566419</v>
      </c>
      <c r="F204" s="149">
        <f t="shared" si="15"/>
        <v>5.218403090182111</v>
      </c>
      <c r="G204" s="78">
        <f t="shared" si="21"/>
        <v>2.4560554723313457</v>
      </c>
    </row>
    <row r="205" spans="1:7" ht="16.5" hidden="1" thickBot="1">
      <c r="A205" s="73">
        <v>2010</v>
      </c>
      <c r="B205" s="80" t="s">
        <v>61</v>
      </c>
      <c r="C205" s="75">
        <f t="shared" si="18"/>
        <v>3110.7400000000034</v>
      </c>
      <c r="D205" s="150">
        <v>0</v>
      </c>
      <c r="E205" s="75">
        <f t="shared" si="22"/>
        <v>3.0869004735566419</v>
      </c>
      <c r="F205" s="149">
        <f t="shared" si="15"/>
        <v>4.8410906272116749</v>
      </c>
      <c r="G205" s="78">
        <f t="shared" si="21"/>
        <v>2.4560554723313457</v>
      </c>
    </row>
    <row r="206" spans="1:7" ht="16.5" hidden="1" thickBot="1">
      <c r="A206" s="73">
        <v>2010</v>
      </c>
      <c r="B206" s="80" t="s">
        <v>62</v>
      </c>
      <c r="C206" s="75">
        <f t="shared" si="18"/>
        <v>3111.0500000000038</v>
      </c>
      <c r="D206" s="150">
        <v>9.9654744530441874E-3</v>
      </c>
      <c r="E206" s="75">
        <f t="shared" si="22"/>
        <v>3.0971735722877591</v>
      </c>
      <c r="F206" s="149">
        <f t="shared" si="15"/>
        <v>4.6005339214987062</v>
      </c>
      <c r="G206" s="78">
        <f t="shared" si="21"/>
        <v>2.4558107391395216</v>
      </c>
    </row>
    <row r="207" spans="1:7" ht="16.5" hidden="1" thickBot="1">
      <c r="A207" s="73">
        <v>2010</v>
      </c>
      <c r="B207" s="80" t="s">
        <v>63</v>
      </c>
      <c r="C207" s="75">
        <f t="shared" si="18"/>
        <v>3112.2900000000036</v>
      </c>
      <c r="D207" s="150">
        <v>3.9857925780673042E-2</v>
      </c>
      <c r="E207" s="75">
        <f t="shared" si="22"/>
        <v>3.1382659672121838</v>
      </c>
      <c r="F207" s="149">
        <f t="shared" si="15"/>
        <v>4.4855439322115442</v>
      </c>
      <c r="G207" s="78">
        <f t="shared" si="21"/>
        <v>2.4548322939057767</v>
      </c>
    </row>
    <row r="208" spans="1:7" ht="16.5" hidden="1" thickBot="1">
      <c r="A208" s="73">
        <v>2010</v>
      </c>
      <c r="B208" s="80" t="s">
        <v>64</v>
      </c>
      <c r="C208" s="75">
        <f t="shared" si="18"/>
        <v>3126.2900000000036</v>
      </c>
      <c r="D208" s="150">
        <v>0.449829546732472</v>
      </c>
      <c r="E208" s="75">
        <f t="shared" si="22"/>
        <v>3.6022123615202295</v>
      </c>
      <c r="F208" s="149">
        <f t="shared" si="15"/>
        <v>4.7042195972308631</v>
      </c>
      <c r="G208" s="78">
        <f t="shared" si="21"/>
        <v>2.4438391831851844</v>
      </c>
    </row>
    <row r="209" spans="1:7" ht="16.5" hidden="1" thickBot="1">
      <c r="A209" s="73">
        <v>2010</v>
      </c>
      <c r="B209" s="80" t="s">
        <v>65</v>
      </c>
      <c r="C209" s="75">
        <f t="shared" si="18"/>
        <v>3149.740000000003</v>
      </c>
      <c r="D209" s="150">
        <v>0.75009036269826357</v>
      </c>
      <c r="E209" s="75">
        <f t="shared" si="22"/>
        <v>4.3793225719861661</v>
      </c>
      <c r="F209" s="149">
        <f t="shared" si="15"/>
        <v>5.1950611016668091</v>
      </c>
      <c r="G209" s="78">
        <f t="shared" si="21"/>
        <v>2.4256446563843403</v>
      </c>
    </row>
    <row r="210" spans="1:7" ht="16.5" hidden="1" thickBot="1">
      <c r="A210" s="73">
        <v>2010</v>
      </c>
      <c r="B210" s="80" t="s">
        <v>66</v>
      </c>
      <c r="C210" s="75">
        <f t="shared" si="18"/>
        <v>3175.8800000000033</v>
      </c>
      <c r="D210" s="150">
        <v>0.82990977033026159</v>
      </c>
      <c r="E210" s="75">
        <f t="shared" si="22"/>
        <v>5.2455767682156207</v>
      </c>
      <c r="F210" s="149">
        <f t="shared" si="15"/>
        <v>5.6348475121986263</v>
      </c>
      <c r="G210" s="78">
        <f t="shared" si="21"/>
        <v>2.4056796856304428</v>
      </c>
    </row>
    <row r="211" spans="1:7" ht="16.5" hidden="1" thickBot="1">
      <c r="A211" s="73">
        <v>2010</v>
      </c>
      <c r="B211" s="80" t="s">
        <v>55</v>
      </c>
      <c r="C211" s="75">
        <f t="shared" si="18"/>
        <v>3195.8900000000031</v>
      </c>
      <c r="D211" s="150">
        <v>0.63006158922880307</v>
      </c>
      <c r="E211" s="75">
        <f t="shared" si="22"/>
        <v>5.9086887217944639</v>
      </c>
      <c r="F211" s="149">
        <f t="shared" ref="F211:F274" si="23">100*((C211/C199)-1)</f>
        <v>5.9086887217944639</v>
      </c>
      <c r="G211" s="78">
        <f t="shared" si="21"/>
        <v>2.3906173241256776</v>
      </c>
    </row>
    <row r="212" spans="1:7">
      <c r="A212" s="85">
        <v>2011</v>
      </c>
      <c r="B212" s="86" t="s">
        <v>56</v>
      </c>
      <c r="C212" s="87">
        <f t="shared" si="18"/>
        <v>3222.4200000000037</v>
      </c>
      <c r="D212" s="151">
        <v>0.83012869654464083</v>
      </c>
      <c r="E212" s="87">
        <f t="shared" ref="E212:E223" si="24">+((C212/$C$211)-1)*100</f>
        <v>0.83012869654464083</v>
      </c>
      <c r="F212" s="152">
        <f t="shared" si="23"/>
        <v>5.9929873495996766</v>
      </c>
      <c r="G212" s="90">
        <f t="shared" si="21"/>
        <v>2.3709355080964025</v>
      </c>
    </row>
    <row r="213" spans="1:7">
      <c r="A213" s="91">
        <v>2011</v>
      </c>
      <c r="B213" s="92" t="s">
        <v>57</v>
      </c>
      <c r="C213" s="93">
        <f t="shared" si="18"/>
        <v>3248.2000000000039</v>
      </c>
      <c r="D213" s="153">
        <v>0.80001986084992094</v>
      </c>
      <c r="E213" s="93">
        <f t="shared" si="24"/>
        <v>1.6367897518375418</v>
      </c>
      <c r="F213" s="154">
        <f t="shared" si="23"/>
        <v>6.0141713420345466</v>
      </c>
      <c r="G213" s="96">
        <f t="shared" si="21"/>
        <v>2.3521180961763468</v>
      </c>
    </row>
    <row r="214" spans="1:7">
      <c r="A214" s="91">
        <v>2011</v>
      </c>
      <c r="B214" s="92" t="s">
        <v>58</v>
      </c>
      <c r="C214" s="93">
        <f t="shared" si="18"/>
        <v>3273.8600000000047</v>
      </c>
      <c r="D214" s="153">
        <v>0.78997598670034197</v>
      </c>
      <c r="E214" s="93">
        <f t="shared" si="24"/>
        <v>2.4396959845301769</v>
      </c>
      <c r="F214" s="154">
        <f t="shared" si="23"/>
        <v>6.2989876163202174</v>
      </c>
      <c r="G214" s="96">
        <f t="shared" si="21"/>
        <v>2.3336825643124652</v>
      </c>
    </row>
    <row r="215" spans="1:7">
      <c r="A215" s="91">
        <v>2011</v>
      </c>
      <c r="B215" s="92" t="s">
        <v>59</v>
      </c>
      <c r="C215" s="93">
        <f t="shared" si="18"/>
        <v>3299.0700000000052</v>
      </c>
      <c r="D215" s="153">
        <v>0.77003903648904526</v>
      </c>
      <c r="E215" s="93">
        <f t="shared" si="24"/>
        <v>3.2285216324717592</v>
      </c>
      <c r="F215" s="154">
        <f t="shared" si="23"/>
        <v>6.5102569235041097</v>
      </c>
      <c r="G215" s="96">
        <f t="shared" si="21"/>
        <v>2.3158496182257444</v>
      </c>
    </row>
    <row r="216" spans="1:7">
      <c r="A216" s="91">
        <v>2011</v>
      </c>
      <c r="B216" s="92" t="s">
        <v>60</v>
      </c>
      <c r="C216" s="93">
        <f t="shared" si="18"/>
        <v>3314.5800000000054</v>
      </c>
      <c r="D216" s="153">
        <v>0.4701324918840788</v>
      </c>
      <c r="E216" s="93">
        <f t="shared" si="24"/>
        <v>3.7138324535576084</v>
      </c>
      <c r="F216" s="154">
        <f t="shared" si="23"/>
        <v>6.552781653240114</v>
      </c>
      <c r="G216" s="96">
        <f t="shared" si="21"/>
        <v>2.3050130031557563</v>
      </c>
    </row>
    <row r="217" spans="1:7">
      <c r="A217" s="91">
        <v>2011</v>
      </c>
      <c r="B217" s="92" t="s">
        <v>61</v>
      </c>
      <c r="C217" s="93">
        <f t="shared" si="18"/>
        <v>3319.5500000000061</v>
      </c>
      <c r="D217" s="153">
        <v>0.14994358259570184</v>
      </c>
      <c r="E217" s="93">
        <f t="shared" si="24"/>
        <v>3.8693446895857742</v>
      </c>
      <c r="F217" s="154">
        <f t="shared" si="23"/>
        <v>6.7125507114063732</v>
      </c>
      <c r="G217" s="96">
        <f t="shared" si="21"/>
        <v>2.3015619586992226</v>
      </c>
    </row>
    <row r="218" spans="1:7">
      <c r="A218" s="91">
        <v>2011</v>
      </c>
      <c r="B218" s="92" t="s">
        <v>62</v>
      </c>
      <c r="C218" s="93">
        <f t="shared" si="18"/>
        <v>3324.860000000006</v>
      </c>
      <c r="D218" s="153">
        <v>0.15996144055669959</v>
      </c>
      <c r="E218" s="93">
        <f t="shared" si="24"/>
        <v>4.0354955896480416</v>
      </c>
      <c r="F218" s="154">
        <f t="shared" si="23"/>
        <v>6.8725992832002758</v>
      </c>
      <c r="G218" s="96">
        <f t="shared" si="21"/>
        <v>2.2978862267884979</v>
      </c>
    </row>
    <row r="219" spans="1:7">
      <c r="A219" s="91">
        <v>2011</v>
      </c>
      <c r="B219" s="92" t="s">
        <v>63</v>
      </c>
      <c r="C219" s="93">
        <f t="shared" si="18"/>
        <v>3337.1600000000058</v>
      </c>
      <c r="D219" s="153">
        <v>0.36994038846747124</v>
      </c>
      <c r="E219" s="93">
        <f t="shared" si="24"/>
        <v>4.4203649061764549</v>
      </c>
      <c r="F219" s="154">
        <f t="shared" si="23"/>
        <v>7.2252264409808253</v>
      </c>
      <c r="G219" s="96">
        <f t="shared" si="21"/>
        <v>2.2894167495714934</v>
      </c>
    </row>
    <row r="220" spans="1:7">
      <c r="A220" s="91">
        <v>2011</v>
      </c>
      <c r="B220" s="92" t="s">
        <v>64</v>
      </c>
      <c r="C220" s="93">
        <f t="shared" si="18"/>
        <v>3354.8500000000054</v>
      </c>
      <c r="D220" s="153">
        <v>0.53009145500964028</v>
      </c>
      <c r="E220" s="93">
        <f t="shared" si="24"/>
        <v>4.9738883378339649</v>
      </c>
      <c r="F220" s="154">
        <f t="shared" si="23"/>
        <v>7.3109020596298313</v>
      </c>
      <c r="G220" s="96">
        <f t="shared" si="21"/>
        <v>2.2773447397052049</v>
      </c>
    </row>
    <row r="221" spans="1:7">
      <c r="A221" s="91">
        <v>2011</v>
      </c>
      <c r="B221" s="92" t="s">
        <v>65</v>
      </c>
      <c r="C221" s="93">
        <f t="shared" si="18"/>
        <v>3369.2800000000061</v>
      </c>
      <c r="D221" s="153">
        <v>0.43012355246883072</v>
      </c>
      <c r="E221" s="93">
        <f t="shared" si="24"/>
        <v>5.4254057555173318</v>
      </c>
      <c r="F221" s="154">
        <f t="shared" si="23"/>
        <v>6.9700991192924722</v>
      </c>
      <c r="G221" s="96">
        <f t="shared" si="21"/>
        <v>2.2675912954696567</v>
      </c>
    </row>
    <row r="222" spans="1:7">
      <c r="A222" s="91">
        <v>2011</v>
      </c>
      <c r="B222" s="92" t="s">
        <v>66</v>
      </c>
      <c r="C222" s="93">
        <f t="shared" si="18"/>
        <v>3386.8000000000056</v>
      </c>
      <c r="D222" s="153">
        <v>0.51999240193749685</v>
      </c>
      <c r="E222" s="93">
        <f t="shared" si="24"/>
        <v>5.9736098551578021</v>
      </c>
      <c r="F222" s="154">
        <f t="shared" si="23"/>
        <v>6.6413088655743246</v>
      </c>
      <c r="G222" s="96">
        <f t="shared" si="21"/>
        <v>2.2558609897248156</v>
      </c>
    </row>
    <row r="223" spans="1:7">
      <c r="A223" s="91">
        <v>2011</v>
      </c>
      <c r="B223" s="92" t="s">
        <v>55</v>
      </c>
      <c r="C223" s="93">
        <f t="shared" si="18"/>
        <v>3403.7300000000059</v>
      </c>
      <c r="D223" s="153">
        <v>0.49988189441361186</v>
      </c>
      <c r="E223" s="93">
        <f t="shared" si="24"/>
        <v>6.5033527436802574</v>
      </c>
      <c r="F223" s="154">
        <f t="shared" si="23"/>
        <v>6.5033527436802574</v>
      </c>
      <c r="G223" s="96">
        <f t="shared" si="21"/>
        <v>2.2446404385776795</v>
      </c>
    </row>
    <row r="224" spans="1:7">
      <c r="A224" s="91">
        <f>2012</f>
        <v>2012</v>
      </c>
      <c r="B224" s="92" t="s">
        <v>56</v>
      </c>
      <c r="C224" s="93">
        <f t="shared" si="18"/>
        <v>3422.7900000000059</v>
      </c>
      <c r="D224" s="153">
        <v>0.55997391097413196</v>
      </c>
      <c r="E224" s="93">
        <f t="shared" ref="E224:E235" si="25">+((C224/$C$223)-1)*100</f>
        <v>0.55997391097413196</v>
      </c>
      <c r="F224" s="154">
        <f t="shared" si="23"/>
        <v>6.2179976539371573</v>
      </c>
      <c r="G224" s="96">
        <f t="shared" si="21"/>
        <v>2.2321410311471066</v>
      </c>
    </row>
    <row r="225" spans="1:7">
      <c r="A225" s="91">
        <f>2012</f>
        <v>2012</v>
      </c>
      <c r="B225" s="92" t="s">
        <v>57</v>
      </c>
      <c r="C225" s="93">
        <f t="shared" si="18"/>
        <v>3438.1900000000064</v>
      </c>
      <c r="D225" s="153">
        <v>0.44992535329366756</v>
      </c>
      <c r="E225" s="93">
        <f t="shared" si="25"/>
        <v>1.0124187288651054</v>
      </c>
      <c r="F225" s="154">
        <f t="shared" si="23"/>
        <v>5.8490856474355812</v>
      </c>
      <c r="G225" s="96">
        <f t="shared" si="21"/>
        <v>2.2221430461958196</v>
      </c>
    </row>
    <row r="226" spans="1:7">
      <c r="A226" s="91">
        <f>2012</f>
        <v>2012</v>
      </c>
      <c r="B226" s="92" t="s">
        <v>58</v>
      </c>
      <c r="C226" s="93">
        <f t="shared" si="18"/>
        <v>3445.4100000000062</v>
      </c>
      <c r="D226" s="153">
        <v>0.20999421207088531</v>
      </c>
      <c r="E226" s="93">
        <f t="shared" si="25"/>
        <v>1.2245389616685198</v>
      </c>
      <c r="F226" s="154">
        <f t="shared" si="23"/>
        <v>5.2399919361243663</v>
      </c>
      <c r="G226" s="96">
        <f t="shared" si="21"/>
        <v>2.2174864529910825</v>
      </c>
    </row>
    <row r="227" spans="1:7">
      <c r="A227" s="91">
        <f>2012</f>
        <v>2012</v>
      </c>
      <c r="B227" s="92" t="s">
        <v>59</v>
      </c>
      <c r="C227" s="93">
        <f t="shared" si="18"/>
        <v>3467.4600000000069</v>
      </c>
      <c r="D227" s="153">
        <v>0.63998188894791586</v>
      </c>
      <c r="E227" s="93">
        <f t="shared" si="25"/>
        <v>1.8723576781942475</v>
      </c>
      <c r="F227" s="154">
        <f t="shared" si="23"/>
        <v>5.1041657194300649</v>
      </c>
      <c r="G227" s="96">
        <f t="shared" si="21"/>
        <v>2.2033851868514716</v>
      </c>
    </row>
    <row r="228" spans="1:7">
      <c r="A228" s="91">
        <f>2012</f>
        <v>2012</v>
      </c>
      <c r="B228" s="92" t="s">
        <v>60</v>
      </c>
      <c r="C228" s="93">
        <f t="shared" si="18"/>
        <v>3479.9400000000069</v>
      </c>
      <c r="D228" s="153">
        <v>0.35991763423370848</v>
      </c>
      <c r="E228" s="93">
        <f t="shared" si="25"/>
        <v>2.2390142578876837</v>
      </c>
      <c r="F228" s="154">
        <f t="shared" si="23"/>
        <v>4.9888673678113449</v>
      </c>
      <c r="G228" s="96">
        <f t="shared" si="21"/>
        <v>2.1954832554584285</v>
      </c>
    </row>
    <row r="229" spans="1:7">
      <c r="A229" s="91">
        <f>2012</f>
        <v>2012</v>
      </c>
      <c r="B229" s="92" t="s">
        <v>61</v>
      </c>
      <c r="C229" s="93">
        <f t="shared" si="18"/>
        <v>3482.7200000000062</v>
      </c>
      <c r="D229" s="153">
        <v>7.9886434823572827E-2</v>
      </c>
      <c r="E229" s="93">
        <f t="shared" si="25"/>
        <v>2.3206893613770818</v>
      </c>
      <c r="F229" s="154">
        <f t="shared" si="23"/>
        <v>4.9154252835474699</v>
      </c>
      <c r="G229" s="96">
        <f t="shared" si="21"/>
        <v>2.1937307621629087</v>
      </c>
    </row>
    <row r="230" spans="1:7">
      <c r="A230" s="91">
        <f>2012</f>
        <v>2012</v>
      </c>
      <c r="B230" s="92" t="s">
        <v>62</v>
      </c>
      <c r="C230" s="93">
        <f t="shared" si="18"/>
        <v>3497.7000000000057</v>
      </c>
      <c r="D230" s="153">
        <v>0.43012358156842012</v>
      </c>
      <c r="E230" s="93">
        <f t="shared" si="25"/>
        <v>2.7607947751437267</v>
      </c>
      <c r="F230" s="154">
        <f t="shared" si="23"/>
        <v>5.1984143693268203</v>
      </c>
      <c r="G230" s="96">
        <f t="shared" si="21"/>
        <v>2.1843354204191345</v>
      </c>
    </row>
    <row r="231" spans="1:7">
      <c r="A231" s="91">
        <f>2012</f>
        <v>2012</v>
      </c>
      <c r="B231" s="92" t="s">
        <v>63</v>
      </c>
      <c r="C231" s="93">
        <f t="shared" si="18"/>
        <v>3512.0400000000054</v>
      </c>
      <c r="D231" s="153">
        <v>0.40998370357663294</v>
      </c>
      <c r="E231" s="93">
        <f t="shared" si="25"/>
        <v>3.1820972873876308</v>
      </c>
      <c r="F231" s="154">
        <f t="shared" si="23"/>
        <v>5.2403840391230583</v>
      </c>
      <c r="G231" s="96">
        <f t="shared" si="21"/>
        <v>2.1754165670094894</v>
      </c>
    </row>
    <row r="232" spans="1:7">
      <c r="A232" s="91">
        <f>2012</f>
        <v>2012</v>
      </c>
      <c r="B232" s="92" t="s">
        <v>64</v>
      </c>
      <c r="C232" s="93">
        <f t="shared" si="18"/>
        <v>3532.0600000000054</v>
      </c>
      <c r="D232" s="153">
        <v>0.57003906561428064</v>
      </c>
      <c r="E232" s="93">
        <f t="shared" si="25"/>
        <v>3.7702755506458852</v>
      </c>
      <c r="F232" s="154">
        <f t="shared" si="23"/>
        <v>5.2822033772001564</v>
      </c>
      <c r="G232" s="96">
        <f t="shared" si="21"/>
        <v>2.1630861310396785</v>
      </c>
    </row>
    <row r="233" spans="1:7">
      <c r="A233" s="91">
        <f>2012</f>
        <v>2012</v>
      </c>
      <c r="B233" s="92" t="s">
        <v>65</v>
      </c>
      <c r="C233" s="93">
        <f t="shared" si="18"/>
        <v>3552.900000000006</v>
      </c>
      <c r="D233" s="153">
        <v>0.59002395202800706</v>
      </c>
      <c r="E233" s="93">
        <f t="shared" si="25"/>
        <v>4.3825450314801673</v>
      </c>
      <c r="F233" s="154">
        <f t="shared" si="23"/>
        <v>5.449829043593879</v>
      </c>
      <c r="G233" s="96">
        <f t="shared" si="21"/>
        <v>2.1503982662050736</v>
      </c>
    </row>
    <row r="234" spans="1:7">
      <c r="A234" s="91">
        <f>2012</f>
        <v>2012</v>
      </c>
      <c r="B234" s="92" t="s">
        <v>66</v>
      </c>
      <c r="C234" s="93">
        <f t="shared" si="18"/>
        <v>3574.2200000000057</v>
      </c>
      <c r="D234" s="153">
        <v>0.60007317965604656</v>
      </c>
      <c r="E234" s="93">
        <f t="shared" si="25"/>
        <v>5.0089166884564662</v>
      </c>
      <c r="F234" s="154">
        <f t="shared" si="23"/>
        <v>5.5338372505019384</v>
      </c>
      <c r="G234" s="96">
        <f t="shared" si="21"/>
        <v>2.1375712742920152</v>
      </c>
    </row>
    <row r="235" spans="1:7">
      <c r="A235" s="91">
        <f>2012</f>
        <v>2012</v>
      </c>
      <c r="B235" s="92" t="s">
        <v>55</v>
      </c>
      <c r="C235" s="93">
        <f t="shared" si="18"/>
        <v>3602.4600000000059</v>
      </c>
      <c r="D235" s="153">
        <v>0.79010245592046058</v>
      </c>
      <c r="E235" s="93">
        <f t="shared" si="25"/>
        <v>5.8385947181474274</v>
      </c>
      <c r="F235" s="154">
        <f t="shared" si="23"/>
        <v>5.8385947181474274</v>
      </c>
      <c r="G235" s="96">
        <f t="shared" si="21"/>
        <v>2.1208146655341089</v>
      </c>
    </row>
    <row r="236" spans="1:7">
      <c r="A236" s="91">
        <f>2013</f>
        <v>2013</v>
      </c>
      <c r="B236" s="92" t="s">
        <v>56</v>
      </c>
      <c r="C236" s="93">
        <f t="shared" si="18"/>
        <v>3633.4400000000064</v>
      </c>
      <c r="D236" s="153">
        <v>0.85996791081650592</v>
      </c>
      <c r="E236" s="93">
        <f t="shared" ref="E236:E247" si="26">+((C236/$C$235)-1)*100</f>
        <v>0.85996791081650592</v>
      </c>
      <c r="F236" s="154">
        <f t="shared" si="23"/>
        <v>6.1543360825525362</v>
      </c>
      <c r="G236" s="96">
        <f t="shared" si="21"/>
        <v>2.1027318464045108</v>
      </c>
    </row>
    <row r="237" spans="1:7">
      <c r="A237" s="91">
        <f>2013</f>
        <v>2013</v>
      </c>
      <c r="B237" s="92" t="s">
        <v>57</v>
      </c>
      <c r="C237" s="93">
        <f t="shared" si="18"/>
        <v>3655.2400000000061</v>
      </c>
      <c r="D237" s="153">
        <v>0.59998238583820473</v>
      </c>
      <c r="E237" s="93">
        <f t="shared" si="26"/>
        <v>1.4651099526434841</v>
      </c>
      <c r="F237" s="154">
        <f t="shared" si="23"/>
        <v>6.3129146440423334</v>
      </c>
      <c r="G237" s="96">
        <f t="shared" si="21"/>
        <v>2.0901910681651561</v>
      </c>
    </row>
    <row r="238" spans="1:7">
      <c r="A238" s="91">
        <f>2013</f>
        <v>2013</v>
      </c>
      <c r="B238" s="92" t="s">
        <v>58</v>
      </c>
      <c r="C238" s="93">
        <f t="shared" si="18"/>
        <v>3672.4200000000064</v>
      </c>
      <c r="D238" s="153">
        <v>0.47001017717032134</v>
      </c>
      <c r="E238" s="93">
        <f t="shared" si="26"/>
        <v>1.94200629569794</v>
      </c>
      <c r="F238" s="154">
        <f t="shared" si="23"/>
        <v>6.588765923358908</v>
      </c>
      <c r="G238" s="96">
        <f t="shared" si="21"/>
        <v>2.0804129157340405</v>
      </c>
    </row>
    <row r="239" spans="1:7">
      <c r="A239" s="91">
        <f>2013</f>
        <v>2013</v>
      </c>
      <c r="B239" s="92" t="s">
        <v>59</v>
      </c>
      <c r="C239" s="93">
        <f t="shared" si="18"/>
        <v>3692.6200000000067</v>
      </c>
      <c r="D239" s="153">
        <v>0.55004601870156655</v>
      </c>
      <c r="E239" s="93">
        <f t="shared" si="26"/>
        <v>2.5027342427119459</v>
      </c>
      <c r="F239" s="154">
        <f t="shared" si="23"/>
        <v>6.4935139842997369</v>
      </c>
      <c r="G239" s="96">
        <f t="shared" si="21"/>
        <v>2.0690322860191421</v>
      </c>
    </row>
    <row r="240" spans="1:7">
      <c r="A240" s="91">
        <f>2013</f>
        <v>2013</v>
      </c>
      <c r="B240" s="92" t="s">
        <v>60</v>
      </c>
      <c r="C240" s="93">
        <f t="shared" ref="C240:C303" si="27">+C239*(1+D240/100)</f>
        <v>3706.280000000007</v>
      </c>
      <c r="D240" s="153">
        <v>0.36992704367089235</v>
      </c>
      <c r="E240" s="93">
        <f t="shared" si="26"/>
        <v>2.8819195771778494</v>
      </c>
      <c r="F240" s="154">
        <f t="shared" si="23"/>
        <v>6.504135128766575</v>
      </c>
      <c r="G240" s="96">
        <f t="shared" si="21"/>
        <v>2.0614065855790722</v>
      </c>
    </row>
    <row r="241" spans="1:7">
      <c r="A241" s="91">
        <f>2013</f>
        <v>2013</v>
      </c>
      <c r="B241" s="92" t="s">
        <v>61</v>
      </c>
      <c r="C241" s="93">
        <f t="shared" si="27"/>
        <v>3715.9200000000073</v>
      </c>
      <c r="D241" s="153">
        <v>0.26009907508337538</v>
      </c>
      <c r="E241" s="93">
        <f t="shared" si="26"/>
        <v>3.1495144984261092</v>
      </c>
      <c r="F241" s="154">
        <f t="shared" si="23"/>
        <v>6.6959158358983917</v>
      </c>
      <c r="G241" s="96">
        <f t="shared" si="21"/>
        <v>2.0560587956683682</v>
      </c>
    </row>
    <row r="242" spans="1:7">
      <c r="A242" s="91">
        <f>2013</f>
        <v>2013</v>
      </c>
      <c r="B242" s="92" t="s">
        <v>62</v>
      </c>
      <c r="C242" s="93">
        <f t="shared" si="27"/>
        <v>3717.030000000007</v>
      </c>
      <c r="D242" s="153">
        <v>2.9871471936959715E-2</v>
      </c>
      <c r="E242" s="93">
        <f t="shared" si="26"/>
        <v>3.1803267767026133</v>
      </c>
      <c r="F242" s="154">
        <f t="shared" si="23"/>
        <v>6.2706921691397577</v>
      </c>
      <c r="G242" s="96">
        <f t="shared" si="21"/>
        <v>2.0554448040505471</v>
      </c>
    </row>
    <row r="243" spans="1:7">
      <c r="A243" s="91">
        <f>2013</f>
        <v>2013</v>
      </c>
      <c r="B243" s="92" t="s">
        <v>63</v>
      </c>
      <c r="C243" s="93">
        <f t="shared" si="27"/>
        <v>3725.9500000000071</v>
      </c>
      <c r="D243" s="153">
        <v>0.23997654040994743</v>
      </c>
      <c r="E243" s="93">
        <f t="shared" si="26"/>
        <v>3.4279353552850278</v>
      </c>
      <c r="F243" s="154">
        <f t="shared" si="23"/>
        <v>6.0907620642134397</v>
      </c>
      <c r="G243" s="96">
        <f t="shared" si="21"/>
        <v>2.0505240274292476</v>
      </c>
    </row>
    <row r="244" spans="1:7">
      <c r="A244" s="91">
        <f>2013</f>
        <v>2013</v>
      </c>
      <c r="B244" s="92" t="s">
        <v>64</v>
      </c>
      <c r="C244" s="93">
        <f t="shared" si="27"/>
        <v>3738.9900000000075</v>
      </c>
      <c r="D244" s="153">
        <v>0.34997785799595338</v>
      </c>
      <c r="E244" s="93">
        <f t="shared" si="26"/>
        <v>3.7899102280108954</v>
      </c>
      <c r="F244" s="154">
        <f t="shared" si="23"/>
        <v>5.8586207482319574</v>
      </c>
      <c r="G244" s="96">
        <f t="shared" si="21"/>
        <v>2.0433726755086274</v>
      </c>
    </row>
    <row r="245" spans="1:7">
      <c r="A245" s="91">
        <f>2013</f>
        <v>2013</v>
      </c>
      <c r="B245" s="92" t="s">
        <v>65</v>
      </c>
      <c r="C245" s="93">
        <f t="shared" si="27"/>
        <v>3760.3000000000075</v>
      </c>
      <c r="D245" s="153">
        <v>0.56994001053760623</v>
      </c>
      <c r="E245" s="93">
        <f t="shared" si="26"/>
        <v>4.3814504533013832</v>
      </c>
      <c r="F245" s="154">
        <f t="shared" si="23"/>
        <v>5.837484871513432</v>
      </c>
      <c r="G245" s="96">
        <f t="shared" si="21"/>
        <v>2.0317926761162681</v>
      </c>
    </row>
    <row r="246" spans="1:7">
      <c r="A246" s="91">
        <f>2013</f>
        <v>2013</v>
      </c>
      <c r="B246" s="92" t="s">
        <v>66</v>
      </c>
      <c r="C246" s="93">
        <f t="shared" si="27"/>
        <v>3780.6100000000079</v>
      </c>
      <c r="D246" s="153">
        <v>0.54011648006808688</v>
      </c>
      <c r="E246" s="93">
        <f t="shared" si="26"/>
        <v>4.9452318693337771</v>
      </c>
      <c r="F246" s="154">
        <f t="shared" si="23"/>
        <v>5.7744067237047947</v>
      </c>
      <c r="G246" s="96">
        <f t="shared" si="21"/>
        <v>2.0208775832471488</v>
      </c>
    </row>
    <row r="247" spans="1:7">
      <c r="A247" s="91">
        <f>2013</f>
        <v>2013</v>
      </c>
      <c r="B247" s="92" t="s">
        <v>55</v>
      </c>
      <c r="C247" s="93">
        <f t="shared" si="27"/>
        <v>3815.3900000000076</v>
      </c>
      <c r="D247" s="153">
        <v>0.91995736137817641</v>
      </c>
      <c r="E247" s="93">
        <f t="shared" si="26"/>
        <v>5.9106832553311062</v>
      </c>
      <c r="F247" s="154">
        <f t="shared" si="23"/>
        <v>5.9106832553311062</v>
      </c>
      <c r="G247" s="96">
        <f t="shared" si="21"/>
        <v>2.0024558433082866</v>
      </c>
    </row>
    <row r="248" spans="1:7">
      <c r="A248" s="91">
        <f>2014</f>
        <v>2014</v>
      </c>
      <c r="B248" s="92" t="s">
        <v>56</v>
      </c>
      <c r="C248" s="93">
        <f t="shared" si="27"/>
        <v>3836.3700000000072</v>
      </c>
      <c r="D248" s="153">
        <v>0.54987825622019315</v>
      </c>
      <c r="E248" s="93">
        <f t="shared" ref="E248:E259" si="28">+((C248/$C$247)-1)*100</f>
        <v>0.54987825622019315</v>
      </c>
      <c r="F248" s="154">
        <f t="shared" si="23"/>
        <v>5.5850653925756388</v>
      </c>
      <c r="G248" s="96">
        <f t="shared" si="21"/>
        <v>1.991504990394567</v>
      </c>
    </row>
    <row r="249" spans="1:7">
      <c r="A249" s="91">
        <f>2014</f>
        <v>2014</v>
      </c>
      <c r="B249" s="92" t="s">
        <v>57</v>
      </c>
      <c r="C249" s="93">
        <f t="shared" si="27"/>
        <v>3862.840000000007</v>
      </c>
      <c r="D249" s="153">
        <v>0.68997515880897531</v>
      </c>
      <c r="E249" s="93">
        <f t="shared" si="28"/>
        <v>1.2436474384007745</v>
      </c>
      <c r="F249" s="154">
        <f t="shared" si="23"/>
        <v>5.6795176240137524</v>
      </c>
      <c r="G249" s="96">
        <f t="shared" si="21"/>
        <v>1.9778582597260059</v>
      </c>
    </row>
    <row r="250" spans="1:7">
      <c r="A250" s="91">
        <f>2014</f>
        <v>2014</v>
      </c>
      <c r="B250" s="92" t="s">
        <v>58</v>
      </c>
      <c r="C250" s="93">
        <f t="shared" si="27"/>
        <v>3898.3800000000069</v>
      </c>
      <c r="D250" s="153">
        <v>0.92004846175353094</v>
      </c>
      <c r="E250" s="93">
        <f t="shared" si="28"/>
        <v>2.1751380592809344</v>
      </c>
      <c r="F250" s="154">
        <f t="shared" si="23"/>
        <v>6.1528910091982913</v>
      </c>
      <c r="G250" s="96">
        <f t="shared" si="21"/>
        <v>1.9598269024569193</v>
      </c>
    </row>
    <row r="251" spans="1:7">
      <c r="A251" s="91">
        <f>2014</f>
        <v>2014</v>
      </c>
      <c r="B251" s="92" t="s">
        <v>59</v>
      </c>
      <c r="C251" s="93">
        <f t="shared" si="27"/>
        <v>3924.5000000000068</v>
      </c>
      <c r="D251" s="153">
        <v>0.67002190653553395</v>
      </c>
      <c r="E251" s="93">
        <f t="shared" si="28"/>
        <v>2.8597338673110428</v>
      </c>
      <c r="F251" s="154">
        <f t="shared" si="23"/>
        <v>6.2795521878774352</v>
      </c>
      <c r="G251" s="96">
        <f t="shared" si="21"/>
        <v>1.9467830296853117</v>
      </c>
    </row>
    <row r="252" spans="1:7">
      <c r="A252" s="91">
        <f>2014</f>
        <v>2014</v>
      </c>
      <c r="B252" s="92" t="s">
        <v>60</v>
      </c>
      <c r="C252" s="93">
        <f t="shared" si="27"/>
        <v>3942.550000000007</v>
      </c>
      <c r="D252" s="153">
        <v>0.459931201426933</v>
      </c>
      <c r="E252" s="93">
        <f t="shared" si="28"/>
        <v>3.3328178770715144</v>
      </c>
      <c r="F252" s="154">
        <f t="shared" si="23"/>
        <v>6.374855650409561</v>
      </c>
      <c r="G252" s="96">
        <f t="shared" si="21"/>
        <v>1.9378701601755222</v>
      </c>
    </row>
    <row r="253" spans="1:7">
      <c r="A253" s="91">
        <f>2014</f>
        <v>2014</v>
      </c>
      <c r="B253" s="92" t="s">
        <v>61</v>
      </c>
      <c r="C253" s="93">
        <f t="shared" si="27"/>
        <v>3958.320000000007</v>
      </c>
      <c r="D253" s="153">
        <v>0.39999492714106744</v>
      </c>
      <c r="E253" s="93">
        <f t="shared" si="28"/>
        <v>3.746143906651711</v>
      </c>
      <c r="F253" s="154">
        <f t="shared" si="23"/>
        <v>6.523283601369223</v>
      </c>
      <c r="G253" s="96">
        <f t="shared" si="21"/>
        <v>1.9301496594514858</v>
      </c>
    </row>
    <row r="254" spans="1:7">
      <c r="A254" s="91">
        <f>2014</f>
        <v>2014</v>
      </c>
      <c r="B254" s="92" t="s">
        <v>62</v>
      </c>
      <c r="C254" s="93">
        <f t="shared" si="27"/>
        <v>3958.7200000000066</v>
      </c>
      <c r="D254" s="153">
        <v>1.0105297196782992E-2</v>
      </c>
      <c r="E254" s="93">
        <f t="shared" si="28"/>
        <v>3.7566277628236833</v>
      </c>
      <c r="F254" s="154">
        <f t="shared" si="23"/>
        <v>6.5022343107265623</v>
      </c>
      <c r="G254" s="96">
        <f t="shared" si="21"/>
        <v>1.9299546318001792</v>
      </c>
    </row>
    <row r="255" spans="1:7">
      <c r="A255" s="91">
        <f>2014</f>
        <v>2014</v>
      </c>
      <c r="B255" s="92" t="s">
        <v>63</v>
      </c>
      <c r="C255" s="93">
        <f t="shared" si="27"/>
        <v>3968.6200000000063</v>
      </c>
      <c r="D255" s="153">
        <v>0.25008083420903215</v>
      </c>
      <c r="E255" s="93">
        <f t="shared" si="28"/>
        <v>4.0161032030801236</v>
      </c>
      <c r="F255" s="154">
        <f t="shared" si="23"/>
        <v>6.5129698466162678</v>
      </c>
      <c r="G255" s="96">
        <f t="shared" si="21"/>
        <v>1.9251402250656415</v>
      </c>
    </row>
    <row r="256" spans="1:7">
      <c r="A256" s="91">
        <f>2014</f>
        <v>2014</v>
      </c>
      <c r="B256" s="92" t="s">
        <v>64</v>
      </c>
      <c r="C256" s="93">
        <f t="shared" si="27"/>
        <v>3991.2400000000061</v>
      </c>
      <c r="D256" s="153">
        <v>0.56997142583568028</v>
      </c>
      <c r="E256" s="93">
        <f t="shared" si="28"/>
        <v>4.608965269605414</v>
      </c>
      <c r="F256" s="154">
        <f t="shared" si="23"/>
        <v>6.7464743152562123</v>
      </c>
      <c r="G256" s="96">
        <f t="shared" si="21"/>
        <v>1.9142296629618882</v>
      </c>
    </row>
    <row r="257" spans="1:7">
      <c r="A257" s="91">
        <f>2014</f>
        <v>2014</v>
      </c>
      <c r="B257" s="92" t="s">
        <v>65</v>
      </c>
      <c r="C257" s="93">
        <f t="shared" si="27"/>
        <v>4008.0000000000064</v>
      </c>
      <c r="D257" s="153">
        <v>0.41991962397651683</v>
      </c>
      <c r="E257" s="93">
        <f t="shared" si="28"/>
        <v>5.0482388432112613</v>
      </c>
      <c r="F257" s="154">
        <f t="shared" si="23"/>
        <v>6.5872403797568868</v>
      </c>
      <c r="G257" s="96">
        <f t="shared" si="21"/>
        <v>1.9062250499002011</v>
      </c>
    </row>
    <row r="258" spans="1:7">
      <c r="A258" s="91">
        <f>2014</f>
        <v>2014</v>
      </c>
      <c r="B258" s="92" t="s">
        <v>66</v>
      </c>
      <c r="C258" s="93">
        <f t="shared" si="27"/>
        <v>4028.4400000000064</v>
      </c>
      <c r="D258" s="153">
        <v>0.50998003992015484</v>
      </c>
      <c r="E258" s="93">
        <f t="shared" si="28"/>
        <v>5.5839638935992975</v>
      </c>
      <c r="F258" s="154">
        <f t="shared" si="23"/>
        <v>6.5552913418733594</v>
      </c>
      <c r="G258" s="96">
        <f t="shared" si="21"/>
        <v>1.896553008112323</v>
      </c>
    </row>
    <row r="259" spans="1:7">
      <c r="A259" s="91">
        <f>2014</f>
        <v>2014</v>
      </c>
      <c r="B259" s="92" t="s">
        <v>55</v>
      </c>
      <c r="C259" s="93">
        <f t="shared" si="27"/>
        <v>4059.8600000000065</v>
      </c>
      <c r="D259" s="153">
        <v>0.77995452333905479</v>
      </c>
      <c r="E259" s="93">
        <f t="shared" si="28"/>
        <v>6.4074707959081101</v>
      </c>
      <c r="F259" s="154">
        <f t="shared" si="23"/>
        <v>6.4074707959081101</v>
      </c>
      <c r="G259" s="96">
        <f t="shared" si="21"/>
        <v>1.8818752370771421</v>
      </c>
    </row>
    <row r="260" spans="1:7">
      <c r="A260" s="91">
        <f>2015</f>
        <v>2015</v>
      </c>
      <c r="B260" s="92" t="s">
        <v>56</v>
      </c>
      <c r="C260" s="93">
        <f t="shared" si="27"/>
        <v>4110.2000000000062</v>
      </c>
      <c r="D260" s="153">
        <v>1.2399442345302436</v>
      </c>
      <c r="E260" s="93">
        <f t="shared" ref="E260:E271" si="29">+((C260/$C$259)-1)*100</f>
        <v>1.2399442345302436</v>
      </c>
      <c r="F260" s="154">
        <f t="shared" si="23"/>
        <v>7.1377369753177655</v>
      </c>
      <c r="G260" s="96">
        <f t="shared" si="21"/>
        <v>1.858826821079268</v>
      </c>
    </row>
    <row r="261" spans="1:7">
      <c r="A261" s="91">
        <f>2015</f>
        <v>2015</v>
      </c>
      <c r="B261" s="92" t="s">
        <v>57</v>
      </c>
      <c r="C261" s="93">
        <f t="shared" si="27"/>
        <v>4160.3400000000065</v>
      </c>
      <c r="D261" s="153">
        <v>1.2198919760595617</v>
      </c>
      <c r="E261" s="93">
        <f t="shared" si="29"/>
        <v>2.474962190814467</v>
      </c>
      <c r="F261" s="154">
        <f t="shared" si="23"/>
        <v>7.7015874330802925</v>
      </c>
      <c r="G261" s="96">
        <f t="shared" si="21"/>
        <v>1.8364244268497303</v>
      </c>
    </row>
    <row r="262" spans="1:7">
      <c r="A262" s="91">
        <f>2015</f>
        <v>2015</v>
      </c>
      <c r="B262" s="92" t="s">
        <v>58</v>
      </c>
      <c r="C262" s="93">
        <f t="shared" si="27"/>
        <v>4215.2600000000066</v>
      </c>
      <c r="D262" s="153">
        <v>1.3200844161775249</v>
      </c>
      <c r="E262" s="93">
        <f t="shared" si="29"/>
        <v>3.8277181971792196</v>
      </c>
      <c r="F262" s="154">
        <f t="shared" si="23"/>
        <v>8.1285046609103961</v>
      </c>
      <c r="G262" s="96">
        <f t="shared" si="21"/>
        <v>1.81249792420871</v>
      </c>
    </row>
    <row r="263" spans="1:7">
      <c r="A263" s="91">
        <f>2015</f>
        <v>2015</v>
      </c>
      <c r="B263" s="92" t="s">
        <v>59</v>
      </c>
      <c r="C263" s="93">
        <f t="shared" si="27"/>
        <v>4245.1900000000069</v>
      </c>
      <c r="D263" s="153">
        <v>0.71003923838623972</v>
      </c>
      <c r="E263" s="93">
        <f t="shared" si="29"/>
        <v>4.564935736700293</v>
      </c>
      <c r="F263" s="154">
        <f t="shared" si="23"/>
        <v>8.1714868136068208</v>
      </c>
      <c r="G263" s="96">
        <f t="shared" ref="G263:G326" si="30">+$C$396/C263</f>
        <v>1.7997192116253939</v>
      </c>
    </row>
    <row r="264" spans="1:7">
      <c r="A264" s="91">
        <f>2015</f>
        <v>2015</v>
      </c>
      <c r="B264" s="92" t="s">
        <v>60</v>
      </c>
      <c r="C264" s="93">
        <f t="shared" si="27"/>
        <v>4276.6000000000076</v>
      </c>
      <c r="D264" s="153">
        <v>0.73989621194812116</v>
      </c>
      <c r="E264" s="93">
        <f t="shared" si="29"/>
        <v>5.3386077352421291</v>
      </c>
      <c r="F264" s="154">
        <f t="shared" si="23"/>
        <v>8.4729426386475737</v>
      </c>
      <c r="G264" s="96">
        <f t="shared" si="30"/>
        <v>1.786500958705515</v>
      </c>
    </row>
    <row r="265" spans="1:7">
      <c r="A265" s="91">
        <f>2015</f>
        <v>2015</v>
      </c>
      <c r="B265" s="92" t="s">
        <v>61</v>
      </c>
      <c r="C265" s="93">
        <f t="shared" si="27"/>
        <v>4310.3900000000076</v>
      </c>
      <c r="D265" s="153">
        <v>0.79011364167795861</v>
      </c>
      <c r="E265" s="93">
        <f t="shared" si="29"/>
        <v>6.1709024449119187</v>
      </c>
      <c r="F265" s="154">
        <f t="shared" si="23"/>
        <v>8.8944299601851249</v>
      </c>
      <c r="G265" s="96">
        <f t="shared" si="30"/>
        <v>1.7724962242395712</v>
      </c>
    </row>
    <row r="266" spans="1:7">
      <c r="A266" s="91">
        <f>2015</f>
        <v>2015</v>
      </c>
      <c r="B266" s="92" t="s">
        <v>62</v>
      </c>
      <c r="C266" s="93">
        <f t="shared" si="27"/>
        <v>4337.1100000000069</v>
      </c>
      <c r="D266" s="153">
        <v>0.61989750347415384</v>
      </c>
      <c r="E266" s="93">
        <f t="shared" si="29"/>
        <v>6.8290532185838915</v>
      </c>
      <c r="F266" s="154">
        <f t="shared" si="23"/>
        <v>9.5583926117532858</v>
      </c>
      <c r="G266" s="96">
        <f t="shared" si="30"/>
        <v>1.761576257000631</v>
      </c>
    </row>
    <row r="267" spans="1:7">
      <c r="A267" s="91">
        <f>2015</f>
        <v>2015</v>
      </c>
      <c r="B267" s="92" t="s">
        <v>63</v>
      </c>
      <c r="C267" s="93">
        <f t="shared" si="27"/>
        <v>4346.6500000000069</v>
      </c>
      <c r="D267" s="153">
        <v>0.21996214068815689</v>
      </c>
      <c r="E267" s="93">
        <f t="shared" si="29"/>
        <v>7.0640366909203722</v>
      </c>
      <c r="F267" s="154">
        <f t="shared" si="23"/>
        <v>9.5254773699674047</v>
      </c>
      <c r="G267" s="96">
        <f t="shared" si="30"/>
        <v>1.7577099605443287</v>
      </c>
    </row>
    <row r="268" spans="1:7">
      <c r="A268" s="91">
        <f>2015</f>
        <v>2015</v>
      </c>
      <c r="B268" s="92" t="s">
        <v>64</v>
      </c>
      <c r="C268" s="93">
        <f t="shared" si="27"/>
        <v>4370.1200000000072</v>
      </c>
      <c r="D268" s="153">
        <v>0.53995605811372194</v>
      </c>
      <c r="E268" s="93">
        <f t="shared" si="29"/>
        <v>7.6421354430941113</v>
      </c>
      <c r="F268" s="154">
        <f t="shared" si="23"/>
        <v>9.4927892083663359</v>
      </c>
      <c r="G268" s="96">
        <f t="shared" si="30"/>
        <v>1.7482700703870846</v>
      </c>
    </row>
    <row r="269" spans="1:7">
      <c r="A269" s="91">
        <f>2015</f>
        <v>2015</v>
      </c>
      <c r="B269" s="92" t="s">
        <v>65</v>
      </c>
      <c r="C269" s="93">
        <f t="shared" si="27"/>
        <v>4405.9500000000071</v>
      </c>
      <c r="D269" s="153">
        <v>0.81988595278847942</v>
      </c>
      <c r="E269" s="93">
        <f t="shared" si="29"/>
        <v>8.5246781908735692</v>
      </c>
      <c r="F269" s="154">
        <f t="shared" si="23"/>
        <v>9.9288922155688741</v>
      </c>
      <c r="G269" s="96">
        <f t="shared" si="30"/>
        <v>1.7340528149434302</v>
      </c>
    </row>
    <row r="270" spans="1:7">
      <c r="A270" s="91">
        <f>2015</f>
        <v>2015</v>
      </c>
      <c r="B270" s="92" t="s">
        <v>66</v>
      </c>
      <c r="C270" s="93">
        <f t="shared" si="27"/>
        <v>4450.4500000000071</v>
      </c>
      <c r="D270" s="153">
        <v>1.009997843824828</v>
      </c>
      <c r="E270" s="93">
        <f t="shared" si="29"/>
        <v>9.6207751006192268</v>
      </c>
      <c r="F270" s="154">
        <f t="shared" si="23"/>
        <v>10.475767294535853</v>
      </c>
      <c r="G270" s="96">
        <f t="shared" si="30"/>
        <v>1.7167140401532444</v>
      </c>
    </row>
    <row r="271" spans="1:7">
      <c r="A271" s="91">
        <f>2015</f>
        <v>2015</v>
      </c>
      <c r="B271" s="92" t="s">
        <v>55</v>
      </c>
      <c r="C271" s="93">
        <f t="shared" si="27"/>
        <v>4493.1700000000083</v>
      </c>
      <c r="D271" s="153">
        <v>0.95990293116428038</v>
      </c>
      <c r="E271" s="93">
        <f t="shared" si="29"/>
        <v>10.673028133975082</v>
      </c>
      <c r="F271" s="154">
        <f t="shared" si="23"/>
        <v>10.673028133975082</v>
      </c>
      <c r="G271" s="96">
        <f t="shared" si="30"/>
        <v>1.7003919281932365</v>
      </c>
    </row>
    <row r="272" spans="1:7">
      <c r="A272" s="91">
        <f>2016</f>
        <v>2016</v>
      </c>
      <c r="B272" s="92" t="s">
        <v>56</v>
      </c>
      <c r="C272" s="93">
        <f t="shared" si="27"/>
        <v>4550.2300000000077</v>
      </c>
      <c r="D272" s="153">
        <v>1.2699274676898353</v>
      </c>
      <c r="E272" s="93">
        <f t="shared" ref="E272:E283" si="31">+((C272/$C$271)-1)*100</f>
        <v>1.2699274676898353</v>
      </c>
      <c r="F272" s="154">
        <f t="shared" si="23"/>
        <v>10.705805070312913</v>
      </c>
      <c r="G272" s="96">
        <f t="shared" si="30"/>
        <v>1.6790689701399721</v>
      </c>
    </row>
    <row r="273" spans="1:7">
      <c r="A273" s="91">
        <f>2016</f>
        <v>2016</v>
      </c>
      <c r="B273" s="92" t="s">
        <v>57</v>
      </c>
      <c r="C273" s="93">
        <f t="shared" si="27"/>
        <v>4591.1800000000085</v>
      </c>
      <c r="D273" s="153">
        <v>0.89995450779412067</v>
      </c>
      <c r="E273" s="93">
        <f t="shared" si="31"/>
        <v>2.1813107449751623</v>
      </c>
      <c r="F273" s="154">
        <f t="shared" si="23"/>
        <v>10.35588437483479</v>
      </c>
      <c r="G273" s="96">
        <f t="shared" si="30"/>
        <v>1.6640928911521666</v>
      </c>
    </row>
    <row r="274" spans="1:7">
      <c r="A274" s="91">
        <f>2016</f>
        <v>2016</v>
      </c>
      <c r="B274" s="92" t="s">
        <v>58</v>
      </c>
      <c r="C274" s="93">
        <f t="shared" si="27"/>
        <v>4610.9200000000092</v>
      </c>
      <c r="D274" s="153">
        <v>0.42995482642806948</v>
      </c>
      <c r="E274" s="93">
        <f t="shared" si="31"/>
        <v>2.6206442222306503</v>
      </c>
      <c r="F274" s="154">
        <f t="shared" si="23"/>
        <v>9.3863723708621052</v>
      </c>
      <c r="G274" s="96">
        <f t="shared" si="30"/>
        <v>1.6569686743643359</v>
      </c>
    </row>
    <row r="275" spans="1:7">
      <c r="A275" s="91">
        <f>2016</f>
        <v>2016</v>
      </c>
      <c r="B275" s="92" t="s">
        <v>59</v>
      </c>
      <c r="C275" s="93">
        <f t="shared" si="27"/>
        <v>4639.0500000000093</v>
      </c>
      <c r="D275" s="153">
        <v>0.61007347774413301</v>
      </c>
      <c r="E275" s="93">
        <f t="shared" si="31"/>
        <v>3.2467055553206503</v>
      </c>
      <c r="F275" s="154">
        <f t="shared" ref="F275:F338" si="32">100*((C275/C263)-1)</f>
        <v>9.2777943978950681</v>
      </c>
      <c r="G275" s="96">
        <f t="shared" si="30"/>
        <v>1.6469212446513841</v>
      </c>
    </row>
    <row r="276" spans="1:7">
      <c r="A276" s="91">
        <f>2016</f>
        <v>2016</v>
      </c>
      <c r="B276" s="92" t="s">
        <v>60</v>
      </c>
      <c r="C276" s="93">
        <f t="shared" si="27"/>
        <v>4675.2300000000087</v>
      </c>
      <c r="D276" s="153">
        <v>0.77990105732852477</v>
      </c>
      <c r="E276" s="93">
        <f t="shared" si="31"/>
        <v>4.0519277036034751</v>
      </c>
      <c r="F276" s="154">
        <f t="shared" si="32"/>
        <v>9.3211897301594746</v>
      </c>
      <c r="G276" s="96">
        <f t="shared" si="30"/>
        <v>1.6341762865142473</v>
      </c>
    </row>
    <row r="277" spans="1:7">
      <c r="A277" s="91">
        <f>2016</f>
        <v>2016</v>
      </c>
      <c r="B277" s="92" t="s">
        <v>61</v>
      </c>
      <c r="C277" s="93">
        <f t="shared" si="27"/>
        <v>4691.5900000000092</v>
      </c>
      <c r="D277" s="153">
        <v>0.34992930829071955</v>
      </c>
      <c r="E277" s="93">
        <f t="shared" si="31"/>
        <v>4.4160358944798528</v>
      </c>
      <c r="F277" s="154">
        <f t="shared" si="32"/>
        <v>8.8437473175281269</v>
      </c>
      <c r="G277" s="96">
        <f t="shared" si="30"/>
        <v>1.6284777655336471</v>
      </c>
    </row>
    <row r="278" spans="1:7">
      <c r="A278" s="91">
        <f>2016</f>
        <v>2016</v>
      </c>
      <c r="B278" s="92" t="s">
        <v>62</v>
      </c>
      <c r="C278" s="93">
        <f t="shared" si="27"/>
        <v>4715.9900000000089</v>
      </c>
      <c r="D278" s="153">
        <v>0.5200795465929442</v>
      </c>
      <c r="E278" s="93">
        <f t="shared" si="31"/>
        <v>4.9590823405301965</v>
      </c>
      <c r="F278" s="154">
        <f t="shared" si="32"/>
        <v>8.7357710549190948</v>
      </c>
      <c r="G278" s="96">
        <f t="shared" si="30"/>
        <v>1.6200522053693931</v>
      </c>
    </row>
    <row r="279" spans="1:7">
      <c r="A279" s="91">
        <f>2016</f>
        <v>2016</v>
      </c>
      <c r="B279" s="92" t="s">
        <v>63</v>
      </c>
      <c r="C279" s="93">
        <f t="shared" si="27"/>
        <v>4736.7400000000089</v>
      </c>
      <c r="D279" s="153">
        <v>0.43999245121384423</v>
      </c>
      <c r="E279" s="93">
        <f t="shared" si="31"/>
        <v>5.420894379691843</v>
      </c>
      <c r="F279" s="154">
        <f t="shared" si="32"/>
        <v>8.9744976016012714</v>
      </c>
      <c r="G279" s="96">
        <f t="shared" si="30"/>
        <v>1.6129553237036451</v>
      </c>
    </row>
    <row r="280" spans="1:7">
      <c r="A280" s="91">
        <f>2016</f>
        <v>2016</v>
      </c>
      <c r="B280" s="92" t="s">
        <v>64</v>
      </c>
      <c r="C280" s="93">
        <f t="shared" si="27"/>
        <v>4740.5300000000088</v>
      </c>
      <c r="D280" s="153">
        <v>8.0012835832232732E-2</v>
      </c>
      <c r="E280" s="93">
        <f t="shared" si="31"/>
        <v>5.5052446268447408</v>
      </c>
      <c r="F280" s="154">
        <f t="shared" si="32"/>
        <v>8.4759686232872546</v>
      </c>
      <c r="G280" s="96">
        <f t="shared" si="30"/>
        <v>1.6116657842055644</v>
      </c>
    </row>
    <row r="281" spans="1:7">
      <c r="A281" s="91">
        <f>2016</f>
        <v>2016</v>
      </c>
      <c r="B281" s="92" t="s">
        <v>65</v>
      </c>
      <c r="C281" s="93">
        <f t="shared" si="27"/>
        <v>4752.8600000000088</v>
      </c>
      <c r="D281" s="153">
        <v>0.26009749964666096</v>
      </c>
      <c r="E281" s="93">
        <f t="shared" si="31"/>
        <v>5.7796611301152545</v>
      </c>
      <c r="F281" s="154">
        <f t="shared" si="32"/>
        <v>7.8736708314892656</v>
      </c>
      <c r="G281" s="96">
        <f t="shared" si="30"/>
        <v>1.6074847565465855</v>
      </c>
    </row>
    <row r="282" spans="1:7">
      <c r="A282" s="91">
        <f>2016</f>
        <v>2016</v>
      </c>
      <c r="B282" s="92" t="s">
        <v>66</v>
      </c>
      <c r="C282" s="93">
        <f t="shared" si="27"/>
        <v>4761.4200000000092</v>
      </c>
      <c r="D282" s="153">
        <v>0.18010208590197863</v>
      </c>
      <c r="E282" s="93">
        <f t="shared" si="31"/>
        <v>5.9701725062706323</v>
      </c>
      <c r="F282" s="154">
        <f t="shared" si="32"/>
        <v>6.9873832983181838</v>
      </c>
      <c r="G282" s="96">
        <f t="shared" si="30"/>
        <v>1.6045948477555023</v>
      </c>
    </row>
    <row r="283" spans="1:7">
      <c r="A283" s="91">
        <f>2016</f>
        <v>2016</v>
      </c>
      <c r="B283" s="92" t="s">
        <v>55</v>
      </c>
      <c r="C283" s="93">
        <f t="shared" si="27"/>
        <v>4775.7000000000089</v>
      </c>
      <c r="D283" s="153">
        <v>0.29991053089204467</v>
      </c>
      <c r="E283" s="93">
        <f t="shared" si="31"/>
        <v>6.2879882132214071</v>
      </c>
      <c r="F283" s="154">
        <f t="shared" si="32"/>
        <v>6.2879882132214071</v>
      </c>
      <c r="G283" s="96">
        <f t="shared" si="30"/>
        <v>1.5997968884142648</v>
      </c>
    </row>
    <row r="284" spans="1:7">
      <c r="A284" s="91">
        <f>2017</f>
        <v>2017</v>
      </c>
      <c r="B284" s="92" t="s">
        <v>56</v>
      </c>
      <c r="C284" s="93">
        <f t="shared" si="27"/>
        <v>4793.8500000000104</v>
      </c>
      <c r="D284" s="153">
        <v>0.38004899805266223</v>
      </c>
      <c r="E284" s="93">
        <f t="shared" ref="E284:E295" si="33">+((C284/$C$283)-1)*100</f>
        <v>0.38004899805266223</v>
      </c>
      <c r="F284" s="154">
        <f t="shared" si="32"/>
        <v>5.3540150717656498</v>
      </c>
      <c r="G284" s="96">
        <f t="shared" si="30"/>
        <v>1.5937398959082996</v>
      </c>
    </row>
    <row r="285" spans="1:7">
      <c r="A285" s="91">
        <f>2017</f>
        <v>2017</v>
      </c>
      <c r="B285" s="92" t="s">
        <v>57</v>
      </c>
      <c r="C285" s="93">
        <f t="shared" si="27"/>
        <v>4809.670000000011</v>
      </c>
      <c r="D285" s="153">
        <v>0.33000615371778785</v>
      </c>
      <c r="E285" s="93">
        <f t="shared" si="33"/>
        <v>0.71130933685117359</v>
      </c>
      <c r="F285" s="154">
        <f t="shared" si="32"/>
        <v>4.7589072961635503</v>
      </c>
      <c r="G285" s="96">
        <f t="shared" si="30"/>
        <v>1.5884977555632718</v>
      </c>
    </row>
    <row r="286" spans="1:7">
      <c r="A286" s="91">
        <f>2017</f>
        <v>2017</v>
      </c>
      <c r="B286" s="92" t="s">
        <v>58</v>
      </c>
      <c r="C286" s="93">
        <f t="shared" si="27"/>
        <v>4821.6900000000105</v>
      </c>
      <c r="D286" s="153">
        <v>0.24991319570779602</v>
      </c>
      <c r="E286" s="93">
        <f t="shared" si="33"/>
        <v>0.96300018845407731</v>
      </c>
      <c r="F286" s="154">
        <f t="shared" si="32"/>
        <v>4.5711051156819282</v>
      </c>
      <c r="G286" s="96">
        <f t="shared" si="30"/>
        <v>1.5845377865437227</v>
      </c>
    </row>
    <row r="287" spans="1:7">
      <c r="A287" s="91">
        <f>2017</f>
        <v>2017</v>
      </c>
      <c r="B287" s="92" t="s">
        <v>59</v>
      </c>
      <c r="C287" s="93">
        <f t="shared" si="27"/>
        <v>4828.4400000000105</v>
      </c>
      <c r="D287" s="153">
        <v>0.13999240930047119</v>
      </c>
      <c r="E287" s="93">
        <f t="shared" si="33"/>
        <v>1.1043407249199388</v>
      </c>
      <c r="F287" s="154">
        <f t="shared" si="32"/>
        <v>4.0825168946228452</v>
      </c>
      <c r="G287" s="96">
        <f t="shared" si="30"/>
        <v>1.5823226549361702</v>
      </c>
    </row>
    <row r="288" spans="1:7">
      <c r="A288" s="91">
        <f>2017</f>
        <v>2017</v>
      </c>
      <c r="B288" s="92" t="s">
        <v>60</v>
      </c>
      <c r="C288" s="93">
        <f t="shared" si="27"/>
        <v>4843.4100000000108</v>
      </c>
      <c r="D288" s="153">
        <v>0.3100380247036405</v>
      </c>
      <c r="E288" s="93">
        <f t="shared" si="33"/>
        <v>1.4178026257931187</v>
      </c>
      <c r="F288" s="154">
        <f t="shared" si="32"/>
        <v>3.5972561777709799</v>
      </c>
      <c r="G288" s="96">
        <f t="shared" si="30"/>
        <v>1.5774320158731145</v>
      </c>
    </row>
    <row r="289" spans="1:7">
      <c r="A289" s="91">
        <f>2017</f>
        <v>2017</v>
      </c>
      <c r="B289" s="92" t="s">
        <v>61</v>
      </c>
      <c r="C289" s="93">
        <f t="shared" si="27"/>
        <v>4832.2700000000114</v>
      </c>
      <c r="D289" s="94">
        <v>-0.23000324151783991</v>
      </c>
      <c r="E289" s="93">
        <f t="shared" si="33"/>
        <v>1.184538392277612</v>
      </c>
      <c r="F289" s="154">
        <f t="shared" si="32"/>
        <v>2.9985569924055877</v>
      </c>
      <c r="G289" s="96">
        <f t="shared" si="30"/>
        <v>1.5810685247306133</v>
      </c>
    </row>
    <row r="290" spans="1:7">
      <c r="A290" s="91">
        <f>2017</f>
        <v>2017</v>
      </c>
      <c r="B290" s="92" t="s">
        <v>62</v>
      </c>
      <c r="C290" s="93">
        <f t="shared" si="27"/>
        <v>4843.8700000000108</v>
      </c>
      <c r="D290" s="94">
        <v>0.24005281161854075</v>
      </c>
      <c r="E290" s="93">
        <f t="shared" si="33"/>
        <v>1.4274347216115313</v>
      </c>
      <c r="F290" s="154">
        <f t="shared" si="32"/>
        <v>2.7116257668061472</v>
      </c>
      <c r="G290" s="96">
        <f t="shared" si="30"/>
        <v>1.5772822144277203</v>
      </c>
    </row>
    <row r="291" spans="1:7">
      <c r="A291" s="91">
        <f>2017</f>
        <v>2017</v>
      </c>
      <c r="B291" s="92" t="s">
        <v>63</v>
      </c>
      <c r="C291" s="93">
        <f t="shared" si="27"/>
        <v>4853.0700000000106</v>
      </c>
      <c r="D291" s="94">
        <v>0.18993077848910023</v>
      </c>
      <c r="E291" s="93">
        <f t="shared" si="33"/>
        <v>1.6200766379798059</v>
      </c>
      <c r="F291" s="154">
        <f t="shared" si="32"/>
        <v>2.4559084940275699</v>
      </c>
      <c r="G291" s="96">
        <f t="shared" si="30"/>
        <v>1.5742921490932549</v>
      </c>
    </row>
    <row r="292" spans="1:7">
      <c r="A292" s="91">
        <f>2017</f>
        <v>2017</v>
      </c>
      <c r="B292" s="92" t="s">
        <v>64</v>
      </c>
      <c r="C292" s="93">
        <f t="shared" si="27"/>
        <v>4860.8300000000108</v>
      </c>
      <c r="D292" s="94">
        <v>0.15989878571709415</v>
      </c>
      <c r="E292" s="93">
        <f t="shared" si="33"/>
        <v>1.7825659065687116</v>
      </c>
      <c r="F292" s="154">
        <f t="shared" si="32"/>
        <v>2.5376909332923026</v>
      </c>
      <c r="G292" s="96">
        <f t="shared" si="30"/>
        <v>1.5717788937280261</v>
      </c>
    </row>
    <row r="293" spans="1:7">
      <c r="A293" s="91">
        <f>2017</f>
        <v>2017</v>
      </c>
      <c r="B293" s="92" t="s">
        <v>65</v>
      </c>
      <c r="C293" s="93">
        <f t="shared" si="27"/>
        <v>4881.2500000000109</v>
      </c>
      <c r="D293" s="94">
        <v>0.42009286479880448</v>
      </c>
      <c r="E293" s="93">
        <f t="shared" si="33"/>
        <v>2.2101472035513492</v>
      </c>
      <c r="F293" s="154">
        <f t="shared" si="32"/>
        <v>2.701320888896408</v>
      </c>
      <c r="G293" s="96">
        <f t="shared" si="30"/>
        <v>1.5652035851472474</v>
      </c>
    </row>
    <row r="294" spans="1:7">
      <c r="A294" s="91">
        <f>2017</f>
        <v>2017</v>
      </c>
      <c r="B294" s="92" t="s">
        <v>66</v>
      </c>
      <c r="C294" s="93">
        <f t="shared" si="27"/>
        <v>4894.920000000011</v>
      </c>
      <c r="D294" s="94">
        <v>0.28005121638925434</v>
      </c>
      <c r="E294" s="93">
        <f t="shared" si="33"/>
        <v>2.4963879640681252</v>
      </c>
      <c r="F294" s="154">
        <f t="shared" si="32"/>
        <v>2.803785425356331</v>
      </c>
      <c r="G294" s="96">
        <f t="shared" si="30"/>
        <v>1.5608324548715815</v>
      </c>
    </row>
    <row r="295" spans="1:7">
      <c r="A295" s="91">
        <f>2017</f>
        <v>2017</v>
      </c>
      <c r="B295" s="92" t="s">
        <v>55</v>
      </c>
      <c r="C295" s="93">
        <f t="shared" si="27"/>
        <v>4916.460000000011</v>
      </c>
      <c r="D295" s="94">
        <v>0.44004804981490064</v>
      </c>
      <c r="E295" s="93">
        <f t="shared" si="33"/>
        <v>2.9474213204347288</v>
      </c>
      <c r="F295" s="154">
        <f t="shared" si="32"/>
        <v>2.9474213204347288</v>
      </c>
      <c r="G295" s="96">
        <f t="shared" si="30"/>
        <v>1.5539941339907173</v>
      </c>
    </row>
    <row r="296" spans="1:7">
      <c r="A296" s="91">
        <f>2018</f>
        <v>2018</v>
      </c>
      <c r="B296" s="92" t="s">
        <v>56</v>
      </c>
      <c r="C296" s="93">
        <f t="shared" si="27"/>
        <v>4930.7200000000112</v>
      </c>
      <c r="D296" s="94">
        <v>0.29004609007294846</v>
      </c>
      <c r="E296" s="93">
        <f t="shared" ref="E296:E307" si="34">+((C296/$C$295)-1)*100</f>
        <v>0.29004609007294846</v>
      </c>
      <c r="F296" s="154">
        <f t="shared" si="32"/>
        <v>2.8551164512865546</v>
      </c>
      <c r="G296" s="96">
        <f t="shared" si="30"/>
        <v>1.5494998702015124</v>
      </c>
    </row>
    <row r="297" spans="1:7">
      <c r="A297" s="91">
        <f>2018</f>
        <v>2018</v>
      </c>
      <c r="B297" s="92" t="s">
        <v>57</v>
      </c>
      <c r="C297" s="93">
        <f t="shared" si="27"/>
        <v>4946.5000000000109</v>
      </c>
      <c r="D297" s="94">
        <v>0.32003439659926691</v>
      </c>
      <c r="E297" s="93">
        <f t="shared" si="34"/>
        <v>0.61100873392643251</v>
      </c>
      <c r="F297" s="154">
        <f t="shared" si="32"/>
        <v>2.8448937245174832</v>
      </c>
      <c r="G297" s="96">
        <f t="shared" si="30"/>
        <v>1.544556757303144</v>
      </c>
    </row>
    <row r="298" spans="1:7">
      <c r="A298" s="91">
        <f>2018</f>
        <v>2018</v>
      </c>
      <c r="B298" s="92" t="s">
        <v>58</v>
      </c>
      <c r="C298" s="93">
        <f t="shared" si="27"/>
        <v>4950.9500000000098</v>
      </c>
      <c r="D298" s="94">
        <v>8.9962599818038669E-2</v>
      </c>
      <c r="E298" s="93">
        <f t="shared" si="34"/>
        <v>0.70152101308662562</v>
      </c>
      <c r="F298" s="154">
        <f t="shared" si="32"/>
        <v>2.6808027890635744</v>
      </c>
      <c r="G298" s="96">
        <f t="shared" si="30"/>
        <v>1.5431684828164298</v>
      </c>
    </row>
    <row r="299" spans="1:7">
      <c r="A299" s="91">
        <f>2018</f>
        <v>2018</v>
      </c>
      <c r="B299" s="92" t="s">
        <v>59</v>
      </c>
      <c r="C299" s="93">
        <f t="shared" si="27"/>
        <v>4961.8400000000101</v>
      </c>
      <c r="D299" s="94">
        <v>0.21995778587948767</v>
      </c>
      <c r="E299" s="93">
        <f t="shared" si="34"/>
        <v>0.92302184905397322</v>
      </c>
      <c r="F299" s="154">
        <f t="shared" si="32"/>
        <v>2.762797093885383</v>
      </c>
      <c r="G299" s="96">
        <f t="shared" si="30"/>
        <v>1.5397816132724964</v>
      </c>
    </row>
    <row r="300" spans="1:7">
      <c r="A300" s="91">
        <f>2018</f>
        <v>2018</v>
      </c>
      <c r="B300" s="92" t="s">
        <v>60</v>
      </c>
      <c r="C300" s="93">
        <f t="shared" si="27"/>
        <v>4981.6900000000096</v>
      </c>
      <c r="D300" s="94">
        <v>0.40005320606870676</v>
      </c>
      <c r="E300" s="93">
        <f t="shared" si="34"/>
        <v>1.3267676336225387</v>
      </c>
      <c r="F300" s="154">
        <f t="shared" si="32"/>
        <v>2.8550133067404726</v>
      </c>
      <c r="G300" s="96">
        <f t="shared" si="30"/>
        <v>1.5336462124299193</v>
      </c>
    </row>
    <row r="301" spans="1:7">
      <c r="A301" s="91">
        <f>2018</f>
        <v>2018</v>
      </c>
      <c r="B301" s="92" t="s">
        <v>61</v>
      </c>
      <c r="C301" s="93">
        <f t="shared" si="27"/>
        <v>5044.46000000001</v>
      </c>
      <c r="D301" s="94">
        <v>1.2600141718974944</v>
      </c>
      <c r="E301" s="93">
        <f t="shared" si="34"/>
        <v>2.6034992657318234</v>
      </c>
      <c r="F301" s="154">
        <f t="shared" si="32"/>
        <v>4.3911039739086943</v>
      </c>
      <c r="G301" s="96">
        <f t="shared" si="30"/>
        <v>1.5145625101596609</v>
      </c>
    </row>
    <row r="302" spans="1:7">
      <c r="A302" s="91">
        <f>2018</f>
        <v>2018</v>
      </c>
      <c r="B302" s="92" t="s">
        <v>62</v>
      </c>
      <c r="C302" s="93">
        <f t="shared" si="27"/>
        <v>5061.1100000000097</v>
      </c>
      <c r="D302" s="94">
        <v>0.33006506147337245</v>
      </c>
      <c r="E302" s="93">
        <f t="shared" si="34"/>
        <v>2.9421575686571</v>
      </c>
      <c r="F302" s="154">
        <f t="shared" si="32"/>
        <v>4.4848437303230293</v>
      </c>
      <c r="G302" s="96">
        <f t="shared" si="30"/>
        <v>1.5095799142875781</v>
      </c>
    </row>
    <row r="303" spans="1:7">
      <c r="A303" s="91">
        <f>2018</f>
        <v>2018</v>
      </c>
      <c r="B303" s="92" t="s">
        <v>63</v>
      </c>
      <c r="C303" s="93">
        <f t="shared" si="27"/>
        <v>5056.5600000000104</v>
      </c>
      <c r="D303" s="94">
        <v>-8.990122720112792E-2</v>
      </c>
      <c r="E303" s="93">
        <f t="shared" si="34"/>
        <v>2.849611305695543</v>
      </c>
      <c r="F303" s="154">
        <f t="shared" si="32"/>
        <v>4.1930159672124878</v>
      </c>
      <c r="G303" s="96">
        <f t="shared" si="30"/>
        <v>1.5109382663312614</v>
      </c>
    </row>
    <row r="304" spans="1:7">
      <c r="A304" s="91">
        <f>2018</f>
        <v>2018</v>
      </c>
      <c r="B304" s="92" t="s">
        <v>64</v>
      </c>
      <c r="C304" s="93">
        <f t="shared" ref="C304:C367" si="35">+C303*(1+D304/100)</f>
        <v>5080.8300000000099</v>
      </c>
      <c r="D304" s="94">
        <v>0.47997057287958445</v>
      </c>
      <c r="E304" s="93">
        <f t="shared" si="34"/>
        <v>3.343259174283908</v>
      </c>
      <c r="F304" s="154">
        <f t="shared" si="32"/>
        <v>4.5259760164416019</v>
      </c>
      <c r="G304" s="96">
        <f t="shared" si="30"/>
        <v>1.5037208487589633</v>
      </c>
    </row>
    <row r="305" spans="1:7">
      <c r="A305" s="91">
        <f>2018</f>
        <v>2018</v>
      </c>
      <c r="B305" s="92" t="s">
        <v>65</v>
      </c>
      <c r="C305" s="93">
        <f t="shared" si="35"/>
        <v>5103.6900000000096</v>
      </c>
      <c r="D305" s="94">
        <v>0.44992648838870775</v>
      </c>
      <c r="E305" s="93">
        <f t="shared" si="34"/>
        <v>3.8082278712731954</v>
      </c>
      <c r="F305" s="154">
        <f t="shared" si="32"/>
        <v>4.5570294494237773</v>
      </c>
      <c r="G305" s="96">
        <f t="shared" si="30"/>
        <v>1.4969855144023254</v>
      </c>
    </row>
    <row r="306" spans="1:7">
      <c r="A306" s="91">
        <f>2018</f>
        <v>2018</v>
      </c>
      <c r="B306" s="92" t="s">
        <v>66</v>
      </c>
      <c r="C306" s="93">
        <f t="shared" si="35"/>
        <v>5092.9700000000103</v>
      </c>
      <c r="D306" s="94">
        <v>-0.21004410534337659</v>
      </c>
      <c r="E306" s="93">
        <f t="shared" si="34"/>
        <v>3.5901848077681597</v>
      </c>
      <c r="F306" s="154">
        <f t="shared" si="32"/>
        <v>4.046031395814409</v>
      </c>
      <c r="G306" s="96">
        <f t="shared" si="30"/>
        <v>1.5001364626141531</v>
      </c>
    </row>
    <row r="307" spans="1:7">
      <c r="A307" s="91">
        <f>2018</f>
        <v>2018</v>
      </c>
      <c r="B307" s="92" t="s">
        <v>55</v>
      </c>
      <c r="C307" s="93">
        <f t="shared" si="35"/>
        <v>5100.6100000000088</v>
      </c>
      <c r="D307" s="94">
        <v>0.15001070102511616</v>
      </c>
      <c r="E307" s="93">
        <f t="shared" si="34"/>
        <v>3.7455811701915032</v>
      </c>
      <c r="F307" s="154">
        <f t="shared" si="32"/>
        <v>3.7455811701915032</v>
      </c>
      <c r="G307" s="96">
        <f t="shared" si="30"/>
        <v>1.4978894681224413</v>
      </c>
    </row>
    <row r="308" spans="1:7">
      <c r="A308" s="91">
        <f>2019</f>
        <v>2019</v>
      </c>
      <c r="B308" s="92" t="s">
        <v>56</v>
      </c>
      <c r="C308" s="93">
        <f t="shared" si="35"/>
        <v>5116.9300000000094</v>
      </c>
      <c r="D308" s="94">
        <v>0.3199617300675861</v>
      </c>
      <c r="E308" s="93">
        <f t="shared" ref="E308:E319" si="36">+((C308/$C$307)-1)*100</f>
        <v>0.3199617300675861</v>
      </c>
      <c r="F308" s="154">
        <f t="shared" si="32"/>
        <v>3.7765275659538133</v>
      </c>
      <c r="G308" s="96">
        <f t="shared" si="30"/>
        <v>1.4931120808766203</v>
      </c>
    </row>
    <row r="309" spans="1:7">
      <c r="A309" s="97">
        <f>2019</f>
        <v>2019</v>
      </c>
      <c r="B309" s="98" t="s">
        <v>57</v>
      </c>
      <c r="C309" s="99">
        <f t="shared" si="35"/>
        <v>5138.9300000000094</v>
      </c>
      <c r="D309" s="100">
        <v>0.42994529923214841</v>
      </c>
      <c r="E309" s="99">
        <f t="shared" si="36"/>
        <v>0.751282689717514</v>
      </c>
      <c r="F309" s="155">
        <f t="shared" si="32"/>
        <v>3.8902254119073776</v>
      </c>
      <c r="G309" s="96">
        <f t="shared" si="30"/>
        <v>1.4867199981319077</v>
      </c>
    </row>
    <row r="310" spans="1:7">
      <c r="A310" s="97">
        <f>2019</f>
        <v>2019</v>
      </c>
      <c r="B310" s="98" t="s">
        <v>58</v>
      </c>
      <c r="C310" s="99">
        <f t="shared" si="35"/>
        <v>5177.4700000000103</v>
      </c>
      <c r="D310" s="100">
        <v>0.74996156787503487</v>
      </c>
      <c r="E310" s="99">
        <f t="shared" si="36"/>
        <v>1.506878589031535</v>
      </c>
      <c r="F310" s="155">
        <f t="shared" si="32"/>
        <v>4.5752835314434526</v>
      </c>
      <c r="G310" s="96">
        <f t="shared" si="30"/>
        <v>1.4756531665079669</v>
      </c>
    </row>
    <row r="311" spans="1:7">
      <c r="A311" s="97">
        <f>2019</f>
        <v>2019</v>
      </c>
      <c r="B311" s="98" t="s">
        <v>59</v>
      </c>
      <c r="C311" s="99">
        <f t="shared" si="35"/>
        <v>5206.9800000000105</v>
      </c>
      <c r="D311" s="100">
        <v>0.56996950247900635</v>
      </c>
      <c r="E311" s="99">
        <f t="shared" si="36"/>
        <v>2.0854368399074064</v>
      </c>
      <c r="F311" s="155">
        <f t="shared" si="32"/>
        <v>4.940505941344342</v>
      </c>
      <c r="G311" s="96">
        <f t="shared" si="30"/>
        <v>1.4672900606493597</v>
      </c>
    </row>
    <row r="312" spans="1:7">
      <c r="A312" s="97">
        <f>2019</f>
        <v>2019</v>
      </c>
      <c r="B312" s="98" t="s">
        <v>60</v>
      </c>
      <c r="C312" s="99">
        <f t="shared" si="35"/>
        <v>5213.7500000000109</v>
      </c>
      <c r="D312" s="100">
        <v>0.13001778382095708</v>
      </c>
      <c r="E312" s="99">
        <f t="shared" si="36"/>
        <v>2.2181660624906119</v>
      </c>
      <c r="F312" s="155">
        <f t="shared" si="32"/>
        <v>4.6582585427836998</v>
      </c>
      <c r="G312" s="96">
        <f t="shared" si="30"/>
        <v>1.4653847998081999</v>
      </c>
    </row>
    <row r="313" spans="1:7">
      <c r="A313" s="97">
        <f>2019</f>
        <v>2019</v>
      </c>
      <c r="B313" s="98" t="s">
        <v>61</v>
      </c>
      <c r="C313" s="99">
        <f t="shared" si="35"/>
        <v>5214.2700000000104</v>
      </c>
      <c r="D313" s="100">
        <v>9.9736274274730974E-3</v>
      </c>
      <c r="E313" s="99">
        <f t="shared" si="36"/>
        <v>2.2283609215368649</v>
      </c>
      <c r="F313" s="155">
        <f t="shared" si="32"/>
        <v>3.3662671524801402</v>
      </c>
      <c r="G313" s="96">
        <f t="shared" si="30"/>
        <v>1.4652386623630926</v>
      </c>
    </row>
    <row r="314" spans="1:7">
      <c r="A314" s="97">
        <f>2019</f>
        <v>2019</v>
      </c>
      <c r="B314" s="98" t="s">
        <v>62</v>
      </c>
      <c r="C314" s="99">
        <f t="shared" si="35"/>
        <v>5224.1800000000112</v>
      </c>
      <c r="D314" s="100">
        <v>0.19005536729015393</v>
      </c>
      <c r="E314" s="99">
        <f t="shared" si="36"/>
        <v>2.4226514083609985</v>
      </c>
      <c r="F314" s="155">
        <f t="shared" si="32"/>
        <v>3.2220204658662155</v>
      </c>
      <c r="G314" s="96">
        <f t="shared" si="30"/>
        <v>1.4624591801967011</v>
      </c>
    </row>
    <row r="315" spans="1:7">
      <c r="A315" s="97">
        <f>2019</f>
        <v>2019</v>
      </c>
      <c r="B315" s="98" t="s">
        <v>63</v>
      </c>
      <c r="C315" s="99">
        <f t="shared" si="35"/>
        <v>5229.9300000000112</v>
      </c>
      <c r="D315" s="100">
        <v>0.11006512026767723</v>
      </c>
      <c r="E315" s="99">
        <f t="shared" si="36"/>
        <v>2.5353830228149521</v>
      </c>
      <c r="F315" s="155">
        <f t="shared" si="32"/>
        <v>3.4286155014476405</v>
      </c>
      <c r="G315" s="96">
        <f t="shared" si="30"/>
        <v>1.4608512924647179</v>
      </c>
    </row>
    <row r="316" spans="1:7">
      <c r="A316" s="97">
        <f>2019</f>
        <v>2019</v>
      </c>
      <c r="B316" s="98" t="s">
        <v>64</v>
      </c>
      <c r="C316" s="99">
        <f t="shared" si="35"/>
        <v>5227.8400000000111</v>
      </c>
      <c r="D316" s="100">
        <v>-3.996229395040185E-2</v>
      </c>
      <c r="E316" s="99">
        <f t="shared" si="36"/>
        <v>2.4944075316482239</v>
      </c>
      <c r="F316" s="155">
        <f t="shared" si="32"/>
        <v>2.8934248931769213</v>
      </c>
      <c r="G316" s="96">
        <f t="shared" si="30"/>
        <v>1.4614353155414095</v>
      </c>
    </row>
    <row r="317" spans="1:7">
      <c r="A317" s="97">
        <f>2019</f>
        <v>2019</v>
      </c>
      <c r="B317" s="98" t="s">
        <v>65</v>
      </c>
      <c r="C317" s="99">
        <f t="shared" si="35"/>
        <v>5233.0700000000106</v>
      </c>
      <c r="D317" s="100">
        <v>0.10004131725529497</v>
      </c>
      <c r="E317" s="99">
        <f t="shared" si="36"/>
        <v>2.5969442870559023</v>
      </c>
      <c r="F317" s="155">
        <f t="shared" si="32"/>
        <v>2.5350285773626746</v>
      </c>
      <c r="G317" s="96">
        <f t="shared" si="30"/>
        <v>1.4599747375823375</v>
      </c>
    </row>
    <row r="318" spans="1:7">
      <c r="A318" s="97">
        <f>2019</f>
        <v>2019</v>
      </c>
      <c r="B318" s="98" t="s">
        <v>66</v>
      </c>
      <c r="C318" s="99">
        <f t="shared" si="35"/>
        <v>5259.7600000000111</v>
      </c>
      <c r="D318" s="100">
        <v>0.51002566371174396</v>
      </c>
      <c r="E318" s="99">
        <f t="shared" si="36"/>
        <v>3.1202150331039347</v>
      </c>
      <c r="F318" s="155">
        <f t="shared" si="32"/>
        <v>3.2749063905736842</v>
      </c>
      <c r="G318" s="96">
        <f t="shared" si="30"/>
        <v>1.452566276788295</v>
      </c>
    </row>
    <row r="319" spans="1:7">
      <c r="A319" s="97">
        <f>2019</f>
        <v>2019</v>
      </c>
      <c r="B319" s="98" t="s">
        <v>55</v>
      </c>
      <c r="C319" s="99">
        <f t="shared" si="35"/>
        <v>5320.2500000000118</v>
      </c>
      <c r="D319" s="100">
        <v>1.1500524738771389</v>
      </c>
      <c r="E319" s="99">
        <f t="shared" si="36"/>
        <v>4.3061516171595704</v>
      </c>
      <c r="F319" s="155">
        <f t="shared" si="32"/>
        <v>4.3061516171595704</v>
      </c>
      <c r="G319" s="96">
        <f t="shared" si="30"/>
        <v>1.4360509374559469</v>
      </c>
    </row>
    <row r="320" spans="1:7">
      <c r="A320" s="97">
        <f>2020</f>
        <v>2020</v>
      </c>
      <c r="B320" s="98" t="s">
        <v>56</v>
      </c>
      <c r="C320" s="99">
        <f t="shared" si="35"/>
        <v>5331.4200000000119</v>
      </c>
      <c r="D320" s="100">
        <v>0.2099525398242541</v>
      </c>
      <c r="E320" s="99">
        <f t="shared" ref="E320:E331" si="37">+((C320/$C$319)-1)*100</f>
        <v>0.2099525398242541</v>
      </c>
      <c r="F320" s="155">
        <f t="shared" si="32"/>
        <v>4.1917712378320982</v>
      </c>
      <c r="G320" s="96">
        <f t="shared" si="30"/>
        <v>1.4330422288996181</v>
      </c>
    </row>
    <row r="321" spans="1:7">
      <c r="A321" s="97">
        <f>2020</f>
        <v>2020</v>
      </c>
      <c r="B321" s="98" t="s">
        <v>57</v>
      </c>
      <c r="C321" s="99">
        <f t="shared" si="35"/>
        <v>5344.7500000000118</v>
      </c>
      <c r="D321" s="100">
        <v>0.25002719725701894</v>
      </c>
      <c r="E321" s="99">
        <f t="shared" si="37"/>
        <v>0.46050467553215846</v>
      </c>
      <c r="F321" s="155">
        <f t="shared" si="32"/>
        <v>4.0051139050347517</v>
      </c>
      <c r="G321" s="96">
        <f t="shared" si="30"/>
        <v>1.429468169699238</v>
      </c>
    </row>
    <row r="322" spans="1:7">
      <c r="A322" s="97">
        <f>2020</f>
        <v>2020</v>
      </c>
      <c r="B322" s="98" t="s">
        <v>58</v>
      </c>
      <c r="C322" s="99">
        <f t="shared" si="35"/>
        <v>5348.4900000000116</v>
      </c>
      <c r="D322" s="100">
        <v>6.9975209317552078E-2</v>
      </c>
      <c r="E322" s="99">
        <f t="shared" si="37"/>
        <v>0.53080212396032778</v>
      </c>
      <c r="F322" s="155">
        <f t="shared" si="32"/>
        <v>3.3031577198902262</v>
      </c>
      <c r="G322" s="96">
        <f t="shared" si="30"/>
        <v>1.4284685958092849</v>
      </c>
    </row>
    <row r="323" spans="1:7">
      <c r="A323" s="97">
        <f>2020</f>
        <v>2020</v>
      </c>
      <c r="B323" s="98" t="s">
        <v>59</v>
      </c>
      <c r="C323" s="99">
        <f t="shared" si="35"/>
        <v>5331.9100000000117</v>
      </c>
      <c r="D323" s="100">
        <v>-0.30999403569978989</v>
      </c>
      <c r="E323" s="99">
        <f t="shared" si="37"/>
        <v>0.21916263333490171</v>
      </c>
      <c r="F323" s="155">
        <f t="shared" si="32"/>
        <v>2.3992794287667873</v>
      </c>
      <c r="G323" s="96">
        <f t="shared" si="30"/>
        <v>1.4329105329984944</v>
      </c>
    </row>
    <row r="324" spans="1:7">
      <c r="A324" s="97">
        <f>2020</f>
        <v>2020</v>
      </c>
      <c r="B324" s="98" t="s">
        <v>60</v>
      </c>
      <c r="C324" s="99">
        <f t="shared" si="35"/>
        <v>5311.6500000000115</v>
      </c>
      <c r="D324" s="100">
        <v>-0.37997640620340833</v>
      </c>
      <c r="E324" s="99">
        <f t="shared" si="37"/>
        <v>-0.16164653916639349</v>
      </c>
      <c r="F324" s="155">
        <f t="shared" si="32"/>
        <v>1.8777271637496984</v>
      </c>
      <c r="G324" s="96">
        <f t="shared" si="30"/>
        <v>1.4383760225165443</v>
      </c>
    </row>
    <row r="325" spans="1:7">
      <c r="A325" s="97">
        <f>2020</f>
        <v>2020</v>
      </c>
      <c r="B325" s="98" t="s">
        <v>61</v>
      </c>
      <c r="C325" s="99">
        <f t="shared" si="35"/>
        <v>5325.4600000000119</v>
      </c>
      <c r="D325" s="100">
        <v>0.25999454030292135</v>
      </c>
      <c r="E325" s="99">
        <f t="shared" si="37"/>
        <v>9.7927728960112148E-2</v>
      </c>
      <c r="F325" s="155">
        <f t="shared" si="32"/>
        <v>2.132417385367491</v>
      </c>
      <c r="G325" s="96">
        <f t="shared" si="30"/>
        <v>1.4346460211887802</v>
      </c>
    </row>
    <row r="326" spans="1:7">
      <c r="A326" s="97">
        <f>2020</f>
        <v>2020</v>
      </c>
      <c r="B326" s="98" t="s">
        <v>62</v>
      </c>
      <c r="C326" s="99">
        <f t="shared" si="35"/>
        <v>5344.6300000000119</v>
      </c>
      <c r="D326" s="100">
        <v>0.3599689040946652</v>
      </c>
      <c r="E326" s="99">
        <f t="shared" si="37"/>
        <v>0.45824914242751369</v>
      </c>
      <c r="F326" s="155">
        <f t="shared" si="32"/>
        <v>2.3056249976072918</v>
      </c>
      <c r="G326" s="96">
        <f t="shared" si="30"/>
        <v>1.429500264751723</v>
      </c>
    </row>
    <row r="327" spans="1:7">
      <c r="A327" s="97">
        <f>2020</f>
        <v>2020</v>
      </c>
      <c r="B327" s="98" t="s">
        <v>63</v>
      </c>
      <c r="C327" s="99">
        <f t="shared" si="35"/>
        <v>5357.4600000000128</v>
      </c>
      <c r="D327" s="100">
        <v>0.24005403554596683</v>
      </c>
      <c r="E327" s="99">
        <f t="shared" si="37"/>
        <v>0.69940322353274631</v>
      </c>
      <c r="F327" s="155">
        <f t="shared" si="32"/>
        <v>2.4384647595665943</v>
      </c>
      <c r="G327" s="96">
        <f t="shared" ref="G327:G376" si="38">+$C$396/C327</f>
        <v>1.4260769095802863</v>
      </c>
    </row>
    <row r="328" spans="1:7">
      <c r="A328" s="97">
        <f>2020</f>
        <v>2020</v>
      </c>
      <c r="B328" s="98" t="s">
        <v>64</v>
      </c>
      <c r="C328" s="99">
        <f t="shared" si="35"/>
        <v>5391.7500000000127</v>
      </c>
      <c r="D328" s="100">
        <v>0.64004210950712181</v>
      </c>
      <c r="E328" s="99">
        <f t="shared" si="37"/>
        <v>1.3439218081857218</v>
      </c>
      <c r="F328" s="155">
        <f t="shared" si="32"/>
        <v>3.1353293138275395</v>
      </c>
      <c r="G328" s="96">
        <f t="shared" si="38"/>
        <v>1.417007465108731</v>
      </c>
    </row>
    <row r="329" spans="1:7">
      <c r="A329" s="97">
        <f>2020</f>
        <v>2020</v>
      </c>
      <c r="B329" s="98" t="s">
        <v>65</v>
      </c>
      <c r="C329" s="99">
        <f t="shared" si="35"/>
        <v>5438.1200000000126</v>
      </c>
      <c r="D329" s="100">
        <v>0.86001761951128852</v>
      </c>
      <c r="E329" s="99">
        <f t="shared" si="37"/>
        <v>2.2154973920398557</v>
      </c>
      <c r="F329" s="155">
        <f t="shared" si="32"/>
        <v>3.9183500316258169</v>
      </c>
      <c r="G329" s="96">
        <f t="shared" si="38"/>
        <v>1.404924863739675</v>
      </c>
    </row>
    <row r="330" spans="1:7">
      <c r="A330" s="97">
        <f>2020</f>
        <v>2020</v>
      </c>
      <c r="B330" s="98" t="s">
        <v>66</v>
      </c>
      <c r="C330" s="99">
        <f t="shared" si="35"/>
        <v>5486.5200000000132</v>
      </c>
      <c r="D330" s="100">
        <v>0.89001346053416697</v>
      </c>
      <c r="E330" s="99">
        <f t="shared" si="37"/>
        <v>3.1252290775809488</v>
      </c>
      <c r="F330" s="155">
        <f t="shared" si="32"/>
        <v>4.3112233257791566</v>
      </c>
      <c r="G330" s="96">
        <f t="shared" si="38"/>
        <v>1.3925311490708137</v>
      </c>
    </row>
    <row r="331" spans="1:7">
      <c r="A331" s="97">
        <f>2020</f>
        <v>2020</v>
      </c>
      <c r="B331" s="98" t="s">
        <v>55</v>
      </c>
      <c r="C331" s="99">
        <f t="shared" si="35"/>
        <v>5560.5900000000129</v>
      </c>
      <c r="D331" s="100">
        <v>1.3500360884495022</v>
      </c>
      <c r="E331" s="99">
        <f t="shared" si="37"/>
        <v>4.517456886424509</v>
      </c>
      <c r="F331" s="155">
        <f t="shared" si="32"/>
        <v>4.517456886424509</v>
      </c>
      <c r="G331" s="96">
        <f t="shared" si="38"/>
        <v>1.3739818976043912</v>
      </c>
    </row>
    <row r="332" spans="1:7">
      <c r="A332" s="97">
        <f>2021</f>
        <v>2021</v>
      </c>
      <c r="B332" s="98" t="s">
        <v>56</v>
      </c>
      <c r="C332" s="99">
        <f t="shared" si="35"/>
        <v>5574.4900000000125</v>
      </c>
      <c r="D332" s="100">
        <v>0.24997347403781234</v>
      </c>
      <c r="E332" s="99">
        <f t="shared" ref="E332:E343" si="39">+((C332/$C$331)-1)*100</f>
        <v>0.24997347403781234</v>
      </c>
      <c r="F332" s="155">
        <f t="shared" si="32"/>
        <v>4.5591981123227932</v>
      </c>
      <c r="G332" s="96">
        <f t="shared" si="38"/>
        <v>1.3705558714788262</v>
      </c>
    </row>
    <row r="333" spans="1:7">
      <c r="A333" s="97">
        <f>2021</f>
        <v>2021</v>
      </c>
      <c r="B333" s="98" t="s">
        <v>57</v>
      </c>
      <c r="C333" s="99">
        <f t="shared" si="35"/>
        <v>5622.430000000013</v>
      </c>
      <c r="D333" s="100">
        <v>0.85998898553949488</v>
      </c>
      <c r="E333" s="99">
        <f t="shared" si="39"/>
        <v>1.1121122039208009</v>
      </c>
      <c r="F333" s="155">
        <f t="shared" si="32"/>
        <v>5.1953786425932069</v>
      </c>
      <c r="G333" s="96">
        <f t="shared" si="38"/>
        <v>1.3588697413751707</v>
      </c>
    </row>
    <row r="334" spans="1:7">
      <c r="A334" s="97">
        <f>2021</f>
        <v>2021</v>
      </c>
      <c r="B334" s="98" t="s">
        <v>58</v>
      </c>
      <c r="C334" s="99">
        <f t="shared" si="35"/>
        <v>5674.7200000000139</v>
      </c>
      <c r="D334" s="100">
        <v>0.93002491805145304</v>
      </c>
      <c r="E334" s="99">
        <f t="shared" si="39"/>
        <v>2.052480042585425</v>
      </c>
      <c r="F334" s="155">
        <f t="shared" si="32"/>
        <v>6.0994785444116406</v>
      </c>
      <c r="G334" s="96">
        <f t="shared" si="38"/>
        <v>1.346348366086785</v>
      </c>
    </row>
    <row r="335" spans="1:7">
      <c r="A335" s="97">
        <f>2021</f>
        <v>2021</v>
      </c>
      <c r="B335" s="98" t="s">
        <v>59</v>
      </c>
      <c r="C335" s="99">
        <f t="shared" si="35"/>
        <v>5692.310000000014</v>
      </c>
      <c r="D335" s="100">
        <v>0.30997124087179806</v>
      </c>
      <c r="E335" s="99">
        <f t="shared" si="39"/>
        <v>2.3688133813138723</v>
      </c>
      <c r="F335" s="155">
        <f t="shared" si="32"/>
        <v>6.7593038892254764</v>
      </c>
      <c r="G335" s="96">
        <f t="shared" si="38"/>
        <v>1.3421879693832557</v>
      </c>
    </row>
    <row r="336" spans="1:7">
      <c r="A336" s="97">
        <f>2021</f>
        <v>2021</v>
      </c>
      <c r="B336" s="98" t="s">
        <v>60</v>
      </c>
      <c r="C336" s="99">
        <f t="shared" si="35"/>
        <v>5739.560000000015</v>
      </c>
      <c r="D336" s="100">
        <v>0.83006723105383262</v>
      </c>
      <c r="E336" s="99">
        <f t="shared" si="39"/>
        <v>3.2185433560108168</v>
      </c>
      <c r="F336" s="155">
        <f t="shared" si="32"/>
        <v>8.0560654410588572</v>
      </c>
      <c r="G336" s="96">
        <f t="shared" si="38"/>
        <v>1.3311386238666376</v>
      </c>
    </row>
    <row r="337" spans="1:7">
      <c r="A337" s="97">
        <f>2021</f>
        <v>2021</v>
      </c>
      <c r="B337" s="98" t="s">
        <v>61</v>
      </c>
      <c r="C337" s="99">
        <f t="shared" si="35"/>
        <v>5769.9800000000141</v>
      </c>
      <c r="D337" s="100">
        <v>0.53000578441551038</v>
      </c>
      <c r="E337" s="99">
        <f t="shared" si="39"/>
        <v>3.7656076063871113</v>
      </c>
      <c r="F337" s="155">
        <f t="shared" si="32"/>
        <v>8.3470723655797219</v>
      </c>
      <c r="G337" s="96">
        <f t="shared" si="38"/>
        <v>1.3241207075241161</v>
      </c>
    </row>
    <row r="338" spans="1:7">
      <c r="A338" s="97">
        <f>2021</f>
        <v>2021</v>
      </c>
      <c r="B338" s="98" t="s">
        <v>62</v>
      </c>
      <c r="C338" s="99">
        <f t="shared" si="35"/>
        <v>5825.3700000000154</v>
      </c>
      <c r="D338" s="100">
        <v>0.95996866540266623</v>
      </c>
      <c r="E338" s="99">
        <f t="shared" si="39"/>
        <v>4.761724924873123</v>
      </c>
      <c r="F338" s="155">
        <f t="shared" si="32"/>
        <v>8.9948228408702313</v>
      </c>
      <c r="G338" s="96">
        <f t="shared" si="38"/>
        <v>1.3115304263935164</v>
      </c>
    </row>
    <row r="339" spans="1:7">
      <c r="A339" s="97">
        <f>2021</f>
        <v>2021</v>
      </c>
      <c r="B339" s="98" t="s">
        <v>63</v>
      </c>
      <c r="C339" s="99">
        <f t="shared" si="35"/>
        <v>5876.0500000000156</v>
      </c>
      <c r="D339" s="100">
        <v>0.8699876574363552</v>
      </c>
      <c r="E339" s="99">
        <f t="shared" si="39"/>
        <v>5.6731390014369332</v>
      </c>
      <c r="F339" s="155">
        <f t="shared" ref="F339:F380" si="40">100*((C339/C327)-1)</f>
        <v>9.6797736240681544</v>
      </c>
      <c r="G339" s="96">
        <f t="shared" si="38"/>
        <v>1.3002186843202488</v>
      </c>
    </row>
    <row r="340" spans="1:7">
      <c r="A340" s="97">
        <f>2021</f>
        <v>2021</v>
      </c>
      <c r="B340" s="98" t="s">
        <v>64</v>
      </c>
      <c r="C340" s="99">
        <f t="shared" si="35"/>
        <v>5944.2100000000146</v>
      </c>
      <c r="D340" s="100">
        <v>1.159962900247602</v>
      </c>
      <c r="E340" s="99">
        <f t="shared" si="39"/>
        <v>6.8989082093806831</v>
      </c>
      <c r="F340" s="155">
        <f t="shared" si="40"/>
        <v>10.246394955255722</v>
      </c>
      <c r="G340" s="96">
        <f t="shared" si="38"/>
        <v>1.2853095701531405</v>
      </c>
    </row>
    <row r="341" spans="1:7">
      <c r="A341" s="97">
        <f>2021</f>
        <v>2021</v>
      </c>
      <c r="B341" s="98" t="s">
        <v>65</v>
      </c>
      <c r="C341" s="99">
        <f t="shared" si="35"/>
        <v>6018.5100000000148</v>
      </c>
      <c r="D341" s="100">
        <v>1.2499558393798349</v>
      </c>
      <c r="E341" s="99">
        <f t="shared" si="39"/>
        <v>8.2350973547771211</v>
      </c>
      <c r="F341" s="155">
        <f t="shared" si="40"/>
        <v>10.672622156186339</v>
      </c>
      <c r="G341" s="96">
        <f t="shared" si="38"/>
        <v>1.2694421044411324</v>
      </c>
    </row>
    <row r="342" spans="1:7">
      <c r="A342" s="97">
        <f>2021</f>
        <v>2021</v>
      </c>
      <c r="B342" s="98" t="s">
        <v>66</v>
      </c>
      <c r="C342" s="99">
        <f t="shared" si="35"/>
        <v>6075.6900000000142</v>
      </c>
      <c r="D342" s="100">
        <v>0.95006903702077317</v>
      </c>
      <c r="E342" s="99">
        <f t="shared" si="39"/>
        <v>9.263405501934141</v>
      </c>
      <c r="F342" s="155">
        <f t="shared" si="40"/>
        <v>10.738500907679182</v>
      </c>
      <c r="G342" s="96">
        <f t="shared" si="38"/>
        <v>1.2574950334859087</v>
      </c>
    </row>
    <row r="343" spans="1:7">
      <c r="A343" s="97">
        <f>2021</f>
        <v>2021</v>
      </c>
      <c r="B343" s="98" t="s">
        <v>55</v>
      </c>
      <c r="C343" s="99">
        <f t="shared" si="35"/>
        <v>6120.0400000000145</v>
      </c>
      <c r="D343" s="100">
        <v>0.72995824342585447</v>
      </c>
      <c r="E343" s="99">
        <f t="shared" si="39"/>
        <v>10.060982737443336</v>
      </c>
      <c r="F343" s="155">
        <f t="shared" si="40"/>
        <v>10.060982737443336</v>
      </c>
      <c r="G343" s="96">
        <f t="shared" si="38"/>
        <v>1.2483823635139641</v>
      </c>
    </row>
    <row r="344" spans="1:7">
      <c r="A344" s="97">
        <f>2022</f>
        <v>2022</v>
      </c>
      <c r="B344" s="98" t="s">
        <v>56</v>
      </c>
      <c r="C344" s="99">
        <f t="shared" si="35"/>
        <v>6153.0900000000138</v>
      </c>
      <c r="D344" s="100">
        <v>0.54002915013626751</v>
      </c>
      <c r="E344" s="99">
        <f t="shared" ref="E344:E355" si="41">+((C344/$C$343)-1)*100</f>
        <v>0.54002915013626751</v>
      </c>
      <c r="F344" s="155">
        <f t="shared" si="40"/>
        <v>10.379424844245833</v>
      </c>
      <c r="G344" s="96">
        <f t="shared" si="38"/>
        <v>1.2416769460547468</v>
      </c>
    </row>
    <row r="345" spans="1:7">
      <c r="A345" s="97">
        <f>2022</f>
        <v>2022</v>
      </c>
      <c r="B345" s="98" t="s">
        <v>57</v>
      </c>
      <c r="C345" s="99">
        <f t="shared" si="35"/>
        <v>6215.2400000000134</v>
      </c>
      <c r="D345" s="100">
        <v>1.0100616113204897</v>
      </c>
      <c r="E345" s="99">
        <f t="shared" si="41"/>
        <v>1.5555453885922166</v>
      </c>
      <c r="F345" s="155">
        <f t="shared" si="40"/>
        <v>10.543661726335385</v>
      </c>
      <c r="G345" s="96">
        <f t="shared" si="38"/>
        <v>1.2292606560647701</v>
      </c>
    </row>
    <row r="346" spans="1:7">
      <c r="A346" s="97">
        <f>2022</f>
        <v>2022</v>
      </c>
      <c r="B346" s="98" t="s">
        <v>58</v>
      </c>
      <c r="C346" s="99">
        <f t="shared" si="35"/>
        <v>6315.9300000000139</v>
      </c>
      <c r="D346" s="100">
        <v>1.6200500704719456</v>
      </c>
      <c r="E346" s="99">
        <f t="shared" si="41"/>
        <v>3.2007960732282514</v>
      </c>
      <c r="F346" s="155">
        <f t="shared" si="40"/>
        <v>11.299412129585228</v>
      </c>
      <c r="G346" s="96">
        <f t="shared" si="38"/>
        <v>1.2096635016537551</v>
      </c>
    </row>
    <row r="347" spans="1:7">
      <c r="A347" s="97">
        <f>2022</f>
        <v>2022</v>
      </c>
      <c r="B347" s="98" t="s">
        <v>59</v>
      </c>
      <c r="C347" s="99">
        <f t="shared" si="35"/>
        <v>6382.8800000000138</v>
      </c>
      <c r="D347" s="100">
        <v>1.0600180812643467</v>
      </c>
      <c r="E347" s="99">
        <f t="shared" si="41"/>
        <v>4.2947431716132245</v>
      </c>
      <c r="F347" s="155">
        <f t="shared" si="40"/>
        <v>12.131630216906641</v>
      </c>
      <c r="G347" s="96">
        <f t="shared" si="38"/>
        <v>1.196975346552027</v>
      </c>
    </row>
    <row r="348" spans="1:7">
      <c r="A348" s="97">
        <f>2022</f>
        <v>2022</v>
      </c>
      <c r="B348" s="98" t="s">
        <v>60</v>
      </c>
      <c r="C348" s="99">
        <f t="shared" si="35"/>
        <v>6412.8800000000138</v>
      </c>
      <c r="D348" s="100">
        <v>0.47000726944577131</v>
      </c>
      <c r="E348" s="99">
        <f t="shared" si="41"/>
        <v>4.7849360461696078</v>
      </c>
      <c r="F348" s="155">
        <f t="shared" si="40"/>
        <v>11.731212845583938</v>
      </c>
      <c r="G348" s="96">
        <f t="shared" si="38"/>
        <v>1.1913757937151486</v>
      </c>
    </row>
    <row r="349" spans="1:7">
      <c r="A349" s="97">
        <f>2022</f>
        <v>2022</v>
      </c>
      <c r="B349" s="98" t="s">
        <v>61</v>
      </c>
      <c r="C349" s="99">
        <f t="shared" si="35"/>
        <v>6455.850000000014</v>
      </c>
      <c r="D349" s="100">
        <v>0.67005775876050055</v>
      </c>
      <c r="E349" s="99">
        <f t="shared" si="41"/>
        <v>5.4870556401591886</v>
      </c>
      <c r="F349" s="155">
        <f t="shared" si="40"/>
        <v>11.886869625197981</v>
      </c>
      <c r="G349" s="96">
        <f t="shared" si="38"/>
        <v>1.1834460218251666</v>
      </c>
    </row>
    <row r="350" spans="1:7">
      <c r="A350" s="97">
        <f>2022</f>
        <v>2022</v>
      </c>
      <c r="B350" s="98" t="s">
        <v>62</v>
      </c>
      <c r="C350" s="99">
        <f t="shared" si="35"/>
        <v>6411.9500000000135</v>
      </c>
      <c r="D350" s="100">
        <v>-0.68000340776196433</v>
      </c>
      <c r="E350" s="99">
        <f t="shared" si="41"/>
        <v>4.7697400670583479</v>
      </c>
      <c r="F350" s="155">
        <f t="shared" si="40"/>
        <v>10.069403316870806</v>
      </c>
      <c r="G350" s="96">
        <f t="shared" si="38"/>
        <v>1.1915485928617664</v>
      </c>
    </row>
    <row r="351" spans="1:7">
      <c r="A351" s="97">
        <f>2022</f>
        <v>2022</v>
      </c>
      <c r="B351" s="98" t="s">
        <v>63</v>
      </c>
      <c r="C351" s="99">
        <f t="shared" si="35"/>
        <v>6388.8700000000135</v>
      </c>
      <c r="D351" s="100">
        <v>-0.3599529004437052</v>
      </c>
      <c r="E351" s="99">
        <f t="shared" si="41"/>
        <v>4.3926183488996573</v>
      </c>
      <c r="F351" s="155">
        <f t="shared" si="40"/>
        <v>8.7272912926199773</v>
      </c>
      <c r="G351" s="96">
        <f t="shared" si="38"/>
        <v>1.195853100783081</v>
      </c>
    </row>
    <row r="352" spans="1:7">
      <c r="A352" s="97">
        <f>2022</f>
        <v>2022</v>
      </c>
      <c r="B352" s="98" t="s">
        <v>64</v>
      </c>
      <c r="C352" s="99">
        <f t="shared" si="35"/>
        <v>6370.3400000000138</v>
      </c>
      <c r="D352" s="100">
        <v>-0.29003564010536831</v>
      </c>
      <c r="E352" s="99">
        <f t="shared" si="41"/>
        <v>4.0898425500486724</v>
      </c>
      <c r="F352" s="155">
        <f t="shared" si="40"/>
        <v>7.1688247891645407</v>
      </c>
      <c r="G352" s="96">
        <f t="shared" si="38"/>
        <v>1.1993315898366497</v>
      </c>
    </row>
    <row r="353" spans="1:7">
      <c r="A353" s="97">
        <f>2022</f>
        <v>2022</v>
      </c>
      <c r="B353" s="98" t="s">
        <v>65</v>
      </c>
      <c r="C353" s="99">
        <f t="shared" si="35"/>
        <v>6407.9300000000148</v>
      </c>
      <c r="D353" s="100">
        <v>0.59007839455980093</v>
      </c>
      <c r="E353" s="99">
        <f t="shared" si="41"/>
        <v>4.704054221867815</v>
      </c>
      <c r="F353" s="155">
        <f t="shared" si="40"/>
        <v>6.4703722349883863</v>
      </c>
      <c r="G353" s="96">
        <f t="shared" si="38"/>
        <v>1.192296108103553</v>
      </c>
    </row>
    <row r="354" spans="1:7">
      <c r="A354" s="97">
        <f>2022</f>
        <v>2022</v>
      </c>
      <c r="B354" s="98" t="s">
        <v>66</v>
      </c>
      <c r="C354" s="99">
        <f t="shared" si="35"/>
        <v>6434.2000000000153</v>
      </c>
      <c r="D354" s="100">
        <v>0.40996078296735572</v>
      </c>
      <c r="E354" s="99">
        <f t="shared" si="41"/>
        <v>5.1332997823543725</v>
      </c>
      <c r="F354" s="155">
        <f t="shared" si="40"/>
        <v>5.9007289707012855</v>
      </c>
      <c r="G354" s="96">
        <f t="shared" si="38"/>
        <v>1.1874281184918094</v>
      </c>
    </row>
    <row r="355" spans="1:7">
      <c r="A355" s="97">
        <f>2022</f>
        <v>2022</v>
      </c>
      <c r="B355" s="98" t="s">
        <v>55</v>
      </c>
      <c r="C355" s="99">
        <f t="shared" si="35"/>
        <v>6474.0900000000147</v>
      </c>
      <c r="D355" s="100">
        <v>0.6199682944266538</v>
      </c>
      <c r="E355" s="99">
        <f t="shared" si="41"/>
        <v>5.7850929078894886</v>
      </c>
      <c r="F355" s="155">
        <f t="shared" si="40"/>
        <v>5.7850929078894886</v>
      </c>
      <c r="G355" s="96">
        <f t="shared" si="38"/>
        <v>1.1801117994961456</v>
      </c>
    </row>
    <row r="356" spans="1:7">
      <c r="A356" s="97">
        <f>2023</f>
        <v>2023</v>
      </c>
      <c r="B356" s="98" t="s">
        <v>56</v>
      </c>
      <c r="C356" s="99">
        <f t="shared" si="35"/>
        <v>6508.4000000000142</v>
      </c>
      <c r="D356" s="100">
        <v>0.52995865055938118</v>
      </c>
      <c r="E356" s="99">
        <f t="shared" ref="E356:E367" si="42">+((C356/$C$355)-1)*100</f>
        <v>0.52995865055938118</v>
      </c>
      <c r="F356" s="155">
        <f t="shared" si="40"/>
        <v>5.774497041323956</v>
      </c>
      <c r="G356" s="96">
        <f t="shared" si="38"/>
        <v>1.1738906643721962</v>
      </c>
    </row>
    <row r="357" spans="1:7">
      <c r="A357" s="97">
        <f>2023</f>
        <v>2023</v>
      </c>
      <c r="B357" s="98" t="s">
        <v>57</v>
      </c>
      <c r="C357" s="99">
        <f t="shared" si="35"/>
        <v>6563.0700000000143</v>
      </c>
      <c r="D357" s="100">
        <v>0.83999139573474046</v>
      </c>
      <c r="E357" s="99">
        <f t="shared" si="42"/>
        <v>1.3744016533597581</v>
      </c>
      <c r="F357" s="155">
        <f t="shared" si="40"/>
        <v>5.596404965858115</v>
      </c>
      <c r="G357" s="96">
        <f t="shared" si="38"/>
        <v>1.1641122218717768</v>
      </c>
    </row>
    <row r="358" spans="1:7">
      <c r="A358" s="97">
        <f>2023</f>
        <v>2023</v>
      </c>
      <c r="B358" s="98" t="s">
        <v>58</v>
      </c>
      <c r="C358" s="99">
        <f t="shared" si="35"/>
        <v>6609.6700000000155</v>
      </c>
      <c r="D358" s="100">
        <v>0.71003356660832573</v>
      </c>
      <c r="E358" s="99">
        <f t="shared" si="42"/>
        <v>2.0941939330469728</v>
      </c>
      <c r="F358" s="155">
        <f t="shared" si="40"/>
        <v>4.6507798534816125</v>
      </c>
      <c r="G358" s="96">
        <f t="shared" si="38"/>
        <v>1.1559049090196638</v>
      </c>
    </row>
    <row r="359" spans="1:7">
      <c r="A359" s="97">
        <f>2023</f>
        <v>2023</v>
      </c>
      <c r="B359" s="98" t="s">
        <v>59</v>
      </c>
      <c r="C359" s="99">
        <f t="shared" si="35"/>
        <v>6649.9900000000152</v>
      </c>
      <c r="D359" s="100">
        <v>0.61001532602988906</v>
      </c>
      <c r="E359" s="99">
        <f t="shared" si="42"/>
        <v>2.7169841630252378</v>
      </c>
      <c r="F359" s="155">
        <f t="shared" si="40"/>
        <v>4.184788058055311</v>
      </c>
      <c r="G359" s="96">
        <f t="shared" si="38"/>
        <v>1.1488964645059618</v>
      </c>
    </row>
    <row r="360" spans="1:7">
      <c r="A360" s="97">
        <f>2023</f>
        <v>2023</v>
      </c>
      <c r="B360" s="98" t="s">
        <v>60</v>
      </c>
      <c r="C360" s="99">
        <f t="shared" si="35"/>
        <v>6665.2800000000152</v>
      </c>
      <c r="D360" s="100">
        <v>0.22992515778219591</v>
      </c>
      <c r="E360" s="99">
        <f t="shared" si="42"/>
        <v>2.9531563509311853</v>
      </c>
      <c r="F360" s="155">
        <f t="shared" si="40"/>
        <v>3.9358291438480242</v>
      </c>
      <c r="G360" s="96">
        <f t="shared" si="38"/>
        <v>1.1462609222718327</v>
      </c>
    </row>
    <row r="361" spans="1:7">
      <c r="A361" s="97">
        <f>2023</f>
        <v>2023</v>
      </c>
      <c r="B361" s="98" t="s">
        <v>61</v>
      </c>
      <c r="C361" s="99">
        <f t="shared" si="35"/>
        <v>6659.9500000000153</v>
      </c>
      <c r="D361" s="100">
        <v>-7.9966633059680436E-2</v>
      </c>
      <c r="E361" s="99">
        <f t="shared" si="42"/>
        <v>2.8708281781686606</v>
      </c>
      <c r="F361" s="155">
        <f t="shared" si="40"/>
        <v>3.1614737021461226</v>
      </c>
      <c r="G361" s="96">
        <f t="shared" si="38"/>
        <v>1.1471782821192353</v>
      </c>
    </row>
    <row r="362" spans="1:7">
      <c r="A362" s="97">
        <f>2023</f>
        <v>2023</v>
      </c>
      <c r="B362" s="98" t="s">
        <v>62</v>
      </c>
      <c r="C362" s="99">
        <f t="shared" si="35"/>
        <v>6667.940000000016</v>
      </c>
      <c r="D362" s="100">
        <v>0.11997087065218626</v>
      </c>
      <c r="E362" s="99">
        <f t="shared" si="42"/>
        <v>2.9942432063811308</v>
      </c>
      <c r="F362" s="155">
        <f t="shared" si="40"/>
        <v>3.9923892107705417</v>
      </c>
      <c r="G362" s="96">
        <f t="shared" si="38"/>
        <v>1.1458036515025631</v>
      </c>
    </row>
    <row r="363" spans="1:7">
      <c r="A363" s="97">
        <f>2023</f>
        <v>2023</v>
      </c>
      <c r="B363" s="98" t="s">
        <v>63</v>
      </c>
      <c r="C363" s="99">
        <f t="shared" si="35"/>
        <v>6683.2800000000161</v>
      </c>
      <c r="D363" s="100">
        <v>0.23005605929267148</v>
      </c>
      <c r="E363" s="99">
        <f t="shared" si="42"/>
        <v>3.2311877036000469</v>
      </c>
      <c r="F363" s="155">
        <f t="shared" si="40"/>
        <v>4.6081701458943858</v>
      </c>
      <c r="G363" s="96">
        <f t="shared" si="38"/>
        <v>1.1431737111119091</v>
      </c>
    </row>
    <row r="364" spans="1:7">
      <c r="A364" s="97">
        <f>2023</f>
        <v>2023</v>
      </c>
      <c r="B364" s="98" t="s">
        <v>64</v>
      </c>
      <c r="C364" s="99">
        <f t="shared" si="35"/>
        <v>6700.6600000000171</v>
      </c>
      <c r="D364" s="100">
        <v>0.260051950539264</v>
      </c>
      <c r="E364" s="99">
        <f t="shared" si="42"/>
        <v>3.4996424207881294</v>
      </c>
      <c r="F364" s="155">
        <f t="shared" si="40"/>
        <v>5.1852805344769992</v>
      </c>
      <c r="G364" s="96">
        <f t="shared" si="38"/>
        <v>1.1402085764685865</v>
      </c>
    </row>
    <row r="365" spans="1:7">
      <c r="A365" s="97">
        <f>2023</f>
        <v>2023</v>
      </c>
      <c r="B365" s="98" t="s">
        <v>65</v>
      </c>
      <c r="C365" s="99">
        <f t="shared" si="35"/>
        <v>6716.7400000000162</v>
      </c>
      <c r="D365" s="100">
        <v>0.23997636053760818</v>
      </c>
      <c r="E365" s="99">
        <f t="shared" si="42"/>
        <v>3.7480170958389625</v>
      </c>
      <c r="F365" s="155">
        <f t="shared" si="40"/>
        <v>4.8191849786124452</v>
      </c>
      <c r="G365" s="96">
        <f t="shared" si="38"/>
        <v>1.1374788960120534</v>
      </c>
    </row>
    <row r="366" spans="1:7">
      <c r="A366" s="97">
        <f>2023</f>
        <v>2023</v>
      </c>
      <c r="B366" s="98" t="s">
        <v>66</v>
      </c>
      <c r="C366" s="99">
        <f t="shared" si="35"/>
        <v>6735.5500000000166</v>
      </c>
      <c r="D366" s="100">
        <v>0.28004657021114543</v>
      </c>
      <c r="E366" s="99">
        <f t="shared" si="42"/>
        <v>4.0385598593779326</v>
      </c>
      <c r="F366" s="155">
        <f t="shared" si="40"/>
        <v>4.6835659444841804</v>
      </c>
      <c r="G366" s="96">
        <f t="shared" si="38"/>
        <v>1.1343023212655239</v>
      </c>
    </row>
    <row r="367" spans="1:7">
      <c r="A367" s="97">
        <f>2023</f>
        <v>2023</v>
      </c>
      <c r="B367" s="98" t="s">
        <v>55</v>
      </c>
      <c r="C367" s="99">
        <f t="shared" si="35"/>
        <v>6773.2700000000168</v>
      </c>
      <c r="D367" s="100">
        <v>0.56001365886972909</v>
      </c>
      <c r="E367" s="99">
        <f t="shared" si="42"/>
        <v>4.62119000508181</v>
      </c>
      <c r="F367" s="155">
        <f t="shared" si="40"/>
        <v>4.62119000508181</v>
      </c>
      <c r="G367" s="96">
        <f t="shared" si="38"/>
        <v>1.1279854486828371</v>
      </c>
    </row>
    <row r="368" spans="1:7">
      <c r="A368" s="97">
        <f>2024</f>
        <v>2024</v>
      </c>
      <c r="B368" s="98" t="s">
        <v>56</v>
      </c>
      <c r="C368" s="99">
        <f t="shared" ref="C368:C380" si="43">+C367*(1+D368/100)</f>
        <v>6801.7200000000166</v>
      </c>
      <c r="D368" s="100">
        <v>0.42003345503722755</v>
      </c>
      <c r="E368" s="99">
        <f t="shared" ref="E368:E379" si="44">+((C368/$C$367)-1)*100</f>
        <v>0.42003345503722755</v>
      </c>
      <c r="F368" s="155">
        <f t="shared" si="40"/>
        <v>4.5067912236494756</v>
      </c>
      <c r="G368" s="96">
        <f t="shared" si="38"/>
        <v>1.1232673500232295</v>
      </c>
    </row>
    <row r="369" spans="1:7">
      <c r="A369" s="97">
        <f>2024</f>
        <v>2024</v>
      </c>
      <c r="B369" s="98" t="s">
        <v>57</v>
      </c>
      <c r="C369" s="99">
        <f t="shared" si="43"/>
        <v>6858.1700000000174</v>
      </c>
      <c r="D369" s="100">
        <v>0.82993713354857501</v>
      </c>
      <c r="E369" s="99">
        <f t="shared" si="44"/>
        <v>1.2534566022024851</v>
      </c>
      <c r="F369" s="155">
        <f t="shared" si="40"/>
        <v>4.4963713627921509</v>
      </c>
      <c r="G369" s="96">
        <f t="shared" si="38"/>
        <v>1.114021670503939</v>
      </c>
    </row>
    <row r="370" spans="1:7">
      <c r="A370" s="97">
        <f>2024</f>
        <v>2024</v>
      </c>
      <c r="B370" s="98" t="s">
        <v>58</v>
      </c>
      <c r="C370" s="99">
        <f t="shared" si="43"/>
        <v>6869.1400000000176</v>
      </c>
      <c r="D370" s="100">
        <v>0.15995520670966101</v>
      </c>
      <c r="E370" s="99">
        <f t="shared" si="44"/>
        <v>1.4154167780112248</v>
      </c>
      <c r="F370" s="155">
        <f t="shared" si="40"/>
        <v>3.9256120199647082</v>
      </c>
      <c r="G370" s="96">
        <f t="shared" si="38"/>
        <v>1.1122425805850513</v>
      </c>
    </row>
    <row r="371" spans="1:7">
      <c r="A371" s="97">
        <f>2024</f>
        <v>2024</v>
      </c>
      <c r="B371" s="98" t="s">
        <v>59</v>
      </c>
      <c r="C371" s="99">
        <f t="shared" si="43"/>
        <v>6895.240000000018</v>
      </c>
      <c r="D371" s="100">
        <v>0.37996022791790818</v>
      </c>
      <c r="E371" s="99">
        <f t="shared" si="44"/>
        <v>1.8007550267448602</v>
      </c>
      <c r="F371" s="155">
        <f t="shared" si="40"/>
        <v>3.6879754706398371</v>
      </c>
      <c r="G371" s="96">
        <f t="shared" si="38"/>
        <v>1.1080324977810778</v>
      </c>
    </row>
    <row r="372" spans="1:7">
      <c r="A372" s="97">
        <f>2024</f>
        <v>2024</v>
      </c>
      <c r="B372" s="98" t="s">
        <v>60</v>
      </c>
      <c r="C372" s="99">
        <f t="shared" si="43"/>
        <v>6926.9600000000182</v>
      </c>
      <c r="D372" s="100">
        <v>0.4600274972299756</v>
      </c>
      <c r="E372" s="99">
        <f t="shared" si="44"/>
        <v>2.2690664922556003</v>
      </c>
      <c r="F372" s="155">
        <f t="shared" si="40"/>
        <v>3.9260166114552186</v>
      </c>
      <c r="G372" s="96">
        <f t="shared" si="38"/>
        <v>1.102958585006987</v>
      </c>
    </row>
    <row r="373" spans="1:7">
      <c r="A373" s="97">
        <f>2024</f>
        <v>2024</v>
      </c>
      <c r="B373" s="98" t="s">
        <v>61</v>
      </c>
      <c r="C373" s="99">
        <f t="shared" si="43"/>
        <v>6941.5100000000184</v>
      </c>
      <c r="D373" s="100">
        <v>0.21004885259912065</v>
      </c>
      <c r="E373" s="99">
        <f t="shared" si="44"/>
        <v>2.4838814929864172</v>
      </c>
      <c r="F373" s="155">
        <f t="shared" si="40"/>
        <v>4.2276593668121087</v>
      </c>
      <c r="G373" s="96">
        <f t="shared" si="38"/>
        <v>1.1006466892650155</v>
      </c>
    </row>
    <row r="374" spans="1:7">
      <c r="A374" s="97">
        <f>2024</f>
        <v>2024</v>
      </c>
      <c r="B374" s="98" t="s">
        <v>62</v>
      </c>
      <c r="C374" s="99">
        <f t="shared" si="43"/>
        <v>6967.8900000000185</v>
      </c>
      <c r="D374" s="100">
        <v>0.38003258656977845</v>
      </c>
      <c r="E374" s="99">
        <f t="shared" si="44"/>
        <v>2.8733536386413183</v>
      </c>
      <c r="F374" s="155">
        <f t="shared" si="40"/>
        <v>4.4983908073558121</v>
      </c>
      <c r="G374" s="96">
        <f t="shared" si="38"/>
        <v>1.0964797090654415</v>
      </c>
    </row>
    <row r="375" spans="1:7">
      <c r="A375" s="97">
        <f>2024</f>
        <v>2024</v>
      </c>
      <c r="B375" s="98" t="s">
        <v>63</v>
      </c>
      <c r="C375" s="99">
        <f t="shared" si="43"/>
        <v>6966.5000000000182</v>
      </c>
      <c r="D375" s="100">
        <v>-1.9948650165257931E-2</v>
      </c>
      <c r="E375" s="99">
        <f t="shared" si="44"/>
        <v>2.852831793210675</v>
      </c>
      <c r="F375" s="155">
        <f t="shared" si="40"/>
        <v>4.2377395530338591</v>
      </c>
      <c r="G375" s="96">
        <f t="shared" si="38"/>
        <v>1.0966984856097035</v>
      </c>
    </row>
    <row r="376" spans="1:7">
      <c r="A376" s="97">
        <f>2024</f>
        <v>2024</v>
      </c>
      <c r="B376" s="98" t="s">
        <v>64</v>
      </c>
      <c r="C376" s="99">
        <f t="shared" si="43"/>
        <v>6997.1500000000178</v>
      </c>
      <c r="D376" s="100">
        <v>0.439962678532968</v>
      </c>
      <c r="E376" s="99">
        <f t="shared" si="44"/>
        <v>3.3053458669151103</v>
      </c>
      <c r="F376" s="155">
        <f t="shared" si="40"/>
        <v>4.424788005957625</v>
      </c>
      <c r="G376" s="96">
        <f t="shared" si="38"/>
        <v>1.0918945570696639</v>
      </c>
    </row>
    <row r="377" spans="1:7">
      <c r="A377" s="97">
        <f>2024</f>
        <v>2024</v>
      </c>
      <c r="B377" s="98" t="s">
        <v>65</v>
      </c>
      <c r="C377" s="99">
        <f t="shared" si="43"/>
        <v>7036.330000000019</v>
      </c>
      <c r="D377" s="100">
        <v>0.55994226220676957</v>
      </c>
      <c r="E377" s="99">
        <f t="shared" si="44"/>
        <v>3.8837961575428404</v>
      </c>
      <c r="F377" s="155">
        <f t="shared" si="40"/>
        <v>4.7581118221042162</v>
      </c>
      <c r="G377" s="96">
        <f t="shared" ref="G377:G396" si="45">+$C$396/C377</f>
        <v>1.0858146221112424</v>
      </c>
    </row>
    <row r="378" spans="1:7">
      <c r="A378" s="97">
        <f>2024</f>
        <v>2024</v>
      </c>
      <c r="B378" s="98" t="s">
        <v>66</v>
      </c>
      <c r="C378" s="99">
        <f t="shared" si="43"/>
        <v>7063.7700000000195</v>
      </c>
      <c r="D378" s="100">
        <v>0.38997602443320289</v>
      </c>
      <c r="E378" s="99">
        <f t="shared" si="44"/>
        <v>4.2889180558283169</v>
      </c>
      <c r="F378" s="155">
        <f t="shared" si="40"/>
        <v>4.8729502416284154</v>
      </c>
      <c r="G378" s="96">
        <f t="shared" si="45"/>
        <v>1.0815966544777078</v>
      </c>
    </row>
    <row r="379" spans="1:7">
      <c r="A379" s="97">
        <f>2024</f>
        <v>2024</v>
      </c>
      <c r="B379" s="98" t="s">
        <v>55</v>
      </c>
      <c r="C379" s="99">
        <f t="shared" si="43"/>
        <v>7100.5000000000191</v>
      </c>
      <c r="D379" s="100">
        <v>0.51997729257888814</v>
      </c>
      <c r="E379" s="99">
        <f t="shared" si="44"/>
        <v>4.831196748394806</v>
      </c>
      <c r="F379" s="155">
        <f t="shared" si="40"/>
        <v>4.831196748394806</v>
      </c>
      <c r="G379" s="96">
        <f t="shared" si="45"/>
        <v>1.0760016900218292</v>
      </c>
    </row>
    <row r="380" spans="1:7">
      <c r="A380" s="97">
        <f>2025</f>
        <v>2025</v>
      </c>
      <c r="B380" s="98" t="s">
        <v>56</v>
      </c>
      <c r="C380" s="99">
        <f t="shared" si="43"/>
        <v>7111.8600000000179</v>
      </c>
      <c r="D380" s="100">
        <v>0.15998873318778806</v>
      </c>
      <c r="E380" s="99">
        <f t="shared" ref="E380:E385" si="46">+((C380/$C$379)-1)*100</f>
        <v>0.15998873318778806</v>
      </c>
      <c r="F380" s="155">
        <f t="shared" si="40"/>
        <v>4.5597290097210808</v>
      </c>
      <c r="G380" s="96">
        <f t="shared" si="45"/>
        <v>1.0742829583259512</v>
      </c>
    </row>
    <row r="381" spans="1:7">
      <c r="A381" s="97">
        <f>2025</f>
        <v>2025</v>
      </c>
      <c r="B381" s="98" t="s">
        <v>57</v>
      </c>
      <c r="C381" s="99">
        <f t="shared" ref="C381:C386" si="47">+C380*(1+D381/100)</f>
        <v>7205.0300000000188</v>
      </c>
      <c r="D381" s="100">
        <v>1.3100651587629741</v>
      </c>
      <c r="E381" s="99">
        <f t="shared" si="46"/>
        <v>1.4721498486022</v>
      </c>
      <c r="F381" s="155">
        <f t="shared" ref="F381:F386" si="48">100*((C381/C369)-1)</f>
        <v>5.0576174110586347</v>
      </c>
      <c r="G381" s="96">
        <f t="shared" si="45"/>
        <v>1.0603911434095346</v>
      </c>
    </row>
    <row r="382" spans="1:7">
      <c r="A382" s="97">
        <f>2025</f>
        <v>2025</v>
      </c>
      <c r="B382" s="98" t="s">
        <v>58</v>
      </c>
      <c r="C382" s="99">
        <f t="shared" si="47"/>
        <v>7245.3800000000183</v>
      </c>
      <c r="D382" s="100">
        <v>0.56002542668107669</v>
      </c>
      <c r="E382" s="99">
        <f t="shared" si="46"/>
        <v>2.0404196887543025</v>
      </c>
      <c r="F382" s="155">
        <f t="shared" si="48"/>
        <v>5.4772504272732725</v>
      </c>
      <c r="G382" s="96">
        <f t="shared" si="45"/>
        <v>1.054485755060466</v>
      </c>
    </row>
    <row r="383" spans="1:7">
      <c r="A383" s="97">
        <f>2025</f>
        <v>2025</v>
      </c>
      <c r="B383" s="98" t="s">
        <v>59</v>
      </c>
      <c r="C383" s="99">
        <f t="shared" si="47"/>
        <v>7276.5400000000182</v>
      </c>
      <c r="D383" s="100">
        <v>0.43006716003852752</v>
      </c>
      <c r="E383" s="99">
        <f t="shared" si="46"/>
        <v>2.4792620238011098</v>
      </c>
      <c r="F383" s="155">
        <f t="shared" si="48"/>
        <v>5.5299017873199352</v>
      </c>
      <c r="G383" s="96">
        <f t="shared" si="45"/>
        <v>1.0499701781341131</v>
      </c>
    </row>
    <row r="384" spans="1:7">
      <c r="A384" s="97">
        <f>2025</f>
        <v>2025</v>
      </c>
      <c r="B384" s="98" t="s">
        <v>60</v>
      </c>
      <c r="C384" s="99">
        <f t="shared" si="47"/>
        <v>7295.4600000000182</v>
      </c>
      <c r="D384" s="100">
        <v>0.26001368782415657</v>
      </c>
      <c r="E384" s="99">
        <f t="shared" si="46"/>
        <v>2.7457221322441994</v>
      </c>
      <c r="F384" s="155">
        <f t="shared" si="48"/>
        <v>5.3197939644519243</v>
      </c>
      <c r="G384" s="96">
        <f t="shared" si="45"/>
        <v>1.0472471920893267</v>
      </c>
    </row>
    <row r="385" spans="1:7">
      <c r="A385" s="97">
        <f>2025</f>
        <v>2025</v>
      </c>
      <c r="B385" s="98" t="s">
        <v>61</v>
      </c>
      <c r="C385" s="99">
        <f t="shared" si="47"/>
        <v>7312.9700000000194</v>
      </c>
      <c r="D385" s="100">
        <v>0.2400122816107686</v>
      </c>
      <c r="E385" s="99">
        <f t="shared" si="46"/>
        <v>2.9923244841912444</v>
      </c>
      <c r="F385" s="155">
        <f t="shared" si="48"/>
        <v>5.3512852390906307</v>
      </c>
      <c r="G385" s="96">
        <f t="shared" si="45"/>
        <v>1.0447396885260023</v>
      </c>
    </row>
    <row r="386" spans="1:7">
      <c r="A386" s="97">
        <f>2025</f>
        <v>2025</v>
      </c>
      <c r="B386" s="98" t="s">
        <v>62</v>
      </c>
      <c r="C386" s="99">
        <f t="shared" si="47"/>
        <v>7331.9800000000187</v>
      </c>
      <c r="D386" s="100">
        <v>0.25994910412594496</v>
      </c>
      <c r="E386" s="99">
        <f t="shared" ref="E386" si="49">+((C386/$C$379)-1)*100</f>
        <v>3.260052109006395</v>
      </c>
      <c r="F386" s="155">
        <f t="shared" si="48"/>
        <v>5.2252547040782638</v>
      </c>
      <c r="G386" s="96">
        <f t="shared" si="45"/>
        <v>1.0420309384368205</v>
      </c>
    </row>
    <row r="387" spans="1:7">
      <c r="A387" s="97">
        <f>2025</f>
        <v>2025</v>
      </c>
      <c r="B387" s="98" t="s">
        <v>63</v>
      </c>
      <c r="C387" s="99">
        <f t="shared" ref="C387" si="50">+C386*(1+D387/100)</f>
        <v>7323.910000000019</v>
      </c>
      <c r="D387" s="100">
        <v>-0.11006576668238788</v>
      </c>
      <c r="E387" s="99">
        <f t="shared" ref="E387" si="51">+((C387/$C$379)-1)*100</f>
        <v>3.14639814097597</v>
      </c>
      <c r="F387" s="155">
        <f t="shared" ref="F387" si="52">100*((C387/C375)-1)</f>
        <v>5.1304098184167035</v>
      </c>
      <c r="G387" s="96">
        <f t="shared" si="45"/>
        <v>1.0431791215348085</v>
      </c>
    </row>
    <row r="388" spans="1:7">
      <c r="A388" s="91">
        <f>2025</f>
        <v>2025</v>
      </c>
      <c r="B388" s="92" t="s">
        <v>64</v>
      </c>
      <c r="C388" s="93">
        <f t="shared" ref="C388" si="53">+C387*(1+D388/100)</f>
        <v>7359.0600000000204</v>
      </c>
      <c r="D388" s="94">
        <v>0.47993489816233748</v>
      </c>
      <c r="E388" s="93">
        <f t="shared" ref="E388" si="54">+((C388/$C$379)-1)*100</f>
        <v>3.6414337018519927</v>
      </c>
      <c r="F388" s="154">
        <f t="shared" ref="F388" si="55">100*((C388/C376)-1)</f>
        <v>5.1722487012569651</v>
      </c>
      <c r="G388" s="96">
        <f t="shared" si="45"/>
        <v>1.0381964544384741</v>
      </c>
    </row>
    <row r="389" spans="1:7">
      <c r="A389" s="91">
        <f>2025</f>
        <v>2025</v>
      </c>
      <c r="B389" s="92" t="s">
        <v>65</v>
      </c>
      <c r="C389" s="93">
        <f t="shared" ref="C389:C390" si="56">+C388*(1+D389/100)</f>
        <v>7365.6800000000203</v>
      </c>
      <c r="D389" s="94">
        <v>8.995714126531773E-2</v>
      </c>
      <c r="E389" s="93">
        <f t="shared" ref="E389:E390" si="57">+((C389/$C$379)-1)*100</f>
        <v>3.7346665727765682</v>
      </c>
      <c r="F389" s="154">
        <f t="shared" ref="F389:F390" si="58">100*((C389/C377)-1)</f>
        <v>4.6807071299953318</v>
      </c>
      <c r="G389" s="96">
        <f t="shared" si="45"/>
        <v>1.0372633619706528</v>
      </c>
    </row>
    <row r="390" spans="1:7">
      <c r="A390" s="97">
        <f>2025</f>
        <v>2025</v>
      </c>
      <c r="B390" s="98" t="s">
        <v>66</v>
      </c>
      <c r="C390" s="99">
        <f t="shared" si="56"/>
        <v>7378.9400000000196</v>
      </c>
      <c r="D390" s="100">
        <v>0.18002411182673761</v>
      </c>
      <c r="E390" s="99">
        <f t="shared" si="57"/>
        <v>3.921413984930644</v>
      </c>
      <c r="F390" s="155">
        <f t="shared" si="58"/>
        <v>4.4617817397791804</v>
      </c>
      <c r="G390" s="96">
        <f t="shared" si="45"/>
        <v>1.0353993934088093</v>
      </c>
    </row>
    <row r="391" spans="1:7">
      <c r="A391" s="97">
        <f>2025</f>
        <v>2025</v>
      </c>
      <c r="B391" s="98" t="s">
        <v>55</v>
      </c>
      <c r="C391" s="99">
        <f t="shared" ref="C391" si="59">+C390*(1+D391/100)</f>
        <v>7403.2900000000191</v>
      </c>
      <c r="D391" s="100">
        <v>0.32999319685482753</v>
      </c>
      <c r="E391" s="99">
        <f t="shared" ref="E391" si="60">+((C391/$C$379)-1)*100</f>
        <v>4.2643475811562359</v>
      </c>
      <c r="F391" s="155">
        <f t="shared" ref="F391" si="61">100*((C391/C379)-1)</f>
        <v>4.2643475811562359</v>
      </c>
      <c r="G391" s="96">
        <f t="shared" si="45"/>
        <v>1.0319938838003102</v>
      </c>
    </row>
    <row r="392" spans="1:7">
      <c r="A392" s="97">
        <f>2026</f>
        <v>2026</v>
      </c>
      <c r="B392" s="98" t="s">
        <v>56</v>
      </c>
      <c r="C392" s="99">
        <f t="shared" ref="C392" si="62">+C391*(1+D392/100)</f>
        <v>7427.7200000000203</v>
      </c>
      <c r="D392" s="100">
        <v>0.32998842406553042</v>
      </c>
      <c r="E392" s="99">
        <f>+((C392/$C$391)-1)*100</f>
        <v>0.32998842406553042</v>
      </c>
      <c r="F392" s="155">
        <f t="shared" ref="F392" si="63">100*((C392/C380)-1)</f>
        <v>4.441313524169499</v>
      </c>
      <c r="G392" s="96">
        <f t="shared" si="45"/>
        <v>1.0285996241107631</v>
      </c>
    </row>
    <row r="393" spans="1:7">
      <c r="A393" s="91">
        <f>2026</f>
        <v>2026</v>
      </c>
      <c r="B393" s="92" t="s">
        <v>57</v>
      </c>
      <c r="C393" s="93">
        <f t="shared" ref="C393" si="64">+C392*(1+D393/100)</f>
        <v>7479.71000000002</v>
      </c>
      <c r="D393" s="94">
        <v>0.69994560915058734</v>
      </c>
      <c r="E393" s="93">
        <f>+((C393/$C$391)-1)*100</f>
        <v>1.032243772701058</v>
      </c>
      <c r="F393" s="154">
        <f t="shared" ref="F393" si="65">100*((C393/C381)-1)</f>
        <v>3.8123366592505592</v>
      </c>
      <c r="G393" s="96">
        <f t="shared" si="45"/>
        <v>1.0214500294797524</v>
      </c>
    </row>
    <row r="394" spans="1:7">
      <c r="A394" s="91">
        <f>2026</f>
        <v>2026</v>
      </c>
      <c r="B394" s="92" t="s">
        <v>58</v>
      </c>
      <c r="C394" s="93">
        <f t="shared" ref="C394:C395" si="66">+C393*(1+D394/100)</f>
        <v>7545.5300000000188</v>
      </c>
      <c r="D394" s="94">
        <v>0.87998064096066475</v>
      </c>
      <c r="E394" s="93">
        <f t="shared" ref="E394:E395" si="67">+((C394/$C$391)-1)*100</f>
        <v>1.9213079590290283</v>
      </c>
      <c r="F394" s="154">
        <f t="shared" ref="F394:F395" si="68">100*((C394/C382)-1)</f>
        <v>4.1426398615393545</v>
      </c>
      <c r="G394" s="96">
        <f t="shared" si="45"/>
        <v>1.0125398746012539</v>
      </c>
    </row>
    <row r="395" spans="1:7">
      <c r="A395" s="91">
        <f>2026</f>
        <v>2026</v>
      </c>
      <c r="B395" s="92" t="s">
        <v>59</v>
      </c>
      <c r="C395" s="93">
        <f t="shared" si="66"/>
        <v>7596.0900000000202</v>
      </c>
      <c r="D395" s="94">
        <v>0.6700655885007567</v>
      </c>
      <c r="E395" s="93">
        <f t="shared" si="67"/>
        <v>2.6042475710123636</v>
      </c>
      <c r="F395" s="154">
        <f t="shared" si="68"/>
        <v>4.3915102507510628</v>
      </c>
      <c r="G395" s="96">
        <f t="shared" si="45"/>
        <v>1.0058003525497985</v>
      </c>
    </row>
    <row r="396" spans="1:7" ht="16.5" thickBot="1">
      <c r="A396" s="103">
        <f>2026</f>
        <v>2026</v>
      </c>
      <c r="B396" s="104" t="s">
        <v>60</v>
      </c>
      <c r="C396" s="105">
        <f t="shared" ref="C396" si="69">+C395*(1+D396/100)</f>
        <v>7640.1500000000187</v>
      </c>
      <c r="D396" s="106">
        <v>0.58003525497984931</v>
      </c>
      <c r="E396" s="105">
        <f t="shared" ref="E396" si="70">+((C396/$C$391)-1)*100</f>
        <v>3.1993883800310208</v>
      </c>
      <c r="F396" s="156">
        <f t="shared" ref="F396" si="71">100*((C396/C384)-1)</f>
        <v>4.7247192089326706</v>
      </c>
      <c r="G396" s="108">
        <f t="shared" si="45"/>
        <v>1</v>
      </c>
    </row>
    <row r="397" spans="1:7" s="158" customFormat="1">
      <c r="A397" s="157" t="s">
        <v>88</v>
      </c>
      <c r="F397" s="159"/>
      <c r="G397" s="160"/>
    </row>
    <row r="398" spans="1:7">
      <c r="A398" s="111" t="s">
        <v>89</v>
      </c>
      <c r="D398" s="161"/>
      <c r="E398" s="161"/>
      <c r="F398" s="161"/>
      <c r="G398" s="162"/>
    </row>
    <row r="399" spans="1:7">
      <c r="A399" s="111" t="s">
        <v>90</v>
      </c>
      <c r="D399" s="161"/>
      <c r="E399" s="161"/>
      <c r="F399" s="161"/>
      <c r="G399" s="163"/>
    </row>
    <row r="400" spans="1:7">
      <c r="A400" s="164" t="s">
        <v>97</v>
      </c>
      <c r="D400" s="161"/>
      <c r="E400" s="161"/>
      <c r="F400" s="161"/>
      <c r="G400" s="163"/>
    </row>
    <row r="401" spans="1:6">
      <c r="A401" s="111" t="s">
        <v>98</v>
      </c>
      <c r="D401" s="161"/>
      <c r="E401" s="161"/>
      <c r="F401" s="161"/>
    </row>
    <row r="402" spans="1:6">
      <c r="A402" s="111" t="s">
        <v>99</v>
      </c>
      <c r="D402" s="161"/>
      <c r="E402" s="161"/>
      <c r="F402" s="161"/>
    </row>
    <row r="403" spans="1:6">
      <c r="A403" s="111" t="s">
        <v>100</v>
      </c>
    </row>
  </sheetData>
  <mergeCells count="6"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008F-E0B0-467C-8305-28F3512C1E6E}">
  <sheetPr>
    <tabColor rgb="FF92D050"/>
  </sheetPr>
  <dimension ref="A1:G404"/>
  <sheetViews>
    <sheetView showGridLines="0" zoomScale="90" zoomScaleNormal="90" workbookViewId="0">
      <pane ySplit="2355" topLeftCell="A309" activePane="bottomLeft"/>
      <selection pane="bottomLeft" activeCell="F315" sqref="F315"/>
      <selection activeCell="H392" sqref="H392"/>
    </sheetView>
  </sheetViews>
  <sheetFormatPr defaultColWidth="12.42578125" defaultRowHeight="15.7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6384" width="12.42578125" style="55"/>
  </cols>
  <sheetData>
    <row r="1" spans="1:7" ht="21" customHeight="1">
      <c r="A1" s="706" t="s">
        <v>101</v>
      </c>
      <c r="B1" s="706"/>
      <c r="C1" s="706"/>
      <c r="D1" s="706"/>
      <c r="E1" s="706"/>
      <c r="F1" s="706"/>
      <c r="G1" s="706"/>
    </row>
    <row r="2" spans="1:7" ht="15.75" customHeight="1">
      <c r="A2" s="706"/>
      <c r="B2" s="706"/>
      <c r="C2" s="706"/>
      <c r="D2" s="706"/>
      <c r="E2" s="706"/>
      <c r="F2" s="706"/>
      <c r="G2" s="706"/>
    </row>
    <row r="3" spans="1:7" ht="15" customHeight="1" thickBot="1">
      <c r="A3" s="707"/>
      <c r="B3" s="707"/>
      <c r="C3" s="707"/>
      <c r="D3" s="707"/>
      <c r="E3" s="707"/>
      <c r="F3" s="707"/>
      <c r="G3" s="707"/>
    </row>
    <row r="4" spans="1:7" ht="17.25" customHeight="1" thickBot="1">
      <c r="A4" s="708" t="s">
        <v>102</v>
      </c>
      <c r="B4" s="709"/>
      <c r="C4" s="710"/>
      <c r="D4" s="711" t="s">
        <v>103</v>
      </c>
      <c r="E4" s="712"/>
      <c r="F4" s="712"/>
      <c r="G4" s="712"/>
    </row>
    <row r="5" spans="1:7" ht="15" customHeight="1" thickBot="1">
      <c r="A5" s="713" t="s">
        <v>46</v>
      </c>
      <c r="B5" s="714"/>
      <c r="C5" s="715"/>
      <c r="D5" s="716" t="s">
        <v>47</v>
      </c>
      <c r="E5" s="717"/>
      <c r="F5" s="718"/>
      <c r="G5" s="719" t="s">
        <v>96</v>
      </c>
    </row>
    <row r="6" spans="1:7" ht="15.75" customHeight="1" thickBot="1">
      <c r="A6" s="65" t="s">
        <v>49</v>
      </c>
      <c r="B6" s="66" t="s">
        <v>50</v>
      </c>
      <c r="C6" s="66" t="s">
        <v>51</v>
      </c>
      <c r="D6" s="165" t="s">
        <v>52</v>
      </c>
      <c r="E6" s="165" t="s">
        <v>53</v>
      </c>
      <c r="F6" s="165" t="s">
        <v>54</v>
      </c>
      <c r="G6" s="720"/>
    </row>
    <row r="7" spans="1:7" ht="16.5" hidden="1" thickBot="1">
      <c r="A7" s="67">
        <v>2000</v>
      </c>
      <c r="B7" s="68" t="s">
        <v>65</v>
      </c>
      <c r="C7" s="69">
        <v>100</v>
      </c>
      <c r="D7" s="166">
        <v>0.18</v>
      </c>
      <c r="E7" s="166"/>
      <c r="F7" s="167"/>
      <c r="G7" s="72">
        <f t="shared" ref="G7:G70" si="0">+$C$314/C7</f>
        <v>4.5641072090048525</v>
      </c>
    </row>
    <row r="8" spans="1:7" ht="16.5" hidden="1" thickBot="1">
      <c r="A8" s="73">
        <v>2000</v>
      </c>
      <c r="B8" s="74" t="s">
        <v>66</v>
      </c>
      <c r="C8" s="75">
        <f>+C7*(1+D8/100)</f>
        <v>100.17</v>
      </c>
      <c r="D8" s="81">
        <v>0.17</v>
      </c>
      <c r="E8" s="81"/>
      <c r="F8" s="82"/>
      <c r="G8" s="78">
        <f t="shared" si="0"/>
        <v>4.5563613946339752</v>
      </c>
    </row>
    <row r="9" spans="1:7" ht="16.5" hidden="1" thickBot="1">
      <c r="A9" s="73">
        <v>2000</v>
      </c>
      <c r="B9" s="74" t="s">
        <v>55</v>
      </c>
      <c r="C9" s="75">
        <f t="shared" ref="C9:C45" si="1">+C8*(1+D9/100)</f>
        <v>100.77102000000001</v>
      </c>
      <c r="D9" s="81">
        <v>0.6</v>
      </c>
      <c r="E9" s="81"/>
      <c r="F9" s="82"/>
      <c r="G9" s="78">
        <f t="shared" si="0"/>
        <v>4.5291862769721414</v>
      </c>
    </row>
    <row r="10" spans="1:7" ht="16.5" hidden="1" thickBot="1">
      <c r="A10" s="73">
        <v>2001</v>
      </c>
      <c r="B10" s="74" t="s">
        <v>56</v>
      </c>
      <c r="C10" s="75">
        <f>+C9*(1+D10/100)</f>
        <v>101.405877426</v>
      </c>
      <c r="D10" s="81">
        <v>0.63</v>
      </c>
      <c r="E10" s="81">
        <f t="shared" ref="E10:E21" si="2">100*((C10/$C$9)-1)</f>
        <v>0.62999999999999723</v>
      </c>
      <c r="F10" s="82"/>
      <c r="G10" s="78">
        <f t="shared" si="0"/>
        <v>4.5008310414112511</v>
      </c>
    </row>
    <row r="11" spans="1:7" ht="16.5" hidden="1" thickBot="1">
      <c r="A11" s="73">
        <v>2001</v>
      </c>
      <c r="B11" s="74" t="s">
        <v>57</v>
      </c>
      <c r="C11" s="75">
        <f t="shared" si="1"/>
        <v>101.91290681312999</v>
      </c>
      <c r="D11" s="81">
        <v>0.5</v>
      </c>
      <c r="E11" s="81">
        <f t="shared" si="2"/>
        <v>1.1331499999999828</v>
      </c>
      <c r="F11" s="82"/>
      <c r="G11" s="78">
        <f t="shared" si="0"/>
        <v>4.4784388471753749</v>
      </c>
    </row>
    <row r="12" spans="1:7" ht="16.5" hidden="1" thickBot="1">
      <c r="A12" s="73">
        <v>2001</v>
      </c>
      <c r="B12" s="74" t="s">
        <v>58</v>
      </c>
      <c r="C12" s="75">
        <f t="shared" si="1"/>
        <v>102.27979327765726</v>
      </c>
      <c r="D12" s="81">
        <v>0.36</v>
      </c>
      <c r="E12" s="81">
        <f t="shared" si="2"/>
        <v>1.4972293399999836</v>
      </c>
      <c r="F12" s="82"/>
      <c r="G12" s="78">
        <f t="shared" si="0"/>
        <v>4.4623742996964673</v>
      </c>
    </row>
    <row r="13" spans="1:7" ht="16.5" hidden="1" thickBot="1">
      <c r="A13" s="73">
        <v>2001</v>
      </c>
      <c r="B13" s="74" t="s">
        <v>59</v>
      </c>
      <c r="C13" s="75">
        <f t="shared" si="1"/>
        <v>102.79119224404553</v>
      </c>
      <c r="D13" s="81">
        <v>0.5</v>
      </c>
      <c r="E13" s="81">
        <f t="shared" si="2"/>
        <v>2.0047154866999817</v>
      </c>
      <c r="F13" s="82"/>
      <c r="G13" s="78">
        <f t="shared" si="0"/>
        <v>4.4401734325337987</v>
      </c>
    </row>
    <row r="14" spans="1:7" ht="16.5" hidden="1" thickBot="1">
      <c r="A14" s="73">
        <v>2001</v>
      </c>
      <c r="B14" s="74" t="s">
        <v>60</v>
      </c>
      <c r="C14" s="75">
        <f t="shared" si="1"/>
        <v>103.29486908604134</v>
      </c>
      <c r="D14" s="81">
        <v>0.49</v>
      </c>
      <c r="E14" s="81">
        <f t="shared" si="2"/>
        <v>2.5045385925847929</v>
      </c>
      <c r="F14" s="82"/>
      <c r="G14" s="78">
        <f t="shared" si="0"/>
        <v>4.4185226714437249</v>
      </c>
    </row>
    <row r="15" spans="1:7" ht="16.5" hidden="1" thickBot="1">
      <c r="A15" s="73">
        <v>2001</v>
      </c>
      <c r="B15" s="74" t="s">
        <v>61</v>
      </c>
      <c r="C15" s="75">
        <f t="shared" si="1"/>
        <v>103.68738958856831</v>
      </c>
      <c r="D15" s="81">
        <v>0.38</v>
      </c>
      <c r="E15" s="81">
        <f t="shared" si="2"/>
        <v>2.8940558392366089</v>
      </c>
      <c r="F15" s="82"/>
      <c r="G15" s="78">
        <f t="shared" si="0"/>
        <v>4.4017958472242729</v>
      </c>
    </row>
    <row r="16" spans="1:7" ht="16.5" hidden="1" thickBot="1">
      <c r="A16" s="73">
        <v>2001</v>
      </c>
      <c r="B16" s="74" t="s">
        <v>62</v>
      </c>
      <c r="C16" s="75">
        <f t="shared" si="1"/>
        <v>104.66205105070085</v>
      </c>
      <c r="D16" s="81">
        <v>0.94</v>
      </c>
      <c r="E16" s="81">
        <f t="shared" si="2"/>
        <v>3.8612599641254519</v>
      </c>
      <c r="F16" s="82"/>
      <c r="G16" s="78">
        <f t="shared" si="0"/>
        <v>4.3608042869271575</v>
      </c>
    </row>
    <row r="17" spans="1:7" ht="16.5" hidden="1" thickBot="1">
      <c r="A17" s="73">
        <v>2001</v>
      </c>
      <c r="B17" s="74" t="s">
        <v>63</v>
      </c>
      <c r="C17" s="75">
        <f t="shared" si="1"/>
        <v>105.89706325309913</v>
      </c>
      <c r="D17" s="81">
        <v>1.18</v>
      </c>
      <c r="E17" s="81">
        <f t="shared" si="2"/>
        <v>5.0868228317021424</v>
      </c>
      <c r="F17" s="82"/>
      <c r="G17" s="78">
        <f t="shared" si="0"/>
        <v>4.3099469133496315</v>
      </c>
    </row>
    <row r="18" spans="1:7" ht="16.5" hidden="1" thickBot="1">
      <c r="A18" s="73">
        <v>2001</v>
      </c>
      <c r="B18" s="74" t="s">
        <v>64</v>
      </c>
      <c r="C18" s="75">
        <f t="shared" si="1"/>
        <v>106.29947209346091</v>
      </c>
      <c r="D18" s="81">
        <v>0.38</v>
      </c>
      <c r="E18" s="81">
        <f t="shared" si="2"/>
        <v>5.4861527584626035</v>
      </c>
      <c r="F18" s="82"/>
      <c r="G18" s="78">
        <f t="shared" si="0"/>
        <v>4.2936311151122046</v>
      </c>
    </row>
    <row r="19" spans="1:7" ht="16.5" hidden="1" thickBot="1">
      <c r="A19" s="73">
        <v>2001</v>
      </c>
      <c r="B19" s="74" t="s">
        <v>65</v>
      </c>
      <c r="C19" s="75">
        <f t="shared" si="1"/>
        <v>106.69278014020672</v>
      </c>
      <c r="D19" s="81">
        <v>0.37</v>
      </c>
      <c r="E19" s="81">
        <f t="shared" si="2"/>
        <v>5.876451523668913</v>
      </c>
      <c r="F19" s="82">
        <f t="shared" ref="F19:F43" si="3">100*((C19/C7)-1)</f>
        <v>6.6927801402067111</v>
      </c>
      <c r="G19" s="78">
        <f t="shared" si="0"/>
        <v>4.2778032431126878</v>
      </c>
    </row>
    <row r="20" spans="1:7" ht="16.5" hidden="1" thickBot="1">
      <c r="A20" s="73">
        <v>2001</v>
      </c>
      <c r="B20" s="74" t="s">
        <v>66</v>
      </c>
      <c r="C20" s="75">
        <f t="shared" si="1"/>
        <v>107.74903866359477</v>
      </c>
      <c r="D20" s="81">
        <v>0.99</v>
      </c>
      <c r="E20" s="81">
        <f t="shared" si="2"/>
        <v>6.9246283937532516</v>
      </c>
      <c r="F20" s="82">
        <f t="shared" si="3"/>
        <v>7.5661761641157677</v>
      </c>
      <c r="G20" s="78">
        <f t="shared" si="0"/>
        <v>4.2358681484431004</v>
      </c>
    </row>
    <row r="21" spans="1:7" ht="16.5" hidden="1" thickBot="1">
      <c r="A21" s="73">
        <v>2001</v>
      </c>
      <c r="B21" s="74" t="s">
        <v>55</v>
      </c>
      <c r="C21" s="75">
        <f t="shared" si="1"/>
        <v>108.34165837624455</v>
      </c>
      <c r="D21" s="81">
        <v>0.55000000000000004</v>
      </c>
      <c r="E21" s="81">
        <f t="shared" si="2"/>
        <v>7.512713849918895</v>
      </c>
      <c r="F21" s="82">
        <f t="shared" si="3"/>
        <v>7.512713849918895</v>
      </c>
      <c r="G21" s="78">
        <f t="shared" si="0"/>
        <v>4.2126983077504727</v>
      </c>
    </row>
    <row r="22" spans="1:7" ht="16.5" hidden="1" thickBot="1">
      <c r="A22" s="73">
        <v>2002</v>
      </c>
      <c r="B22" s="74" t="s">
        <v>56</v>
      </c>
      <c r="C22" s="75">
        <f>+C21*(1+D22/100)</f>
        <v>109.01337665817726</v>
      </c>
      <c r="D22" s="81">
        <v>0.62</v>
      </c>
      <c r="E22" s="81">
        <f t="shared" ref="E22:E28" si="4">100*((C22/$C$21)-1)</f>
        <v>0.61999999999999833</v>
      </c>
      <c r="F22" s="82">
        <f t="shared" si="3"/>
        <v>7.5020298874971747</v>
      </c>
      <c r="G22" s="78">
        <f t="shared" si="0"/>
        <v>4.1867405165478759</v>
      </c>
    </row>
    <row r="23" spans="1:7" ht="16.5" hidden="1" thickBot="1">
      <c r="A23" s="73">
        <v>2002</v>
      </c>
      <c r="B23" s="74" t="s">
        <v>57</v>
      </c>
      <c r="C23" s="75">
        <f t="shared" si="1"/>
        <v>109.49303551547324</v>
      </c>
      <c r="D23" s="81">
        <v>0.44</v>
      </c>
      <c r="E23" s="81">
        <f t="shared" si="4"/>
        <v>1.0627279999999795</v>
      </c>
      <c r="F23" s="82">
        <f t="shared" si="3"/>
        <v>7.4378495711464154</v>
      </c>
      <c r="G23" s="78">
        <f t="shared" si="0"/>
        <v>4.1683995584905178</v>
      </c>
    </row>
    <row r="24" spans="1:7" ht="16.5" hidden="1" thickBot="1">
      <c r="A24" s="73">
        <v>2002</v>
      </c>
      <c r="B24" s="74" t="s">
        <v>58</v>
      </c>
      <c r="C24" s="75">
        <f t="shared" si="1"/>
        <v>109.93100765753513</v>
      </c>
      <c r="D24" s="81">
        <v>0.4</v>
      </c>
      <c r="E24" s="81">
        <f t="shared" si="4"/>
        <v>1.4669789119999832</v>
      </c>
      <c r="F24" s="82">
        <f t="shared" si="3"/>
        <v>7.4806705554314679</v>
      </c>
      <c r="G24" s="78">
        <f t="shared" si="0"/>
        <v>4.151792388934779</v>
      </c>
    </row>
    <row r="25" spans="1:7" ht="16.5" hidden="1" thickBot="1">
      <c r="A25" s="73">
        <v>2002</v>
      </c>
      <c r="B25" s="74" t="s">
        <v>59</v>
      </c>
      <c r="C25" s="75">
        <f t="shared" si="1"/>
        <v>110.78846951726391</v>
      </c>
      <c r="D25" s="81">
        <v>0.78</v>
      </c>
      <c r="E25" s="81">
        <f t="shared" si="4"/>
        <v>2.258421347513595</v>
      </c>
      <c r="F25" s="82">
        <f t="shared" si="3"/>
        <v>7.7801191898147604</v>
      </c>
      <c r="G25" s="78">
        <f t="shared" si="0"/>
        <v>4.1196590483575894</v>
      </c>
    </row>
    <row r="26" spans="1:7" ht="16.5" hidden="1" thickBot="1">
      <c r="A26" s="73">
        <v>2002</v>
      </c>
      <c r="B26" s="74" t="s">
        <v>60</v>
      </c>
      <c r="C26" s="75">
        <f t="shared" si="1"/>
        <v>111.25378108923641</v>
      </c>
      <c r="D26" s="81">
        <v>0.42</v>
      </c>
      <c r="E26" s="81">
        <f t="shared" si="4"/>
        <v>2.6879067171731386</v>
      </c>
      <c r="F26" s="82">
        <f t="shared" si="3"/>
        <v>7.7050409895631278</v>
      </c>
      <c r="G26" s="78">
        <f t="shared" si="0"/>
        <v>4.1024288471993531</v>
      </c>
    </row>
    <row r="27" spans="1:7" ht="16.5" hidden="1" thickBot="1">
      <c r="A27" s="73">
        <v>2002</v>
      </c>
      <c r="B27" s="74" t="s">
        <v>61</v>
      </c>
      <c r="C27" s="75">
        <f t="shared" si="1"/>
        <v>111.62091856683089</v>
      </c>
      <c r="D27" s="81">
        <v>0.33</v>
      </c>
      <c r="E27" s="81">
        <f t="shared" si="4"/>
        <v>3.0267768093398262</v>
      </c>
      <c r="F27" s="82">
        <f t="shared" si="3"/>
        <v>7.651392333959639</v>
      </c>
      <c r="G27" s="78">
        <f t="shared" si="0"/>
        <v>4.0889353605096703</v>
      </c>
    </row>
    <row r="28" spans="1:7" ht="16.5" hidden="1" thickBot="1">
      <c r="A28" s="73">
        <v>2002</v>
      </c>
      <c r="B28" s="74" t="s">
        <v>62</v>
      </c>
      <c r="C28" s="75">
        <f t="shared" si="1"/>
        <v>112.48039963979549</v>
      </c>
      <c r="D28" s="81">
        <v>0.77</v>
      </c>
      <c r="E28" s="81">
        <f t="shared" si="4"/>
        <v>3.8200829907717448</v>
      </c>
      <c r="F28" s="82">
        <f t="shared" si="3"/>
        <v>7.470089216297926</v>
      </c>
      <c r="G28" s="78">
        <f t="shared" si="0"/>
        <v>4.0576911387413626</v>
      </c>
    </row>
    <row r="29" spans="1:7" ht="16.5" hidden="1" thickBot="1">
      <c r="A29" s="73">
        <v>2002</v>
      </c>
      <c r="B29" s="74" t="s">
        <v>63</v>
      </c>
      <c r="C29" s="75">
        <f t="shared" si="1"/>
        <v>113.60520363619345</v>
      </c>
      <c r="D29" s="81">
        <v>1</v>
      </c>
      <c r="E29" s="81">
        <f>100*((C29/$C$21)-1)</f>
        <v>4.8582838206794543</v>
      </c>
      <c r="F29" s="82">
        <f t="shared" si="3"/>
        <v>7.2788990990916291</v>
      </c>
      <c r="G29" s="78">
        <f t="shared" si="0"/>
        <v>4.0175159789518435</v>
      </c>
    </row>
    <row r="30" spans="1:7" ht="16.5" hidden="1" thickBot="1">
      <c r="A30" s="73">
        <v>2002</v>
      </c>
      <c r="B30" s="74" t="s">
        <v>64</v>
      </c>
      <c r="C30" s="75">
        <f t="shared" si="1"/>
        <v>114.30955589873786</v>
      </c>
      <c r="D30" s="81">
        <v>0.62</v>
      </c>
      <c r="E30" s="81">
        <f>100*((C30/$C$21)-1)</f>
        <v>5.5084051803676815</v>
      </c>
      <c r="F30" s="82">
        <f t="shared" si="3"/>
        <v>7.5353937771528212</v>
      </c>
      <c r="G30" s="78">
        <f t="shared" si="0"/>
        <v>3.9927608616098622</v>
      </c>
    </row>
    <row r="31" spans="1:7" ht="16.5" hidden="1" thickBot="1">
      <c r="A31" s="73">
        <v>2002</v>
      </c>
      <c r="B31" s="74" t="s">
        <v>65</v>
      </c>
      <c r="C31" s="75">
        <f t="shared" si="1"/>
        <v>115.33834190182648</v>
      </c>
      <c r="D31" s="81">
        <v>0.9</v>
      </c>
      <c r="E31" s="81">
        <f>100*((C31/$C$21)-1)</f>
        <v>6.4579808269909611</v>
      </c>
      <c r="F31" s="82">
        <f t="shared" si="3"/>
        <v>8.1032303687826648</v>
      </c>
      <c r="G31" s="78">
        <f t="shared" si="0"/>
        <v>3.9571465427253347</v>
      </c>
    </row>
    <row r="32" spans="1:7" ht="16.5" hidden="1" thickBot="1">
      <c r="A32" s="73">
        <v>2002</v>
      </c>
      <c r="B32" s="74" t="s">
        <v>66</v>
      </c>
      <c r="C32" s="75">
        <f t="shared" si="1"/>
        <v>117.73737941338446</v>
      </c>
      <c r="D32" s="81">
        <v>2.08</v>
      </c>
      <c r="E32" s="81">
        <f>100*((C32/$C$21)-1)</f>
        <v>8.6723068281923776</v>
      </c>
      <c r="F32" s="82">
        <f t="shared" si="3"/>
        <v>9.2700045157474431</v>
      </c>
      <c r="G32" s="78">
        <f t="shared" si="0"/>
        <v>3.8765150300992706</v>
      </c>
    </row>
    <row r="33" spans="1:7" ht="16.5" hidden="1" thickBot="1">
      <c r="A33" s="73">
        <v>2002</v>
      </c>
      <c r="B33" s="74" t="s">
        <v>55</v>
      </c>
      <c r="C33" s="75">
        <f t="shared" si="1"/>
        <v>121.32836948549269</v>
      </c>
      <c r="D33" s="81">
        <v>3.05</v>
      </c>
      <c r="E33" s="81">
        <f>100*((C33/$C$21)-1)</f>
        <v>11.986812186452234</v>
      </c>
      <c r="F33" s="82">
        <f t="shared" si="3"/>
        <v>11.986812186452234</v>
      </c>
      <c r="G33" s="78">
        <f t="shared" si="0"/>
        <v>3.761780718194343</v>
      </c>
    </row>
    <row r="34" spans="1:7" ht="16.5" hidden="1" thickBot="1">
      <c r="A34" s="73">
        <v>2003</v>
      </c>
      <c r="B34" s="74" t="s">
        <v>56</v>
      </c>
      <c r="C34" s="75">
        <f t="shared" si="1"/>
        <v>123.73067120130544</v>
      </c>
      <c r="D34" s="81">
        <v>1.98</v>
      </c>
      <c r="E34" s="81">
        <f t="shared" ref="E34:E39" si="5">100*((C34/$C$33)-1)</f>
        <v>1.980000000000004</v>
      </c>
      <c r="F34" s="82">
        <f t="shared" si="3"/>
        <v>13.500448288356193</v>
      </c>
      <c r="G34" s="78">
        <f t="shared" si="0"/>
        <v>3.6887435950130838</v>
      </c>
    </row>
    <row r="35" spans="1:7" ht="16.5" hidden="1" thickBot="1">
      <c r="A35" s="73">
        <v>2003</v>
      </c>
      <c r="B35" s="74" t="s">
        <v>57</v>
      </c>
      <c r="C35" s="75">
        <f t="shared" si="1"/>
        <v>126.44037290061404</v>
      </c>
      <c r="D35" s="81">
        <v>2.19</v>
      </c>
      <c r="E35" s="81">
        <f t="shared" si="5"/>
        <v>4.2133619999999983</v>
      </c>
      <c r="F35" s="82">
        <f t="shared" si="3"/>
        <v>15.478004884379937</v>
      </c>
      <c r="G35" s="78">
        <f t="shared" si="0"/>
        <v>3.6096913543527585</v>
      </c>
    </row>
    <row r="36" spans="1:7" ht="16.5" hidden="1" thickBot="1">
      <c r="A36" s="73">
        <v>2003</v>
      </c>
      <c r="B36" s="74" t="s">
        <v>58</v>
      </c>
      <c r="C36" s="150">
        <f t="shared" si="1"/>
        <v>127.88179315168105</v>
      </c>
      <c r="D36" s="81">
        <v>1.1399999999999999</v>
      </c>
      <c r="E36" s="81">
        <f t="shared" si="5"/>
        <v>5.4013943268000242</v>
      </c>
      <c r="F36" s="82">
        <f t="shared" si="3"/>
        <v>16.32913758970307</v>
      </c>
      <c r="G36" s="78">
        <f t="shared" si="0"/>
        <v>3.5690047007640477</v>
      </c>
    </row>
    <row r="37" spans="1:7" ht="16.5" hidden="1" thickBot="1">
      <c r="A37" s="73">
        <v>2003</v>
      </c>
      <c r="B37" s="74" t="s">
        <v>59</v>
      </c>
      <c r="C37" s="150">
        <f t="shared" si="1"/>
        <v>129.33964559361021</v>
      </c>
      <c r="D37" s="81">
        <v>1.1399999999999999</v>
      </c>
      <c r="E37" s="81">
        <f t="shared" si="5"/>
        <v>6.602970222125526</v>
      </c>
      <c r="F37" s="82">
        <f t="shared" si="3"/>
        <v>16.744681244518421</v>
      </c>
      <c r="G37" s="78">
        <f t="shared" si="0"/>
        <v>3.5287766469883803</v>
      </c>
    </row>
    <row r="38" spans="1:7" ht="16.5" hidden="1" thickBot="1">
      <c r="A38" s="73">
        <v>2003</v>
      </c>
      <c r="B38" s="74" t="s">
        <v>60</v>
      </c>
      <c r="C38" s="150">
        <f t="shared" si="1"/>
        <v>130.43903258115589</v>
      </c>
      <c r="D38" s="81">
        <v>0.85</v>
      </c>
      <c r="E38" s="81">
        <f t="shared" si="5"/>
        <v>7.5090954690135936</v>
      </c>
      <c r="F38" s="82">
        <f t="shared" si="3"/>
        <v>17.244583783207347</v>
      </c>
      <c r="G38" s="78">
        <f t="shared" si="0"/>
        <v>3.4990348507569466</v>
      </c>
    </row>
    <row r="39" spans="1:7" ht="16.5" hidden="1" thickBot="1">
      <c r="A39" s="73">
        <v>2003</v>
      </c>
      <c r="B39" s="74" t="s">
        <v>61</v>
      </c>
      <c r="C39" s="150">
        <f t="shared" si="1"/>
        <v>130.72599845283443</v>
      </c>
      <c r="D39" s="81">
        <v>0.22</v>
      </c>
      <c r="E39" s="81">
        <f t="shared" si="5"/>
        <v>7.7456154790454201</v>
      </c>
      <c r="F39" s="82">
        <f t="shared" si="3"/>
        <v>17.116038939031597</v>
      </c>
      <c r="G39" s="78">
        <f t="shared" si="0"/>
        <v>3.4913538722380228</v>
      </c>
    </row>
    <row r="40" spans="1:7" ht="16.5" hidden="1" thickBot="1">
      <c r="A40" s="73">
        <v>2003</v>
      </c>
      <c r="B40" s="74" t="s">
        <v>62</v>
      </c>
      <c r="C40" s="150">
        <f t="shared" si="1"/>
        <v>130.49069165561932</v>
      </c>
      <c r="D40" s="81">
        <v>-0.18</v>
      </c>
      <c r="E40" s="81">
        <f>100*((C40/$C$33)-1)</f>
        <v>7.5516733711831208</v>
      </c>
      <c r="F40" s="82">
        <f t="shared" si="3"/>
        <v>16.011938145223127</v>
      </c>
      <c r="G40" s="78">
        <f t="shared" si="0"/>
        <v>3.4976496415928904</v>
      </c>
    </row>
    <row r="41" spans="1:7" ht="16.5" hidden="1" thickBot="1">
      <c r="A41" s="73">
        <v>2003</v>
      </c>
      <c r="B41" s="74" t="s">
        <v>63</v>
      </c>
      <c r="C41" s="150">
        <f t="shared" si="1"/>
        <v>130.84301652308949</v>
      </c>
      <c r="D41" s="81">
        <v>0.27</v>
      </c>
      <c r="E41" s="81">
        <f>100*((C41/$C$33)-1)</f>
        <v>7.8420628892853284</v>
      </c>
      <c r="F41" s="82">
        <f t="shared" si="3"/>
        <v>15.17343601803487</v>
      </c>
      <c r="G41" s="78">
        <f t="shared" si="0"/>
        <v>3.4882314167676176</v>
      </c>
    </row>
    <row r="42" spans="1:7" ht="16.5" hidden="1" thickBot="1">
      <c r="A42" s="73">
        <v>2003</v>
      </c>
      <c r="B42" s="74" t="s">
        <v>64</v>
      </c>
      <c r="C42" s="150">
        <f t="shared" si="1"/>
        <v>131.58882171727112</v>
      </c>
      <c r="D42" s="81">
        <v>0.56999999999999995</v>
      </c>
      <c r="E42" s="81">
        <f>100*((C42/$C$33)-1)</f>
        <v>8.4567626477542568</v>
      </c>
      <c r="F42" s="82">
        <f t="shared" si="3"/>
        <v>15.116204137684042</v>
      </c>
      <c r="G42" s="78">
        <f t="shared" si="0"/>
        <v>3.4684611879960401</v>
      </c>
    </row>
    <row r="43" spans="1:7" ht="16.5" hidden="1" thickBot="1">
      <c r="A43" s="73">
        <v>2003</v>
      </c>
      <c r="B43" s="74" t="s">
        <v>65</v>
      </c>
      <c r="C43" s="75">
        <f t="shared" si="1"/>
        <v>132.45730794060509</v>
      </c>
      <c r="D43" s="81">
        <v>0.66</v>
      </c>
      <c r="E43" s="81">
        <f>100*((C43/$C$33)-1)</f>
        <v>9.1725772812294224</v>
      </c>
      <c r="F43" s="82">
        <f t="shared" si="3"/>
        <v>14.842389578783699</v>
      </c>
      <c r="G43" s="78">
        <f t="shared" si="0"/>
        <v>3.4457194396940594</v>
      </c>
    </row>
    <row r="44" spans="1:7" ht="16.5" hidden="1" thickBot="1">
      <c r="A44" s="73">
        <v>2003</v>
      </c>
      <c r="B44" s="74" t="s">
        <v>66</v>
      </c>
      <c r="C44" s="75">
        <f t="shared" si="1"/>
        <v>132.68248536410411</v>
      </c>
      <c r="D44" s="81">
        <v>0.17</v>
      </c>
      <c r="E44" s="81">
        <f>100*((C44/$C$33)-1)</f>
        <v>9.3581706626075132</v>
      </c>
      <c r="F44" s="82">
        <f>100*((C44/C32)-1)</f>
        <v>12.693594867817048</v>
      </c>
      <c r="G44" s="78">
        <f t="shared" si="0"/>
        <v>3.439871657875671</v>
      </c>
    </row>
    <row r="45" spans="1:7" ht="16.5" hidden="1" thickBot="1">
      <c r="A45" s="73">
        <v>2003</v>
      </c>
      <c r="B45" s="74" t="s">
        <v>55</v>
      </c>
      <c r="C45" s="75">
        <f t="shared" si="1"/>
        <v>133.29282479677897</v>
      </c>
      <c r="D45" s="81">
        <v>0.46</v>
      </c>
      <c r="E45" s="81">
        <f>100*((C45/$C$44)-1)</f>
        <v>0.45999999999999375</v>
      </c>
      <c r="F45" s="82">
        <f>100*((C45/C33)-1)</f>
        <v>9.8612182476554899</v>
      </c>
      <c r="G45" s="78">
        <f t="shared" si="0"/>
        <v>3.4241207026435112</v>
      </c>
    </row>
    <row r="46" spans="1:7" ht="16.5" hidden="1" thickBot="1">
      <c r="A46" s="73">
        <v>2004</v>
      </c>
      <c r="B46" s="74" t="s">
        <v>70</v>
      </c>
      <c r="C46" s="75">
        <f>+C45*(1+D46/100)</f>
        <v>134.19921600539706</v>
      </c>
      <c r="D46" s="81">
        <v>0.68</v>
      </c>
      <c r="E46" s="81">
        <f>100*((C46/$C$45)-1)</f>
        <v>0.67999999999999172</v>
      </c>
      <c r="F46" s="82">
        <f t="shared" ref="F46:F69" si="6">100*((C46/C34)-1)</f>
        <v>8.4607516490876158</v>
      </c>
      <c r="G46" s="78">
        <f t="shared" si="0"/>
        <v>3.4009939438254984</v>
      </c>
    </row>
    <row r="47" spans="1:7" ht="16.5" hidden="1" thickBot="1">
      <c r="A47" s="73">
        <v>2004</v>
      </c>
      <c r="B47" s="74" t="s">
        <v>71</v>
      </c>
      <c r="C47" s="75">
        <f t="shared" ref="C47:C110" si="7">+C46*(1+D47/100)</f>
        <v>135.40700894944561</v>
      </c>
      <c r="D47" s="81">
        <v>0.9</v>
      </c>
      <c r="E47" s="81">
        <f>100*((C47/$C$45)-1)</f>
        <v>1.5861199999999798</v>
      </c>
      <c r="F47" s="82">
        <f t="shared" si="6"/>
        <v>7.0915925373611577</v>
      </c>
      <c r="G47" s="78">
        <f t="shared" si="0"/>
        <v>3.3706580216308213</v>
      </c>
    </row>
    <row r="48" spans="1:7" ht="16.5" hidden="1" thickBot="1">
      <c r="A48" s="73">
        <v>2004</v>
      </c>
      <c r="B48" s="74" t="s">
        <v>72</v>
      </c>
      <c r="C48" s="75">
        <f t="shared" si="7"/>
        <v>135.94863698524338</v>
      </c>
      <c r="D48" s="81">
        <v>0.4</v>
      </c>
      <c r="E48" s="81">
        <f>100*((C48/$C$45)-1)</f>
        <v>1.9924644799999669</v>
      </c>
      <c r="F48" s="82">
        <f t="shared" si="6"/>
        <v>6.308047169775155</v>
      </c>
      <c r="G48" s="78">
        <f t="shared" si="0"/>
        <v>3.3572291052099819</v>
      </c>
    </row>
    <row r="49" spans="1:7" ht="16.5" hidden="1" thickBot="1">
      <c r="A49" s="73">
        <v>2004</v>
      </c>
      <c r="B49" s="74" t="s">
        <v>73</v>
      </c>
      <c r="C49" s="75">
        <f t="shared" si="7"/>
        <v>136.23412912291238</v>
      </c>
      <c r="D49" s="81">
        <v>0.21</v>
      </c>
      <c r="E49" s="81">
        <f>100*((C49/$C$45)-1)</f>
        <v>2.2066486554079612</v>
      </c>
      <c r="F49" s="82">
        <f t="shared" si="6"/>
        <v>5.3305260716152603</v>
      </c>
      <c r="G49" s="78">
        <f t="shared" si="0"/>
        <v>3.3501936984432512</v>
      </c>
    </row>
    <row r="50" spans="1:7" ht="16.5" hidden="1" thickBot="1">
      <c r="A50" s="73">
        <v>2004</v>
      </c>
      <c r="B50" s="74" t="s">
        <v>74</v>
      </c>
      <c r="C50" s="75">
        <f t="shared" si="7"/>
        <v>136.9697934201761</v>
      </c>
      <c r="D50" s="81">
        <v>0.54</v>
      </c>
      <c r="E50" s="81">
        <f>100*((C50/$C$45)-1)</f>
        <v>2.7585645581471585</v>
      </c>
      <c r="F50" s="82">
        <f t="shared" si="6"/>
        <v>5.0067535075875025</v>
      </c>
      <c r="G50" s="78">
        <f t="shared" si="0"/>
        <v>3.3321998194183919</v>
      </c>
    </row>
    <row r="51" spans="1:7" ht="16.5" hidden="1" thickBot="1">
      <c r="A51" s="73">
        <v>2004</v>
      </c>
      <c r="B51" s="74" t="s">
        <v>75</v>
      </c>
      <c r="C51" s="75">
        <f t="shared" si="7"/>
        <v>137.73682426332908</v>
      </c>
      <c r="D51" s="81">
        <v>0.56000000000000005</v>
      </c>
      <c r="E51" s="81">
        <f t="shared" ref="E51:E57" si="8">100*((C51/$C$45)-1)</f>
        <v>3.3340125196727799</v>
      </c>
      <c r="F51" s="82">
        <f t="shared" si="6"/>
        <v>5.3629927431949387</v>
      </c>
      <c r="G51" s="78">
        <f t="shared" si="0"/>
        <v>3.3136434162871842</v>
      </c>
    </row>
    <row r="52" spans="1:7" ht="16.5" hidden="1" thickBot="1">
      <c r="A52" s="73">
        <v>2004</v>
      </c>
      <c r="B52" s="74" t="s">
        <v>76</v>
      </c>
      <c r="C52" s="75">
        <f t="shared" si="7"/>
        <v>139.01777672897805</v>
      </c>
      <c r="D52" s="81">
        <v>0.93</v>
      </c>
      <c r="E52" s="81">
        <f t="shared" si="8"/>
        <v>4.2950188361057462</v>
      </c>
      <c r="F52" s="82">
        <f t="shared" si="6"/>
        <v>6.5346309113470946</v>
      </c>
      <c r="G52" s="78">
        <f t="shared" si="0"/>
        <v>3.2831104887418845</v>
      </c>
    </row>
    <row r="53" spans="1:7" ht="16.5" hidden="1" thickBot="1">
      <c r="A53" s="73">
        <v>2004</v>
      </c>
      <c r="B53" s="74" t="s">
        <v>77</v>
      </c>
      <c r="C53" s="75">
        <f t="shared" si="7"/>
        <v>140.11601716513698</v>
      </c>
      <c r="D53" s="81">
        <v>0.79</v>
      </c>
      <c r="E53" s="81">
        <f t="shared" si="8"/>
        <v>5.118949484910984</v>
      </c>
      <c r="F53" s="82">
        <f t="shared" si="6"/>
        <v>7.0871192735082689</v>
      </c>
      <c r="G53" s="78">
        <f t="shared" si="0"/>
        <v>3.2573772087924242</v>
      </c>
    </row>
    <row r="54" spans="1:7" ht="16.5" hidden="1" thickBot="1">
      <c r="A54" s="73">
        <v>2004</v>
      </c>
      <c r="B54" s="74" t="s">
        <v>79</v>
      </c>
      <c r="C54" s="75">
        <f t="shared" si="7"/>
        <v>140.80258564924614</v>
      </c>
      <c r="D54" s="81">
        <v>0.49</v>
      </c>
      <c r="E54" s="81">
        <f t="shared" si="8"/>
        <v>5.6340323373870405</v>
      </c>
      <c r="F54" s="82">
        <f t="shared" si="6"/>
        <v>7.0019351277204267</v>
      </c>
      <c r="G54" s="78">
        <f t="shared" si="0"/>
        <v>3.2414938887376099</v>
      </c>
    </row>
    <row r="55" spans="1:7" ht="16.5" hidden="1" thickBot="1">
      <c r="A55" s="73">
        <v>2004</v>
      </c>
      <c r="B55" s="74" t="s">
        <v>78</v>
      </c>
      <c r="C55" s="75">
        <f t="shared" si="7"/>
        <v>141.25315392332374</v>
      </c>
      <c r="D55" s="81">
        <v>0.32</v>
      </c>
      <c r="E55" s="81">
        <f t="shared" si="8"/>
        <v>5.9720612408666662</v>
      </c>
      <c r="F55" s="82">
        <f t="shared" si="6"/>
        <v>6.6405139282030179</v>
      </c>
      <c r="G55" s="78">
        <f t="shared" si="0"/>
        <v>3.2311541953126093</v>
      </c>
    </row>
    <row r="56" spans="1:7" ht="16.5" hidden="1" thickBot="1">
      <c r="A56" s="73">
        <v>2004</v>
      </c>
      <c r="B56" s="74" t="s">
        <v>68</v>
      </c>
      <c r="C56" s="75">
        <f t="shared" si="7"/>
        <v>142.14304879304066</v>
      </c>
      <c r="D56" s="81">
        <v>0.63</v>
      </c>
      <c r="E56" s="81">
        <f t="shared" si="8"/>
        <v>6.6396852266841222</v>
      </c>
      <c r="F56" s="82">
        <f t="shared" si="6"/>
        <v>7.1302277787268498</v>
      </c>
      <c r="G56" s="78">
        <f t="shared" si="0"/>
        <v>3.2109253655098975</v>
      </c>
    </row>
    <row r="57" spans="1:7" ht="16.5" hidden="1" thickBot="1">
      <c r="A57" s="73">
        <v>2004</v>
      </c>
      <c r="B57" s="74" t="s">
        <v>55</v>
      </c>
      <c r="C57" s="75">
        <f t="shared" si="7"/>
        <v>143.33705040290221</v>
      </c>
      <c r="D57" s="81">
        <v>0.84</v>
      </c>
      <c r="E57" s="81">
        <f t="shared" si="8"/>
        <v>7.5354585825882836</v>
      </c>
      <c r="F57" s="82">
        <f t="shared" si="6"/>
        <v>7.5354585825882836</v>
      </c>
      <c r="G57" s="78">
        <f t="shared" si="0"/>
        <v>3.1841782680582082</v>
      </c>
    </row>
    <row r="58" spans="1:7" ht="16.5" hidden="1" thickBot="1">
      <c r="A58" s="73">
        <v>2005</v>
      </c>
      <c r="B58" s="74" t="s">
        <v>56</v>
      </c>
      <c r="C58" s="75">
        <f t="shared" si="7"/>
        <v>144.31174234564193</v>
      </c>
      <c r="D58" s="81">
        <v>0.68</v>
      </c>
      <c r="E58" s="81">
        <f t="shared" ref="E58:E69" si="9">100*((C58/$C$57)-1)</f>
        <v>0.67999999999999172</v>
      </c>
      <c r="F58" s="82">
        <f t="shared" si="6"/>
        <v>7.5354585825882836</v>
      </c>
      <c r="G58" s="78">
        <f t="shared" si="0"/>
        <v>3.1626720977932146</v>
      </c>
    </row>
    <row r="59" spans="1:7" ht="16.5" hidden="1" thickBot="1">
      <c r="A59" s="73">
        <v>2005</v>
      </c>
      <c r="B59" s="74" t="s">
        <v>57</v>
      </c>
      <c r="C59" s="75">
        <f t="shared" si="7"/>
        <v>145.37964923899969</v>
      </c>
      <c r="D59" s="81">
        <v>0.74</v>
      </c>
      <c r="E59" s="81">
        <f t="shared" si="9"/>
        <v>1.4250319999999927</v>
      </c>
      <c r="F59" s="82">
        <f t="shared" si="6"/>
        <v>7.3649365471748718</v>
      </c>
      <c r="G59" s="78">
        <f t="shared" si="0"/>
        <v>3.139440240017088</v>
      </c>
    </row>
    <row r="60" spans="1:7" ht="16.5" hidden="1" thickBot="1">
      <c r="A60" s="73">
        <v>2005</v>
      </c>
      <c r="B60" s="74" t="s">
        <v>58</v>
      </c>
      <c r="C60" s="75">
        <f t="shared" si="7"/>
        <v>145.88847801133619</v>
      </c>
      <c r="D60" s="81">
        <v>0.35</v>
      </c>
      <c r="E60" s="81">
        <f t="shared" si="9"/>
        <v>1.7800196120000056</v>
      </c>
      <c r="F60" s="82">
        <f t="shared" si="6"/>
        <v>7.3114679532768845</v>
      </c>
      <c r="G60" s="78">
        <f t="shared" si="0"/>
        <v>3.1284905231859375</v>
      </c>
    </row>
    <row r="61" spans="1:7" ht="16.5" hidden="1" thickBot="1">
      <c r="A61" s="73">
        <v>2005</v>
      </c>
      <c r="B61" s="74" t="s">
        <v>59</v>
      </c>
      <c r="C61" s="75">
        <f t="shared" si="7"/>
        <v>146.9680527486201</v>
      </c>
      <c r="D61" s="81">
        <v>0.74</v>
      </c>
      <c r="E61" s="81">
        <f t="shared" si="9"/>
        <v>2.5331917571288054</v>
      </c>
      <c r="F61" s="82">
        <f t="shared" si="6"/>
        <v>7.8790268597257462</v>
      </c>
      <c r="G61" s="78">
        <f t="shared" si="0"/>
        <v>3.1055097510283272</v>
      </c>
    </row>
    <row r="62" spans="1:7" ht="16.5" hidden="1" thickBot="1">
      <c r="A62" s="73">
        <v>2005</v>
      </c>
      <c r="B62" s="74" t="s">
        <v>60</v>
      </c>
      <c r="C62" s="75">
        <f t="shared" si="7"/>
        <v>148.18788758643365</v>
      </c>
      <c r="D62" s="81">
        <v>0.83</v>
      </c>
      <c r="E62" s="81">
        <f t="shared" si="9"/>
        <v>3.384217248712984</v>
      </c>
      <c r="F62" s="82">
        <f t="shared" si="6"/>
        <v>8.1901957257424662</v>
      </c>
      <c r="G62" s="78">
        <f t="shared" si="0"/>
        <v>3.079946197588344</v>
      </c>
    </row>
    <row r="63" spans="1:7" ht="16.5" hidden="1" thickBot="1">
      <c r="A63" s="73">
        <v>2005</v>
      </c>
      <c r="B63" s="74" t="s">
        <v>61</v>
      </c>
      <c r="C63" s="75">
        <f t="shared" si="7"/>
        <v>148.36571305153737</v>
      </c>
      <c r="D63" s="81">
        <v>0.12</v>
      </c>
      <c r="E63" s="81">
        <f t="shared" si="9"/>
        <v>3.50827830941145</v>
      </c>
      <c r="F63" s="82">
        <f t="shared" si="6"/>
        <v>7.7168098255900652</v>
      </c>
      <c r="G63" s="78">
        <f t="shared" si="0"/>
        <v>3.0762546919579945</v>
      </c>
    </row>
    <row r="64" spans="1:7" ht="16.5" hidden="1" thickBot="1">
      <c r="A64" s="73">
        <v>2005</v>
      </c>
      <c r="B64" s="74" t="s">
        <v>62</v>
      </c>
      <c r="C64" s="75">
        <f t="shared" si="7"/>
        <v>148.52891533589408</v>
      </c>
      <c r="D64" s="81">
        <v>0.11</v>
      </c>
      <c r="E64" s="81">
        <f t="shared" si="9"/>
        <v>3.6221374155518182</v>
      </c>
      <c r="F64" s="82">
        <f t="shared" si="6"/>
        <v>6.8416707781613129</v>
      </c>
      <c r="G64" s="78">
        <f t="shared" si="0"/>
        <v>3.0728745299750213</v>
      </c>
    </row>
    <row r="65" spans="1:7" ht="16.5" hidden="1" thickBot="1">
      <c r="A65" s="73">
        <v>2005</v>
      </c>
      <c r="B65" s="74" t="s">
        <v>63</v>
      </c>
      <c r="C65" s="75">
        <f t="shared" si="7"/>
        <v>148.94479629883458</v>
      </c>
      <c r="D65" s="81">
        <v>0.28000000000000003</v>
      </c>
      <c r="E65" s="81">
        <f t="shared" si="9"/>
        <v>3.9122794003153549</v>
      </c>
      <c r="F65" s="82">
        <f t="shared" si="6"/>
        <v>6.3010491679136305</v>
      </c>
      <c r="G65" s="78">
        <f t="shared" si="0"/>
        <v>3.0642945053600137</v>
      </c>
    </row>
    <row r="66" spans="1:7" ht="16.5" hidden="1" thickBot="1">
      <c r="A66" s="73">
        <v>2005</v>
      </c>
      <c r="B66" s="74" t="s">
        <v>64</v>
      </c>
      <c r="C66" s="75">
        <f t="shared" si="7"/>
        <v>149.18310797291272</v>
      </c>
      <c r="D66" s="81">
        <v>0.16</v>
      </c>
      <c r="E66" s="81">
        <f t="shared" si="9"/>
        <v>4.0785390473558669</v>
      </c>
      <c r="F66" s="82">
        <f t="shared" si="6"/>
        <v>5.951966212142823</v>
      </c>
      <c r="G66" s="78">
        <f t="shared" si="0"/>
        <v>3.0593994662140709</v>
      </c>
    </row>
    <row r="67" spans="1:7" ht="16.5" hidden="1" thickBot="1">
      <c r="A67" s="73">
        <v>2005</v>
      </c>
      <c r="B67" s="74" t="s">
        <v>65</v>
      </c>
      <c r="C67" s="75">
        <f t="shared" si="7"/>
        <v>150.01853337756103</v>
      </c>
      <c r="D67" s="81">
        <v>0.56000000000000005</v>
      </c>
      <c r="E67" s="81">
        <f t="shared" si="9"/>
        <v>4.6613788660210487</v>
      </c>
      <c r="F67" s="82">
        <f t="shared" si="6"/>
        <v>6.2054398155211299</v>
      </c>
      <c r="G67" s="78">
        <f t="shared" si="0"/>
        <v>3.0423622376830459</v>
      </c>
    </row>
    <row r="68" spans="1:7" ht="16.5" hidden="1" thickBot="1">
      <c r="A68" s="73">
        <v>2005</v>
      </c>
      <c r="B68" s="74" t="s">
        <v>66</v>
      </c>
      <c r="C68" s="75">
        <f t="shared" si="7"/>
        <v>151.18867793790602</v>
      </c>
      <c r="D68" s="81">
        <v>0.78</v>
      </c>
      <c r="E68" s="81">
        <f t="shared" si="9"/>
        <v>5.4777376211760265</v>
      </c>
      <c r="F68" s="82">
        <f t="shared" si="6"/>
        <v>6.3637506171938973</v>
      </c>
      <c r="G68" s="78">
        <f t="shared" si="0"/>
        <v>3.018815476962736</v>
      </c>
    </row>
    <row r="69" spans="1:7" ht="16.5" hidden="1" thickBot="1">
      <c r="A69" s="73">
        <v>2005</v>
      </c>
      <c r="B69" s="74" t="s">
        <v>55</v>
      </c>
      <c r="C69" s="75">
        <f t="shared" si="7"/>
        <v>151.76319491407006</v>
      </c>
      <c r="D69" s="81">
        <v>0.38</v>
      </c>
      <c r="E69" s="81">
        <f t="shared" si="9"/>
        <v>5.8785530241364903</v>
      </c>
      <c r="F69" s="82">
        <f t="shared" si="6"/>
        <v>5.8785530241364903</v>
      </c>
      <c r="G69" s="78">
        <f t="shared" si="0"/>
        <v>3.0073874048244038</v>
      </c>
    </row>
    <row r="70" spans="1:7" ht="16.5" hidden="1" thickBot="1">
      <c r="A70" s="73">
        <v>2006</v>
      </c>
      <c r="B70" s="74" t="s">
        <v>56</v>
      </c>
      <c r="C70" s="75">
        <f t="shared" si="7"/>
        <v>152.53718720813183</v>
      </c>
      <c r="D70" s="81">
        <v>0.51</v>
      </c>
      <c r="E70" s="81">
        <f t="shared" ref="E70:E78" si="10">100*((C70/$C$69)-1)</f>
        <v>0.51000000000001044</v>
      </c>
      <c r="F70" s="82">
        <f t="shared" ref="F70:F133" si="11">100*((C70/$C58)-1)</f>
        <v>5.6997751733806057</v>
      </c>
      <c r="G70" s="78">
        <f t="shared" si="0"/>
        <v>2.9921275542974861</v>
      </c>
    </row>
    <row r="71" spans="1:7" ht="16.5" hidden="1" thickBot="1">
      <c r="A71" s="73">
        <v>2006</v>
      </c>
      <c r="B71" s="74" t="s">
        <v>57</v>
      </c>
      <c r="C71" s="75">
        <f t="shared" si="7"/>
        <v>153.33038058161412</v>
      </c>
      <c r="D71" s="81">
        <v>0.52</v>
      </c>
      <c r="E71" s="81">
        <f t="shared" si="10"/>
        <v>1.0326520000000228</v>
      </c>
      <c r="F71" s="82">
        <f t="shared" si="11"/>
        <v>5.4689438200140827</v>
      </c>
      <c r="G71" s="78">
        <f t="shared" ref="G71:G134" si="12">+$C$314/C71</f>
        <v>2.9766489796035476</v>
      </c>
    </row>
    <row r="72" spans="1:7" ht="16.5" hidden="1" thickBot="1">
      <c r="A72" s="73">
        <v>2006</v>
      </c>
      <c r="B72" s="74" t="s">
        <v>58</v>
      </c>
      <c r="C72" s="75">
        <f>+C71*(1+D72/100)</f>
        <v>153.89770298976609</v>
      </c>
      <c r="D72" s="81">
        <v>0.37</v>
      </c>
      <c r="E72" s="81">
        <f t="shared" si="10"/>
        <v>1.4064728124000059</v>
      </c>
      <c r="F72" s="82">
        <f t="shared" si="11"/>
        <v>5.4899640380150938</v>
      </c>
      <c r="G72" s="78">
        <f t="shared" si="12"/>
        <v>2.9656759784831599</v>
      </c>
    </row>
    <row r="73" spans="1:7" ht="16.5" hidden="1" thickBot="1">
      <c r="A73" s="73">
        <v>2006</v>
      </c>
      <c r="B73" s="74" t="s">
        <v>73</v>
      </c>
      <c r="C73" s="75">
        <f t="shared" si="7"/>
        <v>154.15932908484871</v>
      </c>
      <c r="D73" s="81">
        <v>0.17</v>
      </c>
      <c r="E73" s="81">
        <f t="shared" si="10"/>
        <v>1.5788638161811086</v>
      </c>
      <c r="F73" s="82">
        <f t="shared" si="11"/>
        <v>4.8930881247565061</v>
      </c>
      <c r="G73" s="78">
        <f t="shared" si="12"/>
        <v>2.9606428855776774</v>
      </c>
    </row>
    <row r="74" spans="1:7" ht="16.5" hidden="1" thickBot="1">
      <c r="A74" s="73">
        <v>2006</v>
      </c>
      <c r="B74" s="74" t="s">
        <v>74</v>
      </c>
      <c r="C74" s="75">
        <f t="shared" si="7"/>
        <v>154.57555927337779</v>
      </c>
      <c r="D74" s="81">
        <v>0.27</v>
      </c>
      <c r="E74" s="81">
        <f t="shared" si="10"/>
        <v>1.8531267484847902</v>
      </c>
      <c r="F74" s="82">
        <f t="shared" si="11"/>
        <v>4.3105221290224538</v>
      </c>
      <c r="G74" s="78">
        <f t="shared" si="12"/>
        <v>2.9526706747558369</v>
      </c>
    </row>
    <row r="75" spans="1:7" ht="16.5" hidden="1" thickBot="1">
      <c r="A75" s="73">
        <v>2006</v>
      </c>
      <c r="B75" s="74" t="s">
        <v>75</v>
      </c>
      <c r="C75" s="75">
        <f t="shared" si="7"/>
        <v>154.34369593446775</v>
      </c>
      <c r="D75" s="81">
        <v>-0.15</v>
      </c>
      <c r="E75" s="81">
        <f t="shared" si="10"/>
        <v>1.7003470583620839</v>
      </c>
      <c r="F75" s="82">
        <f t="shared" si="11"/>
        <v>4.0292212802925942</v>
      </c>
      <c r="G75" s="78">
        <f t="shared" si="12"/>
        <v>2.9571063342572224</v>
      </c>
    </row>
    <row r="76" spans="1:7" ht="16.5" hidden="1" thickBot="1">
      <c r="A76" s="73">
        <v>2006</v>
      </c>
      <c r="B76" s="74" t="s">
        <v>76</v>
      </c>
      <c r="C76" s="75">
        <f t="shared" si="7"/>
        <v>154.31282719528085</v>
      </c>
      <c r="D76" s="81">
        <v>-0.02</v>
      </c>
      <c r="E76" s="81">
        <f t="shared" si="10"/>
        <v>1.6800069889503888</v>
      </c>
      <c r="F76" s="82">
        <f t="shared" si="11"/>
        <v>3.8941318909564426</v>
      </c>
      <c r="G76" s="78">
        <f t="shared" si="12"/>
        <v>2.957697873831989</v>
      </c>
    </row>
    <row r="77" spans="1:7" ht="16.5" hidden="1" thickBot="1">
      <c r="A77" s="73">
        <v>2006</v>
      </c>
      <c r="B77" s="74" t="s">
        <v>63</v>
      </c>
      <c r="C77" s="75">
        <f t="shared" si="7"/>
        <v>154.60602156695188</v>
      </c>
      <c r="D77" s="81">
        <v>0.19</v>
      </c>
      <c r="E77" s="81">
        <f t="shared" si="10"/>
        <v>1.8731990022293976</v>
      </c>
      <c r="F77" s="82">
        <f t="shared" si="11"/>
        <v>3.8008882544368516</v>
      </c>
      <c r="G77" s="78">
        <f t="shared" si="12"/>
        <v>2.9520889049126549</v>
      </c>
    </row>
    <row r="78" spans="1:7" ht="16.5" hidden="1" thickBot="1">
      <c r="A78" s="73">
        <v>2006</v>
      </c>
      <c r="B78" s="74" t="s">
        <v>64</v>
      </c>
      <c r="C78" s="75">
        <f t="shared" si="7"/>
        <v>154.68332457773536</v>
      </c>
      <c r="D78" s="81">
        <v>0.05</v>
      </c>
      <c r="E78" s="81">
        <f t="shared" si="10"/>
        <v>1.9241356017305256</v>
      </c>
      <c r="F78" s="82">
        <f t="shared" si="11"/>
        <v>3.6868896750839264</v>
      </c>
      <c r="G78" s="78">
        <f t="shared" si="12"/>
        <v>2.9506135981135979</v>
      </c>
    </row>
    <row r="79" spans="1:7" ht="16.5" hidden="1" thickBot="1">
      <c r="A79" s="73">
        <v>2006</v>
      </c>
      <c r="B79" s="74" t="s">
        <v>78</v>
      </c>
      <c r="C79" s="75">
        <f t="shared" si="7"/>
        <v>155.13190621901077</v>
      </c>
      <c r="D79" s="81">
        <v>0.28999999999999998</v>
      </c>
      <c r="E79" s="81">
        <f>100*((C79/$C$69)-1)</f>
        <v>2.2197155949755354</v>
      </c>
      <c r="F79" s="82">
        <f t="shared" si="11"/>
        <v>3.4084940882474823</v>
      </c>
      <c r="G79" s="78">
        <f t="shared" si="12"/>
        <v>2.942081561585002</v>
      </c>
    </row>
    <row r="80" spans="1:7" ht="16.5" hidden="1" thickBot="1">
      <c r="A80" s="73">
        <v>2006</v>
      </c>
      <c r="B80" s="80" t="s">
        <v>68</v>
      </c>
      <c r="C80" s="75">
        <f t="shared" si="7"/>
        <v>155.70589427202111</v>
      </c>
      <c r="D80" s="81">
        <v>0.37</v>
      </c>
      <c r="E80" s="81">
        <f>100*((C80/$C$69)-1)</f>
        <v>2.5979285426769305</v>
      </c>
      <c r="F80" s="82">
        <f t="shared" si="11"/>
        <v>2.987800671139107</v>
      </c>
      <c r="G80" s="78">
        <f t="shared" si="12"/>
        <v>2.9312359884278187</v>
      </c>
    </row>
    <row r="81" spans="1:7" ht="16.5" hidden="1" thickBot="1">
      <c r="A81" s="73">
        <v>2006</v>
      </c>
      <c r="B81" s="80" t="s">
        <v>69</v>
      </c>
      <c r="C81" s="75">
        <f t="shared" si="7"/>
        <v>156.25086490197319</v>
      </c>
      <c r="D81" s="81">
        <v>0.35</v>
      </c>
      <c r="E81" s="81">
        <f>100*((C81/$C$69)-1)</f>
        <v>2.9570212925763117</v>
      </c>
      <c r="F81" s="82">
        <f t="shared" si="11"/>
        <v>2.9570212925763117</v>
      </c>
      <c r="G81" s="78">
        <f t="shared" si="12"/>
        <v>2.9210124448707711</v>
      </c>
    </row>
    <row r="82" spans="1:7" ht="16.5" hidden="1" thickBot="1">
      <c r="A82" s="73">
        <v>2007</v>
      </c>
      <c r="B82" s="80" t="s">
        <v>70</v>
      </c>
      <c r="C82" s="75">
        <f t="shared" si="7"/>
        <v>157.06336939946345</v>
      </c>
      <c r="D82" s="81">
        <v>0.52</v>
      </c>
      <c r="E82" s="81">
        <f t="shared" ref="E82:E93" si="13">100*((C82/$C$81)-1)</f>
        <v>0.52000000000000934</v>
      </c>
      <c r="F82" s="82">
        <f t="shared" si="11"/>
        <v>2.9672647530571084</v>
      </c>
      <c r="G82" s="78">
        <f t="shared" si="12"/>
        <v>2.9059017557409184</v>
      </c>
    </row>
    <row r="83" spans="1:7" ht="16.5" hidden="1" thickBot="1">
      <c r="A83" s="73">
        <v>2007</v>
      </c>
      <c r="B83" s="80" t="s">
        <v>57</v>
      </c>
      <c r="C83" s="75">
        <f t="shared" si="7"/>
        <v>157.78586089870097</v>
      </c>
      <c r="D83" s="81">
        <v>0.46</v>
      </c>
      <c r="E83" s="81">
        <f t="shared" si="13"/>
        <v>0.9823919999999875</v>
      </c>
      <c r="F83" s="82">
        <f t="shared" si="11"/>
        <v>2.9058039901722621</v>
      </c>
      <c r="G83" s="78">
        <f t="shared" si="12"/>
        <v>2.8925958149919557</v>
      </c>
    </row>
    <row r="84" spans="1:7" ht="16.5" hidden="1" thickBot="1">
      <c r="A84" s="73">
        <v>2007</v>
      </c>
      <c r="B84" s="80" t="s">
        <v>72</v>
      </c>
      <c r="C84" s="75">
        <f t="shared" si="7"/>
        <v>158.43278292838565</v>
      </c>
      <c r="D84" s="81">
        <v>0.41</v>
      </c>
      <c r="E84" s="81">
        <f t="shared" si="13"/>
        <v>1.3964198072</v>
      </c>
      <c r="F84" s="82">
        <f t="shared" si="11"/>
        <v>2.9468145726132988</v>
      </c>
      <c r="G84" s="78">
        <f t="shared" si="12"/>
        <v>2.8807845981395834</v>
      </c>
    </row>
    <row r="85" spans="1:7" ht="16.5" hidden="1" thickBot="1">
      <c r="A85" s="73">
        <v>2007</v>
      </c>
      <c r="B85" s="80" t="s">
        <v>59</v>
      </c>
      <c r="C85" s="75">
        <f t="shared" si="7"/>
        <v>158.78133505082809</v>
      </c>
      <c r="D85" s="81">
        <v>0.22</v>
      </c>
      <c r="E85" s="81">
        <f t="shared" si="13"/>
        <v>1.6194919307758404</v>
      </c>
      <c r="F85" s="82">
        <f t="shared" si="11"/>
        <v>2.99820062361289</v>
      </c>
      <c r="G85" s="78">
        <f t="shared" si="12"/>
        <v>2.874460784413873</v>
      </c>
    </row>
    <row r="86" spans="1:7" ht="16.5" hidden="1" thickBot="1">
      <c r="A86" s="73">
        <v>2007</v>
      </c>
      <c r="B86" s="80" t="s">
        <v>60</v>
      </c>
      <c r="C86" s="75">
        <f t="shared" si="7"/>
        <v>159.19416652196023</v>
      </c>
      <c r="D86" s="81">
        <v>0.26</v>
      </c>
      <c r="E86" s="81">
        <f t="shared" si="13"/>
        <v>1.8837026097958454</v>
      </c>
      <c r="F86" s="82">
        <f t="shared" si="11"/>
        <v>2.9879285381811949</v>
      </c>
      <c r="G86" s="78">
        <f t="shared" si="12"/>
        <v>2.8670065673387923</v>
      </c>
    </row>
    <row r="87" spans="1:7" ht="16.5" hidden="1" thickBot="1">
      <c r="A87" s="73">
        <v>2007</v>
      </c>
      <c r="B87" s="80" t="s">
        <v>61</v>
      </c>
      <c r="C87" s="75">
        <f t="shared" si="7"/>
        <v>159.6558296048739</v>
      </c>
      <c r="D87" s="81">
        <v>0.28999999999999998</v>
      </c>
      <c r="E87" s="81">
        <f t="shared" si="13"/>
        <v>2.1791653473642425</v>
      </c>
      <c r="F87" s="82">
        <f t="shared" si="11"/>
        <v>3.4417561651896689</v>
      </c>
      <c r="G87" s="78">
        <f t="shared" si="12"/>
        <v>2.8587162900975098</v>
      </c>
    </row>
    <row r="88" spans="1:7" ht="16.5" hidden="1" thickBot="1">
      <c r="A88" s="73">
        <v>2007</v>
      </c>
      <c r="B88" s="80" t="s">
        <v>62</v>
      </c>
      <c r="C88" s="75">
        <f t="shared" si="7"/>
        <v>160.03900359592558</v>
      </c>
      <c r="D88" s="81">
        <v>0.24</v>
      </c>
      <c r="E88" s="81">
        <f t="shared" si="13"/>
        <v>2.4243953441978938</v>
      </c>
      <c r="F88" s="82">
        <f t="shared" si="11"/>
        <v>3.7107585316924707</v>
      </c>
      <c r="G88" s="78">
        <f t="shared" si="12"/>
        <v>2.8518717977828314</v>
      </c>
    </row>
    <row r="89" spans="1:7" ht="16.5" hidden="1" thickBot="1">
      <c r="A89" s="73">
        <v>2007</v>
      </c>
      <c r="B89" s="80" t="s">
        <v>63</v>
      </c>
      <c r="C89" s="75">
        <f t="shared" si="7"/>
        <v>160.71116741102847</v>
      </c>
      <c r="D89" s="81">
        <v>0.42</v>
      </c>
      <c r="E89" s="81">
        <f t="shared" si="13"/>
        <v>2.8545778046435322</v>
      </c>
      <c r="F89" s="82">
        <f t="shared" si="11"/>
        <v>3.948840919777985</v>
      </c>
      <c r="G89" s="78">
        <f t="shared" si="12"/>
        <v>2.8399440328448828</v>
      </c>
    </row>
    <row r="90" spans="1:7" ht="16.5" hidden="1" thickBot="1">
      <c r="A90" s="73">
        <v>2007</v>
      </c>
      <c r="B90" s="80" t="s">
        <v>64</v>
      </c>
      <c r="C90" s="75">
        <f t="shared" si="7"/>
        <v>161.17722979652044</v>
      </c>
      <c r="D90" s="81">
        <v>0.28999999999999998</v>
      </c>
      <c r="E90" s="81">
        <f t="shared" si="13"/>
        <v>3.152856080277</v>
      </c>
      <c r="F90" s="82">
        <f t="shared" si="11"/>
        <v>4.1981934617144834</v>
      </c>
      <c r="G90" s="78">
        <f t="shared" si="12"/>
        <v>2.8317320100158372</v>
      </c>
    </row>
    <row r="91" spans="1:7" ht="16.5" hidden="1" thickBot="1">
      <c r="A91" s="73">
        <v>2007</v>
      </c>
      <c r="B91" s="80" t="s">
        <v>65</v>
      </c>
      <c r="C91" s="75">
        <f t="shared" si="7"/>
        <v>161.56405514803208</v>
      </c>
      <c r="D91" s="81">
        <v>0.24</v>
      </c>
      <c r="E91" s="81">
        <f t="shared" si="13"/>
        <v>3.4004229348696624</v>
      </c>
      <c r="F91" s="82">
        <f t="shared" si="11"/>
        <v>4.146245015477712</v>
      </c>
      <c r="G91" s="78">
        <f t="shared" si="12"/>
        <v>2.8249521249160385</v>
      </c>
    </row>
    <row r="92" spans="1:7" ht="16.5" hidden="1" thickBot="1">
      <c r="A92" s="73">
        <v>2007</v>
      </c>
      <c r="B92" s="80" t="s">
        <v>66</v>
      </c>
      <c r="C92" s="75">
        <f t="shared" si="7"/>
        <v>161.93565247487254</v>
      </c>
      <c r="D92" s="81">
        <v>0.23</v>
      </c>
      <c r="E92" s="81">
        <f t="shared" si="13"/>
        <v>3.6382439076198425</v>
      </c>
      <c r="F92" s="82">
        <f t="shared" si="11"/>
        <v>4.0009777612965092</v>
      </c>
      <c r="G92" s="78">
        <f t="shared" si="12"/>
        <v>2.8184696447331525</v>
      </c>
    </row>
    <row r="93" spans="1:7" ht="16.5" hidden="1" thickBot="1">
      <c r="A93" s="73">
        <v>2007</v>
      </c>
      <c r="B93" s="80" t="s">
        <v>55</v>
      </c>
      <c r="C93" s="75">
        <f t="shared" si="7"/>
        <v>163.06920204219662</v>
      </c>
      <c r="D93" s="81">
        <v>0.7</v>
      </c>
      <c r="E93" s="81">
        <f t="shared" si="13"/>
        <v>4.3637116149731758</v>
      </c>
      <c r="F93" s="82">
        <f t="shared" si="11"/>
        <v>4.3637116149731758</v>
      </c>
      <c r="G93" s="78">
        <f t="shared" si="12"/>
        <v>2.7988775022176298</v>
      </c>
    </row>
    <row r="94" spans="1:7" ht="16.5" hidden="1" thickBot="1">
      <c r="A94" s="73">
        <v>2008</v>
      </c>
      <c r="B94" s="80" t="s">
        <v>56</v>
      </c>
      <c r="C94" s="75">
        <f t="shared" si="7"/>
        <v>164.21068645649197</v>
      </c>
      <c r="D94" s="81">
        <v>0.7</v>
      </c>
      <c r="E94" s="81">
        <f t="shared" ref="E94:E105" si="14">100*((C94/$C$93)-1)</f>
        <v>0.69999999999998952</v>
      </c>
      <c r="F94" s="82">
        <f t="shared" si="11"/>
        <v>4.5505945048527119</v>
      </c>
      <c r="G94" s="78">
        <f t="shared" si="12"/>
        <v>2.7794215513581233</v>
      </c>
    </row>
    <row r="95" spans="1:7" ht="16.5" hidden="1" thickBot="1">
      <c r="A95" s="73">
        <v>2008</v>
      </c>
      <c r="B95" s="80" t="s">
        <v>57</v>
      </c>
      <c r="C95" s="75">
        <f t="shared" si="7"/>
        <v>165.2616348498135</v>
      </c>
      <c r="D95" s="81">
        <v>0.64</v>
      </c>
      <c r="E95" s="81">
        <f t="shared" si="14"/>
        <v>1.3444799999999812</v>
      </c>
      <c r="F95" s="82">
        <f t="shared" si="11"/>
        <v>4.7379238599281059</v>
      </c>
      <c r="G95" s="78">
        <f t="shared" si="12"/>
        <v>2.7617463745609334</v>
      </c>
    </row>
    <row r="96" spans="1:7" ht="16.5" hidden="1" thickBot="1">
      <c r="A96" s="73">
        <v>2008</v>
      </c>
      <c r="B96" s="80" t="s">
        <v>58</v>
      </c>
      <c r="C96" s="75">
        <f t="shared" si="7"/>
        <v>165.64173660996806</v>
      </c>
      <c r="D96" s="81">
        <v>0.23</v>
      </c>
      <c r="E96" s="81">
        <f t="shared" si="14"/>
        <v>1.5775723039999745</v>
      </c>
      <c r="F96" s="82">
        <f t="shared" si="11"/>
        <v>4.5501654066387065</v>
      </c>
      <c r="G96" s="78">
        <f t="shared" si="12"/>
        <v>2.7554089340127046</v>
      </c>
    </row>
    <row r="97" spans="1:7" ht="16.5" hidden="1" thickBot="1">
      <c r="A97" s="73">
        <v>2008</v>
      </c>
      <c r="B97" s="80" t="s">
        <v>59</v>
      </c>
      <c r="C97" s="75">
        <f t="shared" si="7"/>
        <v>166.61902285596688</v>
      </c>
      <c r="D97" s="81">
        <v>0.59</v>
      </c>
      <c r="E97" s="81">
        <f t="shared" si="14"/>
        <v>2.1768799805935712</v>
      </c>
      <c r="F97" s="82">
        <f t="shared" si="11"/>
        <v>4.9361518484712485</v>
      </c>
      <c r="G97" s="78">
        <f t="shared" si="12"/>
        <v>2.7392473745031358</v>
      </c>
    </row>
    <row r="98" spans="1:7" ht="16.5" hidden="1" thickBot="1">
      <c r="A98" s="73">
        <v>2008</v>
      </c>
      <c r="B98" s="80" t="s">
        <v>60</v>
      </c>
      <c r="C98" s="75">
        <f t="shared" si="7"/>
        <v>167.55208938396029</v>
      </c>
      <c r="D98" s="81">
        <v>0.56000000000000005</v>
      </c>
      <c r="E98" s="81">
        <f t="shared" si="14"/>
        <v>2.7490705084848965</v>
      </c>
      <c r="F98" s="82">
        <f t="shared" si="11"/>
        <v>5.2501439246186887</v>
      </c>
      <c r="G98" s="78">
        <f t="shared" si="12"/>
        <v>2.7239930136268256</v>
      </c>
    </row>
    <row r="99" spans="1:7" ht="16.5" hidden="1" thickBot="1">
      <c r="A99" s="73">
        <v>2008</v>
      </c>
      <c r="B99" s="80" t="s">
        <v>61</v>
      </c>
      <c r="C99" s="75">
        <f t="shared" si="7"/>
        <v>169.06005818841592</v>
      </c>
      <c r="D99" s="81">
        <v>0.9</v>
      </c>
      <c r="E99" s="81">
        <f t="shared" si="14"/>
        <v>3.6738121430612392</v>
      </c>
      <c r="F99" s="82">
        <f t="shared" si="11"/>
        <v>5.8903133113373807</v>
      </c>
      <c r="G99" s="78">
        <f t="shared" si="12"/>
        <v>2.699695751860085</v>
      </c>
    </row>
    <row r="100" spans="1:7" ht="16.5" hidden="1" thickBot="1">
      <c r="A100" s="73">
        <v>2008</v>
      </c>
      <c r="B100" s="80" t="s">
        <v>62</v>
      </c>
      <c r="C100" s="75">
        <f t="shared" si="7"/>
        <v>170.12513655500294</v>
      </c>
      <c r="D100" s="81">
        <v>0.63</v>
      </c>
      <c r="E100" s="81">
        <f t="shared" si="14"/>
        <v>4.3269571595625278</v>
      </c>
      <c r="F100" s="82">
        <f t="shared" si="11"/>
        <v>6.3022967729437607</v>
      </c>
      <c r="G100" s="78">
        <f t="shared" si="12"/>
        <v>2.6827941487231297</v>
      </c>
    </row>
    <row r="101" spans="1:7" ht="16.5" hidden="1" thickBot="1">
      <c r="A101" s="73">
        <v>2008</v>
      </c>
      <c r="B101" s="80" t="s">
        <v>63</v>
      </c>
      <c r="C101" s="75">
        <f t="shared" si="7"/>
        <v>170.72057453294545</v>
      </c>
      <c r="D101" s="81">
        <v>0.35</v>
      </c>
      <c r="E101" s="81">
        <f t="shared" si="14"/>
        <v>4.692101509621005</v>
      </c>
      <c r="F101" s="82">
        <f t="shared" si="11"/>
        <v>6.2281963868243917</v>
      </c>
      <c r="G101" s="78">
        <f t="shared" si="12"/>
        <v>2.6734371188073038</v>
      </c>
    </row>
    <row r="102" spans="1:7" ht="16.5" hidden="1" thickBot="1">
      <c r="A102" s="73">
        <v>2008</v>
      </c>
      <c r="B102" s="80" t="s">
        <v>64</v>
      </c>
      <c r="C102" s="75">
        <f t="shared" si="7"/>
        <v>171.16444802673109</v>
      </c>
      <c r="D102" s="81">
        <v>0.26</v>
      </c>
      <c r="E102" s="81">
        <f t="shared" si="14"/>
        <v>4.9643009735460097</v>
      </c>
      <c r="F102" s="82">
        <f t="shared" si="11"/>
        <v>6.1964200792004487</v>
      </c>
      <c r="G102" s="78">
        <f t="shared" si="12"/>
        <v>2.6665042078668502</v>
      </c>
    </row>
    <row r="103" spans="1:7" ht="16.5" hidden="1" thickBot="1">
      <c r="A103" s="73">
        <v>2008</v>
      </c>
      <c r="B103" s="80" t="s">
        <v>65</v>
      </c>
      <c r="C103" s="75">
        <f t="shared" si="7"/>
        <v>171.67794137081128</v>
      </c>
      <c r="D103" s="81">
        <v>0.3</v>
      </c>
      <c r="E103" s="81">
        <f t="shared" si="14"/>
        <v>5.2791938764666479</v>
      </c>
      <c r="F103" s="82">
        <f t="shared" si="11"/>
        <v>6.2599853745391565</v>
      </c>
      <c r="G103" s="78">
        <f t="shared" si="12"/>
        <v>2.6585286220008477</v>
      </c>
    </row>
    <row r="104" spans="1:7" ht="16.5" hidden="1" thickBot="1">
      <c r="A104" s="73">
        <v>2008</v>
      </c>
      <c r="B104" s="80" t="s">
        <v>66</v>
      </c>
      <c r="C104" s="75">
        <f t="shared" si="7"/>
        <v>172.51916328352823</v>
      </c>
      <c r="D104" s="81">
        <v>0.49</v>
      </c>
      <c r="E104" s="81">
        <f t="shared" si="14"/>
        <v>5.795061926461309</v>
      </c>
      <c r="F104" s="82">
        <f t="shared" si="11"/>
        <v>6.5356273599465275</v>
      </c>
      <c r="G104" s="78">
        <f t="shared" si="12"/>
        <v>2.6455653517771403</v>
      </c>
    </row>
    <row r="105" spans="1:7" ht="16.5" hidden="1" thickBot="1">
      <c r="A105" s="73">
        <v>2008</v>
      </c>
      <c r="B105" s="80" t="s">
        <v>55</v>
      </c>
      <c r="C105" s="75">
        <f t="shared" si="7"/>
        <v>173.01946885705044</v>
      </c>
      <c r="D105" s="81">
        <v>0.28999999999999998</v>
      </c>
      <c r="E105" s="81">
        <f t="shared" si="14"/>
        <v>6.1018676060480281</v>
      </c>
      <c r="F105" s="82">
        <f t="shared" si="11"/>
        <v>6.1018676060480281</v>
      </c>
      <c r="G105" s="78">
        <f t="shared" si="12"/>
        <v>2.637915397125477</v>
      </c>
    </row>
    <row r="106" spans="1:7" ht="16.5" hidden="1" thickBot="1">
      <c r="A106" s="73">
        <v>2009</v>
      </c>
      <c r="B106" s="80" t="s">
        <v>56</v>
      </c>
      <c r="C106" s="75">
        <f t="shared" si="7"/>
        <v>173.71154673247864</v>
      </c>
      <c r="D106" s="81">
        <v>0.4</v>
      </c>
      <c r="E106" s="81">
        <f t="shared" ref="E106:E117" si="15">100*((C106/$C$105)-1)</f>
        <v>0.40000000000000036</v>
      </c>
      <c r="F106" s="82">
        <f t="shared" si="11"/>
        <v>5.7857746538949817</v>
      </c>
      <c r="G106" s="78">
        <f t="shared" si="12"/>
        <v>2.6274057740293593</v>
      </c>
    </row>
    <row r="107" spans="1:7" ht="16.5" hidden="1" thickBot="1">
      <c r="A107" s="73">
        <v>2009</v>
      </c>
      <c r="B107" s="80" t="s">
        <v>57</v>
      </c>
      <c r="C107" s="75">
        <f t="shared" si="7"/>
        <v>174.80592947689325</v>
      </c>
      <c r="D107" s="81">
        <v>0.63</v>
      </c>
      <c r="E107" s="81">
        <f t="shared" si="15"/>
        <v>1.0325200000000034</v>
      </c>
      <c r="F107" s="82">
        <f t="shared" si="11"/>
        <v>5.7752633487823113</v>
      </c>
      <c r="G107" s="78">
        <f t="shared" si="12"/>
        <v>2.6109567465262442</v>
      </c>
    </row>
    <row r="108" spans="1:7" ht="16.5" hidden="1" thickBot="1">
      <c r="A108" s="73">
        <v>2009</v>
      </c>
      <c r="B108" s="80" t="s">
        <v>58</v>
      </c>
      <c r="C108" s="75">
        <f t="shared" si="7"/>
        <v>174.99821599931786</v>
      </c>
      <c r="D108" s="81">
        <v>0.11</v>
      </c>
      <c r="E108" s="81">
        <f t="shared" si="15"/>
        <v>1.1436557720000184</v>
      </c>
      <c r="F108" s="82">
        <f t="shared" si="11"/>
        <v>5.6486243025700933</v>
      </c>
      <c r="G108" s="78">
        <f t="shared" si="12"/>
        <v>2.6080878498913633</v>
      </c>
    </row>
    <row r="109" spans="1:7" ht="16.5" hidden="1" thickBot="1">
      <c r="A109" s="73">
        <v>2009</v>
      </c>
      <c r="B109" s="80" t="s">
        <v>59</v>
      </c>
      <c r="C109" s="75">
        <f t="shared" si="7"/>
        <v>175.62120964827542</v>
      </c>
      <c r="D109" s="81">
        <v>0.35599999999999998</v>
      </c>
      <c r="E109" s="81">
        <f t="shared" si="15"/>
        <v>1.5037271865483204</v>
      </c>
      <c r="F109" s="82">
        <f t="shared" si="11"/>
        <v>5.4028565514337767</v>
      </c>
      <c r="G109" s="78">
        <f t="shared" si="12"/>
        <v>2.5988359937536005</v>
      </c>
    </row>
    <row r="110" spans="1:7" ht="16.5" hidden="1" thickBot="1">
      <c r="A110" s="73">
        <v>2009</v>
      </c>
      <c r="B110" s="80" t="s">
        <v>60</v>
      </c>
      <c r="C110" s="75">
        <f t="shared" si="7"/>
        <v>176.65737478520026</v>
      </c>
      <c r="D110" s="81">
        <v>0.59</v>
      </c>
      <c r="E110" s="81">
        <f t="shared" si="15"/>
        <v>2.1025991769489716</v>
      </c>
      <c r="F110" s="82">
        <f t="shared" si="11"/>
        <v>5.434301317708079</v>
      </c>
      <c r="G110" s="78">
        <f t="shared" si="12"/>
        <v>2.5835927962556919</v>
      </c>
    </row>
    <row r="111" spans="1:7" ht="16.5" hidden="1" thickBot="1">
      <c r="A111" s="73">
        <v>2009</v>
      </c>
      <c r="B111" s="80" t="s">
        <v>61</v>
      </c>
      <c r="C111" s="75">
        <f t="shared" ref="C111:C174" si="16">+C110*(1+D111/100)</f>
        <v>177.32867280938402</v>
      </c>
      <c r="D111" s="81">
        <v>0.38</v>
      </c>
      <c r="E111" s="81">
        <f t="shared" si="15"/>
        <v>2.4905890538213793</v>
      </c>
      <c r="F111" s="82">
        <f t="shared" si="11"/>
        <v>4.8909332633452651</v>
      </c>
      <c r="G111" s="78">
        <f t="shared" si="12"/>
        <v>2.5738123094796692</v>
      </c>
    </row>
    <row r="112" spans="1:7" ht="16.5" hidden="1" thickBot="1">
      <c r="A112" s="73">
        <v>2009</v>
      </c>
      <c r="B112" s="80" t="s">
        <v>62</v>
      </c>
      <c r="C112" s="75">
        <f t="shared" si="16"/>
        <v>177.71879588956466</v>
      </c>
      <c r="D112" s="81">
        <v>0.22</v>
      </c>
      <c r="E112" s="81">
        <f t="shared" si="15"/>
        <v>2.7160683497397864</v>
      </c>
      <c r="F112" s="82">
        <f t="shared" si="11"/>
        <v>4.4635728078352699</v>
      </c>
      <c r="G112" s="78">
        <f t="shared" si="12"/>
        <v>2.5681623523045989</v>
      </c>
    </row>
    <row r="113" spans="1:7" ht="16.5" hidden="1" thickBot="1">
      <c r="A113" s="73">
        <v>2009</v>
      </c>
      <c r="B113" s="80" t="s">
        <v>63</v>
      </c>
      <c r="C113" s="75">
        <f t="shared" si="16"/>
        <v>178.12754912011064</v>
      </c>
      <c r="D113" s="81">
        <v>0.23</v>
      </c>
      <c r="E113" s="81">
        <f t="shared" si="15"/>
        <v>2.9523153069441754</v>
      </c>
      <c r="F113" s="82">
        <f t="shared" si="11"/>
        <v>4.3386537372130274</v>
      </c>
      <c r="G113" s="78">
        <f t="shared" si="12"/>
        <v>2.5622691332980136</v>
      </c>
    </row>
    <row r="114" spans="1:7" ht="16.5" hidden="1" thickBot="1">
      <c r="A114" s="73">
        <v>2009</v>
      </c>
      <c r="B114" s="80" t="s">
        <v>64</v>
      </c>
      <c r="C114" s="75">
        <f t="shared" si="16"/>
        <v>178.46599146343885</v>
      </c>
      <c r="D114" s="81">
        <v>0.19</v>
      </c>
      <c r="E114" s="81">
        <f t="shared" si="15"/>
        <v>3.1479247060273607</v>
      </c>
      <c r="F114" s="82">
        <f t="shared" si="11"/>
        <v>4.2658060834966482</v>
      </c>
      <c r="G114" s="78">
        <f t="shared" si="12"/>
        <v>2.5574100541950431</v>
      </c>
    </row>
    <row r="115" spans="1:7" ht="16.5" hidden="1" thickBot="1">
      <c r="A115" s="73">
        <v>2009</v>
      </c>
      <c r="B115" s="80" t="s">
        <v>78</v>
      </c>
      <c r="C115" s="75">
        <f t="shared" si="16"/>
        <v>178.78723024807306</v>
      </c>
      <c r="D115" s="81">
        <v>0.18</v>
      </c>
      <c r="E115" s="81">
        <f t="shared" si="15"/>
        <v>3.3335909704982125</v>
      </c>
      <c r="F115" s="82">
        <f t="shared" si="11"/>
        <v>4.1410613503957805</v>
      </c>
      <c r="G115" s="78">
        <f t="shared" si="12"/>
        <v>2.5528149872180506</v>
      </c>
    </row>
    <row r="116" spans="1:7" ht="16.5" hidden="1" thickBot="1">
      <c r="A116" s="73">
        <v>2009</v>
      </c>
      <c r="B116" s="80" t="s">
        <v>66</v>
      </c>
      <c r="C116" s="75">
        <f t="shared" si="16"/>
        <v>179.57389406116457</v>
      </c>
      <c r="D116" s="81">
        <v>0.44</v>
      </c>
      <c r="E116" s="81">
        <f t="shared" si="15"/>
        <v>3.7882587707684046</v>
      </c>
      <c r="F116" s="82">
        <f t="shared" si="11"/>
        <v>4.089244721203622</v>
      </c>
      <c r="G116" s="78">
        <f t="shared" si="12"/>
        <v>2.54163180726608</v>
      </c>
    </row>
    <row r="117" spans="1:7" ht="16.5" hidden="1" thickBot="1">
      <c r="A117" s="73">
        <v>2009</v>
      </c>
      <c r="B117" s="80" t="s">
        <v>55</v>
      </c>
      <c r="C117" s="75">
        <f t="shared" si="16"/>
        <v>180.25627485859701</v>
      </c>
      <c r="D117" s="81">
        <v>0.38</v>
      </c>
      <c r="E117" s="81">
        <f t="shared" si="15"/>
        <v>4.1826541540973317</v>
      </c>
      <c r="F117" s="82">
        <f t="shared" si="11"/>
        <v>4.1826541540973317</v>
      </c>
      <c r="G117" s="78">
        <f t="shared" si="12"/>
        <v>2.5320101686253036</v>
      </c>
    </row>
    <row r="118" spans="1:7" ht="16.5" hidden="1" thickBot="1">
      <c r="A118" s="73">
        <v>2010</v>
      </c>
      <c r="B118" s="80" t="s">
        <v>56</v>
      </c>
      <c r="C118" s="75">
        <f t="shared" si="16"/>
        <v>181.19360748786173</v>
      </c>
      <c r="D118" s="81">
        <v>0.52</v>
      </c>
      <c r="E118" s="81">
        <f t="shared" ref="E118:E129" si="17">100*((C118/$C$117)-1)</f>
        <v>0.52000000000000934</v>
      </c>
      <c r="F118" s="82">
        <f t="shared" si="11"/>
        <v>4.3071752546799402</v>
      </c>
      <c r="G118" s="78">
        <f t="shared" si="12"/>
        <v>2.5189118271242572</v>
      </c>
    </row>
    <row r="119" spans="1:7" ht="16.5" hidden="1" thickBot="1">
      <c r="A119" s="73">
        <v>2010</v>
      </c>
      <c r="B119" s="80" t="s">
        <v>57</v>
      </c>
      <c r="C119" s="75">
        <f t="shared" si="16"/>
        <v>182.89682739824764</v>
      </c>
      <c r="D119" s="81">
        <v>0.94</v>
      </c>
      <c r="E119" s="81">
        <f t="shared" si="17"/>
        <v>1.4648880000000197</v>
      </c>
      <c r="F119" s="82">
        <f t="shared" si="11"/>
        <v>4.6285031323401782</v>
      </c>
      <c r="G119" s="78">
        <f t="shared" si="12"/>
        <v>2.4954545543137083</v>
      </c>
    </row>
    <row r="120" spans="1:7" ht="16.5" hidden="1" thickBot="1">
      <c r="A120" s="73">
        <v>2010</v>
      </c>
      <c r="B120" s="80" t="s">
        <v>58</v>
      </c>
      <c r="C120" s="75">
        <f t="shared" si="16"/>
        <v>183.90275994893801</v>
      </c>
      <c r="D120" s="81">
        <v>0.55000000000000004</v>
      </c>
      <c r="E120" s="81">
        <f t="shared" si="17"/>
        <v>2.0229448840000108</v>
      </c>
      <c r="F120" s="82">
        <f t="shared" si="11"/>
        <v>5.0883627005973819</v>
      </c>
      <c r="G120" s="78">
        <f t="shared" si="12"/>
        <v>2.4818046288550053</v>
      </c>
    </row>
    <row r="121" spans="1:7" ht="16.5" hidden="1" thickBot="1">
      <c r="A121" s="73">
        <v>2010</v>
      </c>
      <c r="B121" s="80" t="s">
        <v>59</v>
      </c>
      <c r="C121" s="75">
        <f t="shared" si="16"/>
        <v>184.7854931966929</v>
      </c>
      <c r="D121" s="81">
        <v>0.48</v>
      </c>
      <c r="E121" s="81">
        <f t="shared" si="17"/>
        <v>2.5126550194431996</v>
      </c>
      <c r="F121" s="82">
        <f t="shared" si="11"/>
        <v>5.2182100139107401</v>
      </c>
      <c r="G121" s="78">
        <f t="shared" si="12"/>
        <v>2.4699488742585647</v>
      </c>
    </row>
    <row r="122" spans="1:7" ht="16.5" hidden="1" thickBot="1">
      <c r="A122" s="73">
        <v>2010</v>
      </c>
      <c r="B122" s="80" t="s">
        <v>60</v>
      </c>
      <c r="C122" s="75">
        <f t="shared" si="16"/>
        <v>185.94964180383207</v>
      </c>
      <c r="D122" s="81">
        <v>0.63</v>
      </c>
      <c r="E122" s="81">
        <f t="shared" si="17"/>
        <v>3.158484746065704</v>
      </c>
      <c r="F122" s="82">
        <f t="shared" si="11"/>
        <v>5.2600504394058722</v>
      </c>
      <c r="G122" s="78">
        <f t="shared" si="12"/>
        <v>2.4544856148847902</v>
      </c>
    </row>
    <row r="123" spans="1:7" ht="16.5" hidden="1" thickBot="1">
      <c r="A123" s="73">
        <v>2010</v>
      </c>
      <c r="B123" s="80" t="s">
        <v>61</v>
      </c>
      <c r="C123" s="75">
        <f t="shared" si="16"/>
        <v>186.30294612325935</v>
      </c>
      <c r="D123" s="81">
        <v>0.19</v>
      </c>
      <c r="E123" s="81">
        <f t="shared" si="17"/>
        <v>3.3544858670832234</v>
      </c>
      <c r="F123" s="82">
        <f t="shared" si="11"/>
        <v>5.0608134441529673</v>
      </c>
      <c r="G123" s="78">
        <f t="shared" si="12"/>
        <v>2.4498309361061885</v>
      </c>
    </row>
    <row r="124" spans="1:7" ht="16.5" hidden="1" thickBot="1">
      <c r="A124" s="73">
        <v>2010</v>
      </c>
      <c r="B124" s="80" t="s">
        <v>62</v>
      </c>
      <c r="C124" s="75">
        <f t="shared" si="16"/>
        <v>186.13527347174841</v>
      </c>
      <c r="D124" s="81">
        <v>-0.09</v>
      </c>
      <c r="E124" s="81">
        <f t="shared" si="17"/>
        <v>3.2614668298028393</v>
      </c>
      <c r="F124" s="82">
        <f t="shared" si="11"/>
        <v>4.7358398643516431</v>
      </c>
      <c r="G124" s="78">
        <f t="shared" si="12"/>
        <v>2.4520377700992779</v>
      </c>
    </row>
    <row r="125" spans="1:7" ht="16.5" hidden="1" thickBot="1">
      <c r="A125" s="73">
        <v>2010</v>
      </c>
      <c r="B125" s="80" t="s">
        <v>63</v>
      </c>
      <c r="C125" s="75">
        <f t="shared" si="16"/>
        <v>186.04220583501254</v>
      </c>
      <c r="D125" s="81">
        <v>-0.05</v>
      </c>
      <c r="E125" s="81">
        <f t="shared" si="17"/>
        <v>3.2098360963879635</v>
      </c>
      <c r="F125" s="82">
        <f t="shared" si="11"/>
        <v>4.4432524637528559</v>
      </c>
      <c r="G125" s="78">
        <f t="shared" si="12"/>
        <v>2.4532644023004284</v>
      </c>
    </row>
    <row r="126" spans="1:7" ht="16.5" hidden="1" thickBot="1">
      <c r="A126" s="73">
        <v>2010</v>
      </c>
      <c r="B126" s="80" t="s">
        <v>64</v>
      </c>
      <c r="C126" s="75">
        <f t="shared" si="16"/>
        <v>186.6189366731011</v>
      </c>
      <c r="D126" s="81">
        <v>0.31</v>
      </c>
      <c r="E126" s="81">
        <f t="shared" si="17"/>
        <v>3.5297865882867763</v>
      </c>
      <c r="F126" s="82">
        <f t="shared" si="11"/>
        <v>4.5683466876839107</v>
      </c>
      <c r="G126" s="78">
        <f t="shared" si="12"/>
        <v>2.4456827856648666</v>
      </c>
    </row>
    <row r="127" spans="1:7" ht="16.5" hidden="1" thickBot="1">
      <c r="A127" s="73">
        <v>2010</v>
      </c>
      <c r="B127" s="80" t="s">
        <v>65</v>
      </c>
      <c r="C127" s="75">
        <f t="shared" si="16"/>
        <v>187.77597408047433</v>
      </c>
      <c r="D127" s="81">
        <v>0.62</v>
      </c>
      <c r="E127" s="81">
        <f t="shared" si="17"/>
        <v>4.1716712651341359</v>
      </c>
      <c r="F127" s="82">
        <f t="shared" si="11"/>
        <v>5.0276207198518108</v>
      </c>
      <c r="G127" s="78">
        <f t="shared" si="12"/>
        <v>2.4306129851568943</v>
      </c>
    </row>
    <row r="128" spans="1:7" ht="16.5" hidden="1" thickBot="1">
      <c r="A128" s="73">
        <v>2010</v>
      </c>
      <c r="B128" s="80" t="s">
        <v>66</v>
      </c>
      <c r="C128" s="75">
        <f t="shared" si="16"/>
        <v>189.39084745756639</v>
      </c>
      <c r="D128" s="81">
        <v>0.86</v>
      </c>
      <c r="E128" s="81">
        <f t="shared" si="17"/>
        <v>5.0675476380142914</v>
      </c>
      <c r="F128" s="82">
        <f t="shared" si="11"/>
        <v>5.466804319038765</v>
      </c>
      <c r="G128" s="78">
        <f t="shared" si="12"/>
        <v>2.409887948797238</v>
      </c>
    </row>
    <row r="129" spans="1:7" ht="16.5" hidden="1" thickBot="1">
      <c r="A129" s="73">
        <v>2010</v>
      </c>
      <c r="B129" s="80" t="s">
        <v>55</v>
      </c>
      <c r="C129" s="75">
        <f t="shared" si="16"/>
        <v>190.69764430502357</v>
      </c>
      <c r="D129" s="81">
        <v>0.69</v>
      </c>
      <c r="E129" s="81">
        <f t="shared" si="17"/>
        <v>5.7925137167165852</v>
      </c>
      <c r="F129" s="82">
        <f t="shared" si="11"/>
        <v>5.7925137167165852</v>
      </c>
      <c r="G129" s="78">
        <f t="shared" si="12"/>
        <v>2.3933736704709885</v>
      </c>
    </row>
    <row r="130" spans="1:7">
      <c r="A130" s="85">
        <v>2011</v>
      </c>
      <c r="B130" s="86" t="s">
        <v>56</v>
      </c>
      <c r="C130" s="87">
        <f t="shared" si="16"/>
        <v>192.14694640174176</v>
      </c>
      <c r="D130" s="88">
        <v>0.76</v>
      </c>
      <c r="E130" s="88">
        <f t="shared" ref="E130:E141" si="18">100*((C130/$C$129)-1)</f>
        <v>0.76000000000000512</v>
      </c>
      <c r="F130" s="89">
        <f t="shared" si="11"/>
        <v>6.0451022890605</v>
      </c>
      <c r="G130" s="90">
        <f t="shared" si="12"/>
        <v>2.3753212291296033</v>
      </c>
    </row>
    <row r="131" spans="1:7">
      <c r="A131" s="91">
        <v>2011</v>
      </c>
      <c r="B131" s="92" t="s">
        <v>57</v>
      </c>
      <c r="C131" s="93">
        <f t="shared" si="16"/>
        <v>194.01077178183866</v>
      </c>
      <c r="D131" s="100">
        <v>0.97</v>
      </c>
      <c r="E131" s="94">
        <f t="shared" si="18"/>
        <v>1.7373720000000148</v>
      </c>
      <c r="F131" s="95">
        <f t="shared" si="11"/>
        <v>6.0766195574246007</v>
      </c>
      <c r="G131" s="96">
        <f t="shared" si="12"/>
        <v>2.3525019601164736</v>
      </c>
    </row>
    <row r="132" spans="1:7">
      <c r="A132" s="91">
        <v>2011</v>
      </c>
      <c r="B132" s="92" t="s">
        <v>58</v>
      </c>
      <c r="C132" s="93">
        <f t="shared" si="16"/>
        <v>195.17483641252969</v>
      </c>
      <c r="D132" s="100">
        <v>0.6</v>
      </c>
      <c r="E132" s="94">
        <f t="shared" si="18"/>
        <v>2.3477962320000101</v>
      </c>
      <c r="F132" s="95">
        <f t="shared" si="11"/>
        <v>6.1293677521323975</v>
      </c>
      <c r="G132" s="96">
        <f t="shared" si="12"/>
        <v>2.3384711333165744</v>
      </c>
    </row>
    <row r="133" spans="1:7">
      <c r="A133" s="91">
        <v>2011</v>
      </c>
      <c r="B133" s="92" t="s">
        <v>59</v>
      </c>
      <c r="C133" s="93">
        <f t="shared" si="16"/>
        <v>196.67768265290619</v>
      </c>
      <c r="D133" s="100">
        <v>0.77</v>
      </c>
      <c r="E133" s="94">
        <f t="shared" si="18"/>
        <v>3.1358742629864045</v>
      </c>
      <c r="F133" s="95">
        <f t="shared" si="11"/>
        <v>6.4356726550794718</v>
      </c>
      <c r="G133" s="96">
        <f t="shared" si="12"/>
        <v>2.3206024941119123</v>
      </c>
    </row>
    <row r="134" spans="1:7">
      <c r="A134" s="91">
        <v>2011</v>
      </c>
      <c r="B134" s="92" t="s">
        <v>60</v>
      </c>
      <c r="C134" s="93">
        <f t="shared" si="16"/>
        <v>198.05442643147651</v>
      </c>
      <c r="D134" s="100">
        <v>0.7</v>
      </c>
      <c r="E134" s="94">
        <f t="shared" si="18"/>
        <v>3.8578253828273068</v>
      </c>
      <c r="F134" s="95">
        <f t="shared" ref="F134:F197" si="19">100*((C134/$C122)-1)</f>
        <v>6.5097111832107757</v>
      </c>
      <c r="G134" s="96">
        <f t="shared" si="12"/>
        <v>2.3044711957417205</v>
      </c>
    </row>
    <row r="135" spans="1:7">
      <c r="A135" s="91">
        <v>2011</v>
      </c>
      <c r="B135" s="92" t="s">
        <v>61</v>
      </c>
      <c r="C135" s="93">
        <f t="shared" si="16"/>
        <v>198.50995161226891</v>
      </c>
      <c r="D135" s="100">
        <v>0.23</v>
      </c>
      <c r="E135" s="94">
        <f t="shared" si="18"/>
        <v>4.0966983812078084</v>
      </c>
      <c r="F135" s="95">
        <f t="shared" si="19"/>
        <v>6.5522342738119299</v>
      </c>
      <c r="G135" s="96">
        <f t="shared" ref="G135:G198" si="20">+$C$314/C135</f>
        <v>2.2991830746699793</v>
      </c>
    </row>
    <row r="136" spans="1:7">
      <c r="A136" s="91">
        <v>2011</v>
      </c>
      <c r="B136" s="92" t="s">
        <v>62</v>
      </c>
      <c r="C136" s="93">
        <f t="shared" si="16"/>
        <v>198.70846156388114</v>
      </c>
      <c r="D136" s="100">
        <v>0.1</v>
      </c>
      <c r="E136" s="94">
        <f t="shared" si="18"/>
        <v>4.2007950795890148</v>
      </c>
      <c r="F136" s="95">
        <f t="shared" si="19"/>
        <v>6.7548658873843648</v>
      </c>
      <c r="G136" s="96">
        <f t="shared" si="20"/>
        <v>2.2968861884814982</v>
      </c>
    </row>
    <row r="137" spans="1:7">
      <c r="A137" s="91">
        <v>2011</v>
      </c>
      <c r="B137" s="92" t="s">
        <v>63</v>
      </c>
      <c r="C137" s="93">
        <f t="shared" si="16"/>
        <v>199.24497441010359</v>
      </c>
      <c r="D137" s="100">
        <v>0.27</v>
      </c>
      <c r="E137" s="94">
        <f t="shared" si="18"/>
        <v>4.4821372263038839</v>
      </c>
      <c r="F137" s="95">
        <f t="shared" si="19"/>
        <v>7.0966523514560231</v>
      </c>
      <c r="G137" s="96">
        <f t="shared" si="20"/>
        <v>2.2907012949850389</v>
      </c>
    </row>
    <row r="138" spans="1:7">
      <c r="A138" s="91">
        <v>2011</v>
      </c>
      <c r="B138" s="92" t="s">
        <v>64</v>
      </c>
      <c r="C138" s="93">
        <f t="shared" si="16"/>
        <v>200.30097277447717</v>
      </c>
      <c r="D138" s="100">
        <v>0.53</v>
      </c>
      <c r="E138" s="94">
        <f t="shared" si="18"/>
        <v>5.035892553603305</v>
      </c>
      <c r="F138" s="95">
        <f t="shared" si="19"/>
        <v>7.3315368447001594</v>
      </c>
      <c r="G138" s="96">
        <f t="shared" si="20"/>
        <v>2.2786245846862019</v>
      </c>
    </row>
    <row r="139" spans="1:7">
      <c r="A139" s="91">
        <v>2011</v>
      </c>
      <c r="B139" s="92" t="s">
        <v>65</v>
      </c>
      <c r="C139" s="93">
        <f t="shared" si="16"/>
        <v>201.14223686012997</v>
      </c>
      <c r="D139" s="100">
        <v>0.42</v>
      </c>
      <c r="E139" s="94">
        <f t="shared" si="18"/>
        <v>5.4770433023284326</v>
      </c>
      <c r="F139" s="95">
        <f t="shared" si="19"/>
        <v>7.1181964812640608</v>
      </c>
      <c r="G139" s="96">
        <f t="shared" si="20"/>
        <v>2.2690943882555286</v>
      </c>
    </row>
    <row r="140" spans="1:7">
      <c r="A140" s="91">
        <v>2011</v>
      </c>
      <c r="B140" s="92" t="s">
        <v>66</v>
      </c>
      <c r="C140" s="93">
        <f t="shared" si="16"/>
        <v>202.06749114968656</v>
      </c>
      <c r="D140" s="100">
        <v>0.46</v>
      </c>
      <c r="E140" s="94">
        <f t="shared" si="18"/>
        <v>5.9622377015191352</v>
      </c>
      <c r="F140" s="95">
        <f t="shared" si="19"/>
        <v>6.6933771416596066</v>
      </c>
      <c r="G140" s="96">
        <f t="shared" si="20"/>
        <v>2.2587043482535623</v>
      </c>
    </row>
    <row r="141" spans="1:7">
      <c r="A141" s="91">
        <v>2011</v>
      </c>
      <c r="B141" s="92" t="s">
        <v>55</v>
      </c>
      <c r="C141" s="93">
        <f t="shared" si="16"/>
        <v>203.1990691001248</v>
      </c>
      <c r="D141" s="100">
        <v>0.56000000000000005</v>
      </c>
      <c r="E141" s="94">
        <f t="shared" si="18"/>
        <v>6.5556262326476489</v>
      </c>
      <c r="F141" s="95">
        <f t="shared" si="19"/>
        <v>6.5556262326476489</v>
      </c>
      <c r="G141" s="96">
        <f t="shared" si="20"/>
        <v>2.2461260424160328</v>
      </c>
    </row>
    <row r="142" spans="1:7">
      <c r="A142" s="91">
        <f>2012</f>
        <v>2012</v>
      </c>
      <c r="B142" s="92" t="s">
        <v>56</v>
      </c>
      <c r="C142" s="93">
        <f t="shared" si="16"/>
        <v>204.51986304927561</v>
      </c>
      <c r="D142" s="100">
        <v>0.65</v>
      </c>
      <c r="E142" s="94">
        <f t="shared" ref="E142:E153" si="21">100*((C142/$C$141)-1)</f>
        <v>0.64999999999999503</v>
      </c>
      <c r="F142" s="95">
        <f t="shared" si="19"/>
        <v>6.439299129773568</v>
      </c>
      <c r="G142" s="96">
        <f t="shared" si="20"/>
        <v>2.2316205091068384</v>
      </c>
    </row>
    <row r="143" spans="1:7">
      <c r="A143" s="91">
        <f>2012</f>
        <v>2012</v>
      </c>
      <c r="B143" s="92" t="s">
        <v>57</v>
      </c>
      <c r="C143" s="93">
        <f t="shared" si="16"/>
        <v>205.6038183234368</v>
      </c>
      <c r="D143" s="100">
        <v>0.53</v>
      </c>
      <c r="E143" s="94">
        <f t="shared" si="21"/>
        <v>1.1834450000000052</v>
      </c>
      <c r="F143" s="95">
        <f t="shared" si="19"/>
        <v>5.9754654007738717</v>
      </c>
      <c r="G143" s="96">
        <f t="shared" si="20"/>
        <v>2.2198552761432784</v>
      </c>
    </row>
    <row r="144" spans="1:7">
      <c r="A144" s="91">
        <f>2012</f>
        <v>2012</v>
      </c>
      <c r="B144" s="92" t="s">
        <v>58</v>
      </c>
      <c r="C144" s="93">
        <f t="shared" si="16"/>
        <v>206.11782786924539</v>
      </c>
      <c r="D144" s="100">
        <v>0.25</v>
      </c>
      <c r="E144" s="94">
        <f t="shared" si="21"/>
        <v>1.4364036125000146</v>
      </c>
      <c r="F144" s="95">
        <f t="shared" si="19"/>
        <v>5.6067634833755653</v>
      </c>
      <c r="G144" s="96">
        <f t="shared" si="20"/>
        <v>2.2143194774496546</v>
      </c>
    </row>
    <row r="145" spans="1:7">
      <c r="A145" s="91">
        <f>2012</f>
        <v>2012</v>
      </c>
      <c r="B145" s="92" t="s">
        <v>59</v>
      </c>
      <c r="C145" s="93">
        <f t="shared" si="16"/>
        <v>207.00413452908313</v>
      </c>
      <c r="D145" s="100">
        <v>0.43</v>
      </c>
      <c r="E145" s="94">
        <f t="shared" si="21"/>
        <v>1.8725801480337534</v>
      </c>
      <c r="F145" s="95">
        <f t="shared" si="19"/>
        <v>5.2504441464265694</v>
      </c>
      <c r="G145" s="96">
        <f t="shared" si="20"/>
        <v>2.204838671163651</v>
      </c>
    </row>
    <row r="146" spans="1:7">
      <c r="A146" s="91">
        <f>2012</f>
        <v>2012</v>
      </c>
      <c r="B146" s="92" t="s">
        <v>60</v>
      </c>
      <c r="C146" s="93">
        <f t="shared" si="16"/>
        <v>208.05985561518148</v>
      </c>
      <c r="D146" s="100">
        <v>0.51</v>
      </c>
      <c r="E146" s="94">
        <f t="shared" si="21"/>
        <v>2.3921303067887312</v>
      </c>
      <c r="F146" s="95">
        <f t="shared" si="19"/>
        <v>5.0518584027540836</v>
      </c>
      <c r="G146" s="96">
        <f t="shared" si="20"/>
        <v>2.1936510508045477</v>
      </c>
    </row>
    <row r="147" spans="1:7">
      <c r="A147" s="91">
        <f>2012</f>
        <v>2012</v>
      </c>
      <c r="B147" s="92" t="s">
        <v>61</v>
      </c>
      <c r="C147" s="93">
        <f t="shared" si="16"/>
        <v>208.43436335528881</v>
      </c>
      <c r="D147" s="100">
        <v>0.18</v>
      </c>
      <c r="E147" s="94">
        <f t="shared" si="21"/>
        <v>2.5764361413409542</v>
      </c>
      <c r="F147" s="95">
        <f t="shared" si="19"/>
        <v>4.9994530059653375</v>
      </c>
      <c r="G147" s="96">
        <f t="shared" si="20"/>
        <v>2.1897095735721175</v>
      </c>
    </row>
    <row r="148" spans="1:7">
      <c r="A148" s="168">
        <f>2012</f>
        <v>2012</v>
      </c>
      <c r="B148" s="92" t="s">
        <v>62</v>
      </c>
      <c r="C148" s="93">
        <f t="shared" si="16"/>
        <v>209.12219675436128</v>
      </c>
      <c r="D148" s="100">
        <v>0.33</v>
      </c>
      <c r="E148" s="94">
        <f t="shared" si="21"/>
        <v>2.9149383806073903</v>
      </c>
      <c r="F148" s="95">
        <f t="shared" si="19"/>
        <v>5.2407104903946511</v>
      </c>
      <c r="G148" s="96">
        <f t="shared" si="20"/>
        <v>2.1825072994838206</v>
      </c>
    </row>
    <row r="149" spans="1:7">
      <c r="A149" s="168">
        <f>2012</f>
        <v>2012</v>
      </c>
      <c r="B149" s="92" t="s">
        <v>63</v>
      </c>
      <c r="C149" s="93">
        <f t="shared" si="16"/>
        <v>209.9377733217033</v>
      </c>
      <c r="D149" s="100">
        <v>0.39</v>
      </c>
      <c r="E149" s="94">
        <f t="shared" si="21"/>
        <v>3.3163066402917663</v>
      </c>
      <c r="F149" s="95">
        <f t="shared" si="19"/>
        <v>5.3666592812478431</v>
      </c>
      <c r="G149" s="96">
        <f t="shared" si="20"/>
        <v>2.1740285879906569</v>
      </c>
    </row>
    <row r="150" spans="1:7">
      <c r="A150" s="168">
        <f>2012</f>
        <v>2012</v>
      </c>
      <c r="B150" s="92" t="s">
        <v>64</v>
      </c>
      <c r="C150" s="93">
        <f t="shared" si="16"/>
        <v>210.94547463364745</v>
      </c>
      <c r="D150" s="100">
        <v>0.48</v>
      </c>
      <c r="E150" s="94">
        <f t="shared" si="21"/>
        <v>3.8122249121651519</v>
      </c>
      <c r="F150" s="95">
        <f t="shared" si="19"/>
        <v>5.3142537011815261</v>
      </c>
      <c r="G150" s="96">
        <f t="shared" si="20"/>
        <v>2.1636431011053516</v>
      </c>
    </row>
    <row r="151" spans="1:7">
      <c r="A151" s="168">
        <f>2012</f>
        <v>2012</v>
      </c>
      <c r="B151" s="92" t="s">
        <v>65</v>
      </c>
      <c r="C151" s="93">
        <f t="shared" si="16"/>
        <v>212.31662021876616</v>
      </c>
      <c r="D151" s="100">
        <v>0.65</v>
      </c>
      <c r="E151" s="94">
        <f t="shared" si="21"/>
        <v>4.4870043740942389</v>
      </c>
      <c r="F151" s="95">
        <f t="shared" si="19"/>
        <v>5.555463403942662</v>
      </c>
      <c r="G151" s="96">
        <f t="shared" si="20"/>
        <v>2.1496702445159976</v>
      </c>
    </row>
    <row r="152" spans="1:7">
      <c r="A152" s="168">
        <f>2012</f>
        <v>2012</v>
      </c>
      <c r="B152" s="92" t="s">
        <v>66</v>
      </c>
      <c r="C152" s="93">
        <f t="shared" si="16"/>
        <v>213.46312996794751</v>
      </c>
      <c r="D152" s="100">
        <v>0.54</v>
      </c>
      <c r="E152" s="94">
        <f t="shared" si="21"/>
        <v>5.0512341977143382</v>
      </c>
      <c r="F152" s="95">
        <f t="shared" si="19"/>
        <v>5.6395211092215458</v>
      </c>
      <c r="G152" s="96">
        <f t="shared" si="20"/>
        <v>2.1381243729023249</v>
      </c>
    </row>
    <row r="153" spans="1:7">
      <c r="A153" s="91">
        <f>2012</f>
        <v>2012</v>
      </c>
      <c r="B153" s="92" t="s">
        <v>55</v>
      </c>
      <c r="C153" s="93">
        <f t="shared" si="16"/>
        <v>214.93602556472632</v>
      </c>
      <c r="D153" s="100">
        <v>0.69</v>
      </c>
      <c r="E153" s="94">
        <f t="shared" si="21"/>
        <v>5.7760877136785682</v>
      </c>
      <c r="F153" s="95">
        <f t="shared" si="19"/>
        <v>5.7760877136785682</v>
      </c>
      <c r="G153" s="96">
        <f t="shared" si="20"/>
        <v>2.123472413250894</v>
      </c>
    </row>
    <row r="154" spans="1:7">
      <c r="A154" s="91">
        <f>2013</f>
        <v>2013</v>
      </c>
      <c r="B154" s="92" t="s">
        <v>56</v>
      </c>
      <c r="C154" s="93">
        <f t="shared" si="16"/>
        <v>216.8274625896959</v>
      </c>
      <c r="D154" s="100">
        <v>0.88</v>
      </c>
      <c r="E154" s="94">
        <f t="shared" ref="E154:E165" si="22">100*((C154/$C$153)-1)</f>
        <v>0.8799999999999919</v>
      </c>
      <c r="F154" s="95">
        <f t="shared" si="19"/>
        <v>6.0178015753193481</v>
      </c>
      <c r="G154" s="96">
        <f t="shared" si="20"/>
        <v>2.1049488632542568</v>
      </c>
    </row>
    <row r="155" spans="1:7">
      <c r="A155" s="91">
        <f>2013</f>
        <v>2013</v>
      </c>
      <c r="B155" s="92" t="s">
        <v>57</v>
      </c>
      <c r="C155" s="93">
        <f t="shared" si="16"/>
        <v>218.30188933530582</v>
      </c>
      <c r="D155" s="100">
        <v>0.68</v>
      </c>
      <c r="E155" s="94">
        <f t="shared" si="22"/>
        <v>1.5659839999999869</v>
      </c>
      <c r="F155" s="95">
        <f t="shared" si="19"/>
        <v>6.1759898796692525</v>
      </c>
      <c r="G155" s="96">
        <f t="shared" si="20"/>
        <v>2.0907318864265565</v>
      </c>
    </row>
    <row r="156" spans="1:7">
      <c r="A156" s="91">
        <f>2013</f>
        <v>2013</v>
      </c>
      <c r="B156" s="92" t="s">
        <v>58</v>
      </c>
      <c r="C156" s="93">
        <f t="shared" si="16"/>
        <v>219.37156859304881</v>
      </c>
      <c r="D156" s="100">
        <v>0.49</v>
      </c>
      <c r="E156" s="94">
        <f t="shared" si="22"/>
        <v>2.0636573215999876</v>
      </c>
      <c r="F156" s="95">
        <f t="shared" si="19"/>
        <v>6.4301767881093541</v>
      </c>
      <c r="G156" s="96">
        <f t="shared" si="20"/>
        <v>2.080537253882532</v>
      </c>
    </row>
    <row r="157" spans="1:7">
      <c r="A157" s="91">
        <f>2013</f>
        <v>2013</v>
      </c>
      <c r="B157" s="92" t="s">
        <v>59</v>
      </c>
      <c r="C157" s="93">
        <f t="shared" si="16"/>
        <v>220.49036359287336</v>
      </c>
      <c r="D157" s="100">
        <v>0.51</v>
      </c>
      <c r="E157" s="94">
        <f t="shared" si="22"/>
        <v>2.5841819739401473</v>
      </c>
      <c r="F157" s="95">
        <f t="shared" si="19"/>
        <v>6.5149563773063024</v>
      </c>
      <c r="G157" s="96">
        <f t="shared" si="20"/>
        <v>2.0699803540767405</v>
      </c>
    </row>
    <row r="158" spans="1:7">
      <c r="A158" s="91">
        <f>2013</f>
        <v>2013</v>
      </c>
      <c r="B158" s="92" t="s">
        <v>60</v>
      </c>
      <c r="C158" s="93">
        <f t="shared" si="16"/>
        <v>221.50461926540058</v>
      </c>
      <c r="D158" s="100">
        <v>0.46</v>
      </c>
      <c r="E158" s="94">
        <f t="shared" si="22"/>
        <v>3.0560692110202625</v>
      </c>
      <c r="F158" s="95">
        <f t="shared" si="19"/>
        <v>6.4619691340582097</v>
      </c>
      <c r="G158" s="96">
        <f t="shared" si="20"/>
        <v>2.060502044671253</v>
      </c>
    </row>
    <row r="159" spans="1:7">
      <c r="A159" s="91">
        <f>2013</f>
        <v>2013</v>
      </c>
      <c r="B159" s="92" t="s">
        <v>61</v>
      </c>
      <c r="C159" s="93">
        <f t="shared" si="16"/>
        <v>222.3463368186091</v>
      </c>
      <c r="D159" s="100">
        <v>0.38</v>
      </c>
      <c r="E159" s="94">
        <f t="shared" si="22"/>
        <v>3.4476822740221458</v>
      </c>
      <c r="F159" s="95">
        <f t="shared" si="19"/>
        <v>6.6745104978714664</v>
      </c>
      <c r="G159" s="96">
        <f t="shared" si="20"/>
        <v>2.0527017779151753</v>
      </c>
    </row>
    <row r="160" spans="1:7">
      <c r="A160" s="91">
        <f>2013</f>
        <v>2013</v>
      </c>
      <c r="B160" s="92" t="s">
        <v>62</v>
      </c>
      <c r="C160" s="93">
        <f t="shared" si="16"/>
        <v>222.50197925438212</v>
      </c>
      <c r="D160" s="100">
        <v>7.0000000000000007E-2</v>
      </c>
      <c r="E160" s="94">
        <f t="shared" si="22"/>
        <v>3.5200956516139525</v>
      </c>
      <c r="F160" s="95">
        <f t="shared" si="19"/>
        <v>6.3980690274294316</v>
      </c>
      <c r="G160" s="96">
        <f t="shared" si="20"/>
        <v>2.0512658917909214</v>
      </c>
    </row>
    <row r="161" spans="1:7">
      <c r="A161" s="91">
        <f>2013</f>
        <v>2013</v>
      </c>
      <c r="B161" s="92" t="s">
        <v>63</v>
      </c>
      <c r="C161" s="93">
        <f t="shared" si="16"/>
        <v>222.85798242118915</v>
      </c>
      <c r="D161" s="100">
        <v>0.16</v>
      </c>
      <c r="E161" s="94">
        <f t="shared" si="22"/>
        <v>3.6857278046565467</v>
      </c>
      <c r="F161" s="95">
        <f t="shared" si="19"/>
        <v>6.1543041516817665</v>
      </c>
      <c r="G161" s="96">
        <f t="shared" si="20"/>
        <v>2.0479891092161755</v>
      </c>
    </row>
    <row r="162" spans="1:7">
      <c r="A162" s="91">
        <f>2013</f>
        <v>2013</v>
      </c>
      <c r="B162" s="92" t="s">
        <v>64</v>
      </c>
      <c r="C162" s="93">
        <f t="shared" si="16"/>
        <v>223.45969897372635</v>
      </c>
      <c r="D162" s="100">
        <v>0.27</v>
      </c>
      <c r="E162" s="94">
        <f t="shared" si="22"/>
        <v>3.9656792697291054</v>
      </c>
      <c r="F162" s="95">
        <f t="shared" si="19"/>
        <v>5.9324450367150838</v>
      </c>
      <c r="G162" s="96">
        <f t="shared" si="20"/>
        <v>2.0424744282598741</v>
      </c>
    </row>
    <row r="163" spans="1:7">
      <c r="A163" s="91">
        <f>2013</f>
        <v>2013</v>
      </c>
      <c r="B163" s="92" t="s">
        <v>65</v>
      </c>
      <c r="C163" s="93">
        <f t="shared" si="16"/>
        <v>224.53230552880021</v>
      </c>
      <c r="D163" s="100">
        <v>0.48</v>
      </c>
      <c r="E163" s="94">
        <f t="shared" si="22"/>
        <v>4.4647145302238123</v>
      </c>
      <c r="F163" s="95">
        <f t="shared" si="19"/>
        <v>5.7535228742089384</v>
      </c>
      <c r="G163" s="96">
        <f t="shared" si="20"/>
        <v>2.0327173848127731</v>
      </c>
    </row>
    <row r="164" spans="1:7">
      <c r="A164" s="91">
        <f>2013</f>
        <v>2013</v>
      </c>
      <c r="B164" s="92" t="s">
        <v>66</v>
      </c>
      <c r="C164" s="93">
        <f t="shared" si="16"/>
        <v>225.81213967031437</v>
      </c>
      <c r="D164" s="100">
        <v>0.56999999999999995</v>
      </c>
      <c r="E164" s="94">
        <f t="shared" si="22"/>
        <v>5.0601634030460696</v>
      </c>
      <c r="F164" s="95">
        <f t="shared" si="19"/>
        <v>5.7850785305270769</v>
      </c>
      <c r="G164" s="96">
        <f t="shared" si="20"/>
        <v>2.0211965643957175</v>
      </c>
    </row>
    <row r="165" spans="1:7">
      <c r="A165" s="91">
        <f>2013</f>
        <v>2013</v>
      </c>
      <c r="B165" s="92" t="s">
        <v>55</v>
      </c>
      <c r="C165" s="93">
        <f t="shared" si="16"/>
        <v>227.50573071784174</v>
      </c>
      <c r="D165" s="100">
        <v>0.75</v>
      </c>
      <c r="E165" s="94">
        <f t="shared" si="22"/>
        <v>5.8481146285689345</v>
      </c>
      <c r="F165" s="95">
        <f t="shared" si="19"/>
        <v>5.8481146285689345</v>
      </c>
      <c r="G165" s="96">
        <f t="shared" si="20"/>
        <v>2.0061504361247815</v>
      </c>
    </row>
    <row r="166" spans="1:7">
      <c r="A166" s="91">
        <f>2014</f>
        <v>2014</v>
      </c>
      <c r="B166" s="92" t="s">
        <v>56</v>
      </c>
      <c r="C166" s="93">
        <f t="shared" si="16"/>
        <v>229.03001911365126</v>
      </c>
      <c r="D166" s="100">
        <v>0.67</v>
      </c>
      <c r="E166" s="94">
        <f t="shared" ref="E166:E177" si="23">100*((C166/$C$165)-1)</f>
        <v>0.66999999999999282</v>
      </c>
      <c r="F166" s="95">
        <f t="shared" si="19"/>
        <v>5.6277725977204041</v>
      </c>
      <c r="G166" s="96">
        <f t="shared" si="20"/>
        <v>1.9927986849357122</v>
      </c>
    </row>
    <row r="167" spans="1:7">
      <c r="A167" s="91">
        <f>2014</f>
        <v>2014</v>
      </c>
      <c r="B167" s="92" t="s">
        <v>57</v>
      </c>
      <c r="C167" s="93">
        <f t="shared" si="16"/>
        <v>230.63322924744679</v>
      </c>
      <c r="D167" s="100">
        <v>0.7</v>
      </c>
      <c r="E167" s="94">
        <f t="shared" si="23"/>
        <v>1.3746899999999673</v>
      </c>
      <c r="F167" s="95">
        <f t="shared" si="19"/>
        <v>5.6487554687171704</v>
      </c>
      <c r="G167" s="96">
        <f t="shared" si="20"/>
        <v>1.9789460624982249</v>
      </c>
    </row>
    <row r="168" spans="1:7">
      <c r="A168" s="91">
        <f>2014</f>
        <v>2014</v>
      </c>
      <c r="B168" s="92" t="s">
        <v>58</v>
      </c>
      <c r="C168" s="93">
        <f t="shared" si="16"/>
        <v>232.31685182095316</v>
      </c>
      <c r="D168" s="100">
        <v>0.73</v>
      </c>
      <c r="E168" s="94">
        <f t="shared" si="23"/>
        <v>2.1147252369999814</v>
      </c>
      <c r="F168" s="95">
        <f t="shared" si="19"/>
        <v>5.9010761106963905</v>
      </c>
      <c r="G168" s="96">
        <f t="shared" si="20"/>
        <v>1.964604450013129</v>
      </c>
    </row>
    <row r="169" spans="1:7">
      <c r="A169" s="91">
        <f>2014</f>
        <v>2014</v>
      </c>
      <c r="B169" s="92" t="s">
        <v>59</v>
      </c>
      <c r="C169" s="93">
        <f t="shared" si="16"/>
        <v>234.1289232651566</v>
      </c>
      <c r="D169" s="100">
        <v>0.78</v>
      </c>
      <c r="E169" s="94">
        <f t="shared" si="23"/>
        <v>2.9112200938485877</v>
      </c>
      <c r="F169" s="95">
        <f t="shared" si="19"/>
        <v>6.1855581577552776</v>
      </c>
      <c r="G169" s="96">
        <f t="shared" si="20"/>
        <v>1.9493991367465062</v>
      </c>
    </row>
    <row r="170" spans="1:7">
      <c r="A170" s="91">
        <f>2014</f>
        <v>2014</v>
      </c>
      <c r="B170" s="92" t="s">
        <v>60</v>
      </c>
      <c r="C170" s="93">
        <f t="shared" si="16"/>
        <v>235.48687102009453</v>
      </c>
      <c r="D170" s="100">
        <v>0.57999999999999996</v>
      </c>
      <c r="E170" s="94">
        <f t="shared" si="23"/>
        <v>3.5081051703929056</v>
      </c>
      <c r="F170" s="95">
        <f t="shared" si="19"/>
        <v>6.3123973671812328</v>
      </c>
      <c r="G170" s="96">
        <f t="shared" si="20"/>
        <v>1.9381578213824877</v>
      </c>
    </row>
    <row r="171" spans="1:7">
      <c r="A171" s="91">
        <f>2014</f>
        <v>2014</v>
      </c>
      <c r="B171" s="92" t="s">
        <v>61</v>
      </c>
      <c r="C171" s="93">
        <f t="shared" si="16"/>
        <v>236.59365931388896</v>
      </c>
      <c r="D171" s="100">
        <v>0.47</v>
      </c>
      <c r="E171" s="94">
        <f t="shared" si="23"/>
        <v>3.9945932646937576</v>
      </c>
      <c r="F171" s="95">
        <f t="shared" si="19"/>
        <v>6.4077163128182679</v>
      </c>
      <c r="G171" s="96">
        <f t="shared" si="20"/>
        <v>1.9290910932442398</v>
      </c>
    </row>
    <row r="172" spans="1:7">
      <c r="A172" s="91">
        <f>2014</f>
        <v>2014</v>
      </c>
      <c r="B172" s="92" t="s">
        <v>62</v>
      </c>
      <c r="C172" s="93">
        <f t="shared" si="16"/>
        <v>236.99586853472258</v>
      </c>
      <c r="D172" s="100">
        <v>0.17</v>
      </c>
      <c r="E172" s="94">
        <f t="shared" si="23"/>
        <v>4.1713840732437335</v>
      </c>
      <c r="F172" s="95">
        <f t="shared" si="19"/>
        <v>6.5140495958329714</v>
      </c>
      <c r="G172" s="96">
        <f t="shared" si="20"/>
        <v>1.9258172039974442</v>
      </c>
    </row>
    <row r="173" spans="1:7">
      <c r="A173" s="91">
        <f>2014</f>
        <v>2014</v>
      </c>
      <c r="B173" s="92" t="s">
        <v>63</v>
      </c>
      <c r="C173" s="93">
        <f t="shared" si="16"/>
        <v>237.32766275067121</v>
      </c>
      <c r="D173" s="100">
        <v>0.14000000000000001</v>
      </c>
      <c r="E173" s="94">
        <f t="shared" si="23"/>
        <v>4.3172240109462967</v>
      </c>
      <c r="F173" s="95">
        <f t="shared" si="19"/>
        <v>6.4927808159616074</v>
      </c>
      <c r="G173" s="96">
        <f t="shared" si="20"/>
        <v>1.9231248292365128</v>
      </c>
    </row>
    <row r="174" spans="1:7">
      <c r="A174" s="91">
        <f>2014</f>
        <v>2014</v>
      </c>
      <c r="B174" s="92" t="s">
        <v>64</v>
      </c>
      <c r="C174" s="93">
        <f t="shared" si="16"/>
        <v>238.25324063539884</v>
      </c>
      <c r="D174" s="100">
        <v>0.39</v>
      </c>
      <c r="E174" s="94">
        <f t="shared" si="23"/>
        <v>4.7240611845889902</v>
      </c>
      <c r="F174" s="95">
        <f t="shared" si="19"/>
        <v>6.6202280454212392</v>
      </c>
      <c r="G174" s="96">
        <f t="shared" si="20"/>
        <v>1.9156537794964765</v>
      </c>
    </row>
    <row r="175" spans="1:7">
      <c r="A175" s="91">
        <f>2014</f>
        <v>2014</v>
      </c>
      <c r="B175" s="92" t="s">
        <v>65</v>
      </c>
      <c r="C175" s="93">
        <f t="shared" ref="C175:C238" si="24">+C174*(1+D175/100)</f>
        <v>239.39685619044874</v>
      </c>
      <c r="D175" s="100">
        <v>0.48</v>
      </c>
      <c r="E175" s="94">
        <f t="shared" si="23"/>
        <v>5.2267366782750013</v>
      </c>
      <c r="F175" s="95">
        <f t="shared" si="19"/>
        <v>6.6202280454212392</v>
      </c>
      <c r="G175" s="96">
        <f t="shared" si="20"/>
        <v>1.9065025671740412</v>
      </c>
    </row>
    <row r="176" spans="1:7">
      <c r="A176" s="91">
        <f>2014</f>
        <v>2014</v>
      </c>
      <c r="B176" s="92" t="s">
        <v>66</v>
      </c>
      <c r="C176" s="93">
        <f t="shared" si="24"/>
        <v>240.30656424397245</v>
      </c>
      <c r="D176" s="100">
        <v>0.38</v>
      </c>
      <c r="E176" s="94">
        <f t="shared" si="23"/>
        <v>5.6265982776524393</v>
      </c>
      <c r="F176" s="95">
        <f t="shared" si="19"/>
        <v>6.4187977647348626</v>
      </c>
      <c r="G176" s="96">
        <f t="shared" si="20"/>
        <v>1.8992852830982678</v>
      </c>
    </row>
    <row r="177" spans="1:7">
      <c r="A177" s="91">
        <f>2014</f>
        <v>2014</v>
      </c>
      <c r="B177" s="92" t="s">
        <v>55</v>
      </c>
      <c r="C177" s="93">
        <f t="shared" si="24"/>
        <v>242.20498610149983</v>
      </c>
      <c r="D177" s="100">
        <v>0.79</v>
      </c>
      <c r="E177" s="94">
        <f t="shared" si="23"/>
        <v>6.4610484040459104</v>
      </c>
      <c r="F177" s="95">
        <f t="shared" si="19"/>
        <v>6.4610484040459104</v>
      </c>
      <c r="G177" s="96">
        <f t="shared" si="20"/>
        <v>1.8843985346743404</v>
      </c>
    </row>
    <row r="178" spans="1:7">
      <c r="A178" s="91">
        <f>2015</f>
        <v>2015</v>
      </c>
      <c r="B178" s="92" t="s">
        <v>56</v>
      </c>
      <c r="C178" s="93">
        <f t="shared" si="24"/>
        <v>244.36061047780316</v>
      </c>
      <c r="D178" s="100">
        <v>0.89</v>
      </c>
      <c r="E178" s="94">
        <f t="shared" ref="E178:E189" si="25">100*((C178/$C$177)-1)</f>
        <v>0.8899999999999908</v>
      </c>
      <c r="F178" s="95">
        <f t="shared" si="19"/>
        <v>6.6937039185873903</v>
      </c>
      <c r="G178" s="96">
        <f t="shared" si="20"/>
        <v>1.867775334199961</v>
      </c>
    </row>
    <row r="179" spans="1:7">
      <c r="A179" s="91">
        <f>2015</f>
        <v>2015</v>
      </c>
      <c r="B179" s="92" t="s">
        <v>57</v>
      </c>
      <c r="C179" s="93">
        <f t="shared" si="24"/>
        <v>247.61060659715795</v>
      </c>
      <c r="D179" s="100">
        <v>1.33</v>
      </c>
      <c r="E179" s="94">
        <f t="shared" si="25"/>
        <v>2.2318370000000032</v>
      </c>
      <c r="F179" s="95">
        <f t="shared" si="19"/>
        <v>7.3612017683263309</v>
      </c>
      <c r="G179" s="96">
        <f t="shared" si="20"/>
        <v>1.8432599765123467</v>
      </c>
    </row>
    <row r="180" spans="1:7">
      <c r="A180" s="91">
        <f>2015</f>
        <v>2015</v>
      </c>
      <c r="B180" s="92" t="s">
        <v>58</v>
      </c>
      <c r="C180" s="93">
        <f t="shared" si="24"/>
        <v>250.68097811896271</v>
      </c>
      <c r="D180" s="100">
        <v>1.24</v>
      </c>
      <c r="E180" s="94">
        <f t="shared" si="25"/>
        <v>3.4995117787999908</v>
      </c>
      <c r="F180" s="95">
        <f t="shared" si="19"/>
        <v>7.9047758068634622</v>
      </c>
      <c r="G180" s="96">
        <f t="shared" si="20"/>
        <v>1.8206835010987226</v>
      </c>
    </row>
    <row r="181" spans="1:7">
      <c r="A181" s="91">
        <f>2015</f>
        <v>2015</v>
      </c>
      <c r="B181" s="92" t="s">
        <v>59</v>
      </c>
      <c r="C181" s="93">
        <f t="shared" si="24"/>
        <v>253.3632645848356</v>
      </c>
      <c r="D181" s="100">
        <v>1.07</v>
      </c>
      <c r="E181" s="94">
        <f t="shared" si="25"/>
        <v>4.6069565548331637</v>
      </c>
      <c r="F181" s="95">
        <f t="shared" si="19"/>
        <v>8.2152777416123257</v>
      </c>
      <c r="G181" s="96">
        <f t="shared" si="20"/>
        <v>1.8014084308882186</v>
      </c>
    </row>
    <row r="182" spans="1:7">
      <c r="A182" s="91">
        <f>2015</f>
        <v>2015</v>
      </c>
      <c r="B182" s="92" t="s">
        <v>60</v>
      </c>
      <c r="C182" s="93">
        <f t="shared" si="24"/>
        <v>254.88344417234461</v>
      </c>
      <c r="D182" s="100">
        <v>0.6</v>
      </c>
      <c r="E182" s="94">
        <f t="shared" si="25"/>
        <v>5.2345982941621516</v>
      </c>
      <c r="F182" s="95">
        <f t="shared" si="19"/>
        <v>8.2367959913123734</v>
      </c>
      <c r="G182" s="96">
        <f t="shared" si="20"/>
        <v>1.7906644442228814</v>
      </c>
    </row>
    <row r="183" spans="1:7">
      <c r="A183" s="91">
        <f>2015</f>
        <v>2015</v>
      </c>
      <c r="B183" s="92" t="s">
        <v>61</v>
      </c>
      <c r="C183" s="93">
        <f t="shared" si="24"/>
        <v>257.40679026965086</v>
      </c>
      <c r="D183" s="100">
        <v>0.99</v>
      </c>
      <c r="E183" s="94">
        <f t="shared" si="25"/>
        <v>6.2764208172743752</v>
      </c>
      <c r="F183" s="95">
        <f t="shared" si="19"/>
        <v>8.7969943979559808</v>
      </c>
      <c r="G183" s="96">
        <f t="shared" si="20"/>
        <v>1.7731106487997634</v>
      </c>
    </row>
    <row r="184" spans="1:7">
      <c r="A184" s="91">
        <f>2015</f>
        <v>2015</v>
      </c>
      <c r="B184" s="92" t="s">
        <v>62</v>
      </c>
      <c r="C184" s="93">
        <f t="shared" si="24"/>
        <v>258.92549033224179</v>
      </c>
      <c r="D184" s="100">
        <v>0.59</v>
      </c>
      <c r="E184" s="94">
        <f t="shared" si="25"/>
        <v>6.9034517000962969</v>
      </c>
      <c r="F184" s="95">
        <f t="shared" si="19"/>
        <v>9.2531662822241465</v>
      </c>
      <c r="G184" s="96">
        <f t="shared" si="20"/>
        <v>1.7627106559297778</v>
      </c>
    </row>
    <row r="185" spans="1:7">
      <c r="A185" s="91">
        <f>2015</f>
        <v>2015</v>
      </c>
      <c r="B185" s="92" t="s">
        <v>63</v>
      </c>
      <c r="C185" s="93">
        <f t="shared" si="24"/>
        <v>260.03886994067045</v>
      </c>
      <c r="D185" s="100">
        <v>0.43</v>
      </c>
      <c r="E185" s="94">
        <f t="shared" si="25"/>
        <v>7.3631365424067008</v>
      </c>
      <c r="F185" s="95">
        <f t="shared" si="19"/>
        <v>9.5695575167143119</v>
      </c>
      <c r="G185" s="96">
        <f t="shared" si="20"/>
        <v>1.7551634530815272</v>
      </c>
    </row>
    <row r="186" spans="1:7">
      <c r="A186" s="91">
        <f>2015</f>
        <v>2015</v>
      </c>
      <c r="B186" s="92" t="s">
        <v>64</v>
      </c>
      <c r="C186" s="93">
        <f t="shared" si="24"/>
        <v>261.05302153343905</v>
      </c>
      <c r="D186" s="100">
        <v>0.39</v>
      </c>
      <c r="E186" s="94">
        <f t="shared" si="25"/>
        <v>7.7818527749220934</v>
      </c>
      <c r="F186" s="95">
        <f t="shared" si="19"/>
        <v>9.5695575167142888</v>
      </c>
      <c r="G186" s="96">
        <f t="shared" si="20"/>
        <v>1.7483449079405591</v>
      </c>
    </row>
    <row r="187" spans="1:7">
      <c r="A187" s="91">
        <f>2015</f>
        <v>2015</v>
      </c>
      <c r="B187" s="92" t="s">
        <v>65</v>
      </c>
      <c r="C187" s="93">
        <f t="shared" si="24"/>
        <v>262.77597147555974</v>
      </c>
      <c r="D187" s="100">
        <v>0.66</v>
      </c>
      <c r="E187" s="94">
        <f t="shared" si="25"/>
        <v>8.4932130032365762</v>
      </c>
      <c r="F187" s="95">
        <f t="shared" si="19"/>
        <v>9.7658405616287922</v>
      </c>
      <c r="G187" s="96">
        <f t="shared" si="20"/>
        <v>1.7368814901058605</v>
      </c>
    </row>
    <row r="188" spans="1:7">
      <c r="A188" s="91">
        <f>2015</f>
        <v>2015</v>
      </c>
      <c r="B188" s="92" t="s">
        <v>66</v>
      </c>
      <c r="C188" s="93">
        <f t="shared" si="24"/>
        <v>265.00956723310196</v>
      </c>
      <c r="D188" s="100">
        <v>0.85</v>
      </c>
      <c r="E188" s="94">
        <f t="shared" si="25"/>
        <v>9.4154053137640581</v>
      </c>
      <c r="F188" s="95">
        <f t="shared" si="19"/>
        <v>10.279787015742791</v>
      </c>
      <c r="G188" s="96">
        <f t="shared" si="20"/>
        <v>1.722242429455489</v>
      </c>
    </row>
    <row r="189" spans="1:7">
      <c r="A189" s="91">
        <f>2015</f>
        <v>2015</v>
      </c>
      <c r="B189" s="92" t="s">
        <v>55</v>
      </c>
      <c r="C189" s="93">
        <f t="shared" si="24"/>
        <v>268.13668012645257</v>
      </c>
      <c r="D189" s="100">
        <v>1.18</v>
      </c>
      <c r="E189" s="94">
        <f t="shared" si="25"/>
        <v>10.706507096466478</v>
      </c>
      <c r="F189" s="95">
        <f t="shared" si="19"/>
        <v>10.706507096466478</v>
      </c>
      <c r="G189" s="96">
        <f t="shared" si="20"/>
        <v>1.702156977125409</v>
      </c>
    </row>
    <row r="190" spans="1:7">
      <c r="A190" s="91">
        <f>2016</f>
        <v>2016</v>
      </c>
      <c r="B190" s="92" t="s">
        <v>56</v>
      </c>
      <c r="C190" s="93">
        <f t="shared" si="24"/>
        <v>270.60353758361595</v>
      </c>
      <c r="D190" s="100">
        <v>0.92</v>
      </c>
      <c r="E190" s="94">
        <f t="shared" ref="E190:E201" si="26">100*((C190/$C$189)-1)</f>
        <v>0.9200000000000097</v>
      </c>
      <c r="F190" s="95">
        <f t="shared" si="19"/>
        <v>10.739426069733371</v>
      </c>
      <c r="G190" s="96">
        <f t="shared" si="20"/>
        <v>1.6866398901361563</v>
      </c>
    </row>
    <row r="191" spans="1:7">
      <c r="A191" s="91">
        <f>2016</f>
        <v>2016</v>
      </c>
      <c r="B191" s="92" t="s">
        <v>57</v>
      </c>
      <c r="C191" s="93">
        <f t="shared" si="24"/>
        <v>274.4461078173033</v>
      </c>
      <c r="D191" s="100">
        <v>1.42</v>
      </c>
      <c r="E191" s="94">
        <f t="shared" si="26"/>
        <v>2.3530640000000158</v>
      </c>
      <c r="F191" s="95">
        <f t="shared" si="19"/>
        <v>10.837783400694345</v>
      </c>
      <c r="G191" s="96">
        <f t="shared" si="20"/>
        <v>1.663024936044327</v>
      </c>
    </row>
    <row r="192" spans="1:7">
      <c r="A192" s="91">
        <f>2016</f>
        <v>2016</v>
      </c>
      <c r="B192" s="92" t="s">
        <v>58</v>
      </c>
      <c r="C192" s="93">
        <f t="shared" si="24"/>
        <v>275.62622608091772</v>
      </c>
      <c r="D192" s="100">
        <v>0.43</v>
      </c>
      <c r="E192" s="94">
        <f t="shared" si="26"/>
        <v>2.7931821752000152</v>
      </c>
      <c r="F192" s="95">
        <f t="shared" si="19"/>
        <v>9.9509935493059309</v>
      </c>
      <c r="G192" s="96">
        <f t="shared" si="20"/>
        <v>1.6559045464944009</v>
      </c>
    </row>
    <row r="193" spans="1:7">
      <c r="A193" s="91">
        <f>2016</f>
        <v>2016</v>
      </c>
      <c r="B193" s="92" t="s">
        <v>59</v>
      </c>
      <c r="C193" s="93">
        <f t="shared" si="24"/>
        <v>277.03191983393043</v>
      </c>
      <c r="D193" s="100">
        <v>0.51</v>
      </c>
      <c r="E193" s="94">
        <f t="shared" si="26"/>
        <v>3.3174274042935492</v>
      </c>
      <c r="F193" s="95">
        <f t="shared" si="19"/>
        <v>9.3417865008483361</v>
      </c>
      <c r="G193" s="96">
        <f t="shared" si="20"/>
        <v>1.647502284841708</v>
      </c>
    </row>
    <row r="194" spans="1:7">
      <c r="A194" s="91">
        <f>2016</f>
        <v>2016</v>
      </c>
      <c r="B194" s="92" t="s">
        <v>60</v>
      </c>
      <c r="C194" s="93">
        <f t="shared" si="24"/>
        <v>279.41439434450223</v>
      </c>
      <c r="D194" s="100">
        <v>0.86</v>
      </c>
      <c r="E194" s="94">
        <f t="shared" si="26"/>
        <v>4.2059572799704625</v>
      </c>
      <c r="F194" s="95">
        <f t="shared" si="19"/>
        <v>9.6243795872322337</v>
      </c>
      <c r="G194" s="96">
        <f t="shared" si="20"/>
        <v>1.6334545754924727</v>
      </c>
    </row>
    <row r="195" spans="1:7">
      <c r="A195" s="91">
        <f>2016</f>
        <v>2016</v>
      </c>
      <c r="B195" s="92" t="s">
        <v>61</v>
      </c>
      <c r="C195" s="93">
        <f t="shared" si="24"/>
        <v>280.53205192188022</v>
      </c>
      <c r="D195" s="100">
        <v>0.4</v>
      </c>
      <c r="E195" s="94">
        <f t="shared" si="26"/>
        <v>4.6227811090903348</v>
      </c>
      <c r="F195" s="95">
        <f t="shared" si="19"/>
        <v>8.9839361378167624</v>
      </c>
      <c r="G195" s="96">
        <f t="shared" si="20"/>
        <v>1.6269467883391164</v>
      </c>
    </row>
    <row r="196" spans="1:7">
      <c r="A196" s="91">
        <f>2016</f>
        <v>2016</v>
      </c>
      <c r="B196" s="92" t="s">
        <v>62</v>
      </c>
      <c r="C196" s="93">
        <f t="shared" si="24"/>
        <v>282.04692500225838</v>
      </c>
      <c r="D196" s="100">
        <v>0.54</v>
      </c>
      <c r="E196" s="94">
        <f t="shared" si="26"/>
        <v>5.18774412707943</v>
      </c>
      <c r="F196" s="95">
        <f t="shared" si="19"/>
        <v>8.9297637866199153</v>
      </c>
      <c r="G196" s="96">
        <f t="shared" si="20"/>
        <v>1.6182084626408557</v>
      </c>
    </row>
    <row r="197" spans="1:7">
      <c r="A197" s="91">
        <f>2016</f>
        <v>2016</v>
      </c>
      <c r="B197" s="92" t="s">
        <v>63</v>
      </c>
      <c r="C197" s="93">
        <f t="shared" si="24"/>
        <v>283.31613616476852</v>
      </c>
      <c r="D197" s="100">
        <v>0.45</v>
      </c>
      <c r="E197" s="94">
        <f t="shared" si="26"/>
        <v>5.6610889756512739</v>
      </c>
      <c r="F197" s="95">
        <f t="shared" si="19"/>
        <v>8.9514564608779157</v>
      </c>
      <c r="G197" s="96">
        <f t="shared" si="20"/>
        <v>1.6109591464816884</v>
      </c>
    </row>
    <row r="198" spans="1:7">
      <c r="A198" s="91">
        <f>2016</f>
        <v>2016</v>
      </c>
      <c r="B198" s="92" t="s">
        <v>64</v>
      </c>
      <c r="C198" s="93">
        <f t="shared" si="24"/>
        <v>283.96776327794748</v>
      </c>
      <c r="D198" s="100">
        <v>0.23</v>
      </c>
      <c r="E198" s="94">
        <f t="shared" si="26"/>
        <v>5.904109480295272</v>
      </c>
      <c r="F198" s="95">
        <f t="shared" ref="F198:F261" si="27">100*((C198/$C186)-1)</f>
        <v>8.7778113464866525</v>
      </c>
      <c r="G198" s="96">
        <f t="shared" si="20"/>
        <v>1.6072624428631033</v>
      </c>
    </row>
    <row r="199" spans="1:7">
      <c r="A199" s="91">
        <f>2016</f>
        <v>2016</v>
      </c>
      <c r="B199" s="92" t="s">
        <v>65</v>
      </c>
      <c r="C199" s="93">
        <f t="shared" si="24"/>
        <v>284.50730202817556</v>
      </c>
      <c r="D199" s="100">
        <v>0.19</v>
      </c>
      <c r="E199" s="94">
        <f t="shared" si="26"/>
        <v>6.105327288307838</v>
      </c>
      <c r="F199" s="95">
        <f t="shared" si="27"/>
        <v>8.2699077965874714</v>
      </c>
      <c r="G199" s="96">
        <f t="shared" ref="G199:G262" si="28">+$C$314/C199</f>
        <v>1.6042144354357752</v>
      </c>
    </row>
    <row r="200" spans="1:7">
      <c r="A200" s="91">
        <f>2016</f>
        <v>2016</v>
      </c>
      <c r="B200" s="92" t="s">
        <v>66</v>
      </c>
      <c r="C200" s="93">
        <f t="shared" si="24"/>
        <v>285.24702101344877</v>
      </c>
      <c r="D200" s="100">
        <v>0.26</v>
      </c>
      <c r="E200" s="94">
        <f t="shared" si="26"/>
        <v>6.3812011392574197</v>
      </c>
      <c r="F200" s="95">
        <f t="shared" si="27"/>
        <v>7.6364993127006509</v>
      </c>
      <c r="G200" s="96">
        <f t="shared" si="28"/>
        <v>1.6000542942706719</v>
      </c>
    </row>
    <row r="201" spans="1:7">
      <c r="A201" s="91">
        <f>2016</f>
        <v>2016</v>
      </c>
      <c r="B201" s="92" t="s">
        <v>55</v>
      </c>
      <c r="C201" s="93">
        <f t="shared" si="24"/>
        <v>285.7890757773028</v>
      </c>
      <c r="D201" s="100">
        <v>0.19002994735166645</v>
      </c>
      <c r="E201" s="94">
        <f t="shared" si="26"/>
        <v>6.5833572797743933</v>
      </c>
      <c r="F201" s="95">
        <f t="shared" si="27"/>
        <v>6.5833572797743933</v>
      </c>
      <c r="G201" s="96">
        <f t="shared" si="28"/>
        <v>1.597019478995541</v>
      </c>
    </row>
    <row r="202" spans="1:7">
      <c r="A202" s="91">
        <f>2017</f>
        <v>2017</v>
      </c>
      <c r="B202" s="92" t="s">
        <v>56</v>
      </c>
      <c r="C202" s="93">
        <f t="shared" si="24"/>
        <v>286.67502130247703</v>
      </c>
      <c r="D202" s="100">
        <v>0.30999978664845163</v>
      </c>
      <c r="E202" s="94">
        <f t="shared" ref="E202:E213" si="29">100*((C202/$C$201)-1)</f>
        <v>0.30999978664845163</v>
      </c>
      <c r="F202" s="95">
        <f t="shared" si="27"/>
        <v>5.9391255052957392</v>
      </c>
      <c r="G202" s="96">
        <f t="shared" si="28"/>
        <v>1.5920840219243113</v>
      </c>
    </row>
    <row r="203" spans="1:7">
      <c r="A203" s="91">
        <f>2017</f>
        <v>2017</v>
      </c>
      <c r="B203" s="92" t="s">
        <v>57</v>
      </c>
      <c r="C203" s="93">
        <f t="shared" si="24"/>
        <v>288.22313946381047</v>
      </c>
      <c r="D203" s="100">
        <v>0.54002548052485277</v>
      </c>
      <c r="E203" s="94">
        <f t="shared" si="29"/>
        <v>0.85169934501079236</v>
      </c>
      <c r="F203" s="95">
        <f t="shared" si="27"/>
        <v>5.0199406200646335</v>
      </c>
      <c r="G203" s="96">
        <f t="shared" si="28"/>
        <v>1.5835325427013212</v>
      </c>
    </row>
    <row r="204" spans="1:7">
      <c r="A204" s="91">
        <f>2017</f>
        <v>2017</v>
      </c>
      <c r="B204" s="92" t="s">
        <v>58</v>
      </c>
      <c r="C204" s="93">
        <f t="shared" si="24"/>
        <v>288.65544185703033</v>
      </c>
      <c r="D204" s="100">
        <v>0.14998878786209868</v>
      </c>
      <c r="E204" s="94">
        <f t="shared" si="29"/>
        <v>1.002965586396698</v>
      </c>
      <c r="F204" s="95">
        <f t="shared" si="27"/>
        <v>4.7271320880355905</v>
      </c>
      <c r="G204" s="96">
        <f t="shared" si="28"/>
        <v>1.5811609785154972</v>
      </c>
    </row>
    <row r="205" spans="1:7">
      <c r="A205" s="91">
        <f>2017</f>
        <v>2017</v>
      </c>
      <c r="B205" s="92" t="s">
        <v>59</v>
      </c>
      <c r="C205" s="93">
        <f t="shared" si="24"/>
        <v>289.26151883708758</v>
      </c>
      <c r="D205" s="100">
        <v>0.20996554790657651</v>
      </c>
      <c r="E205" s="94">
        <f t="shared" si="29"/>
        <v>1.2150370164920599</v>
      </c>
      <c r="F205" s="95">
        <f t="shared" si="27"/>
        <v>4.4145089888877331</v>
      </c>
      <c r="G205" s="96">
        <f t="shared" si="28"/>
        <v>1.5778480412305942</v>
      </c>
    </row>
    <row r="206" spans="1:7">
      <c r="A206" s="91">
        <f>2017</f>
        <v>2017</v>
      </c>
      <c r="B206" s="92" t="s">
        <v>60</v>
      </c>
      <c r="C206" s="93">
        <f t="shared" si="24"/>
        <v>289.95600744904448</v>
      </c>
      <c r="D206" s="100">
        <v>0.24009021827340327</v>
      </c>
      <c r="E206" s="94">
        <f t="shared" si="29"/>
        <v>1.4580444197904496</v>
      </c>
      <c r="F206" s="95">
        <f t="shared" si="27"/>
        <v>3.7727523412931285</v>
      </c>
      <c r="G206" s="96">
        <f t="shared" si="28"/>
        <v>1.5740688558787415</v>
      </c>
    </row>
    <row r="207" spans="1:7">
      <c r="A207" s="91">
        <f>2017</f>
        <v>2017</v>
      </c>
      <c r="B207" s="92" t="s">
        <v>61</v>
      </c>
      <c r="C207" s="93">
        <f t="shared" si="24"/>
        <v>290.42001608266986</v>
      </c>
      <c r="D207" s="100">
        <v>0.16002725299868459</v>
      </c>
      <c r="E207" s="94">
        <f t="shared" si="29"/>
        <v>1.6204049412216426</v>
      </c>
      <c r="F207" s="95">
        <f t="shared" si="27"/>
        <v>3.5247181536115946</v>
      </c>
      <c r="G207" s="96">
        <f t="shared" si="28"/>
        <v>1.5715539412771231</v>
      </c>
    </row>
    <row r="208" spans="1:7">
      <c r="A208" s="91">
        <f>2017</f>
        <v>2017</v>
      </c>
      <c r="B208" s="92" t="s">
        <v>62</v>
      </c>
      <c r="C208" s="93">
        <f t="shared" si="24"/>
        <v>289.89747285137298</v>
      </c>
      <c r="D208" s="100">
        <v>-0.17992672762201511</v>
      </c>
      <c r="E208" s="94">
        <f t="shared" si="29"/>
        <v>1.4375626720146473</v>
      </c>
      <c r="F208" s="95">
        <f t="shared" si="27"/>
        <v>2.7834190530713121</v>
      </c>
      <c r="G208" s="96">
        <f t="shared" si="28"/>
        <v>1.5743866837172522</v>
      </c>
    </row>
    <row r="209" spans="1:7">
      <c r="A209" s="91">
        <f>2017</f>
        <v>2017</v>
      </c>
      <c r="B209" s="92" t="s">
        <v>63</v>
      </c>
      <c r="C209" s="93">
        <f t="shared" si="24"/>
        <v>290.91207254434613</v>
      </c>
      <c r="D209" s="100">
        <v>0.34998569769986165</v>
      </c>
      <c r="E209" s="94">
        <f t="shared" si="29"/>
        <v>1.7925796334620436</v>
      </c>
      <c r="F209" s="95">
        <f t="shared" si="27"/>
        <v>2.6810814528262616</v>
      </c>
      <c r="G209" s="96">
        <f t="shared" si="28"/>
        <v>1.5688957729002835</v>
      </c>
    </row>
    <row r="210" spans="1:7">
      <c r="A210" s="91">
        <f>2017</f>
        <v>2017</v>
      </c>
      <c r="B210" s="92" t="s">
        <v>64</v>
      </c>
      <c r="C210" s="93">
        <f t="shared" si="24"/>
        <v>291.23218362536227</v>
      </c>
      <c r="D210" s="100">
        <v>0.11003705628866989</v>
      </c>
      <c r="E210" s="94">
        <f t="shared" si="29"/>
        <v>1.9045891916110058</v>
      </c>
      <c r="F210" s="95">
        <f t="shared" si="27"/>
        <v>2.558184867028146</v>
      </c>
      <c r="G210" s="96">
        <f t="shared" si="28"/>
        <v>1.5671713037306576</v>
      </c>
    </row>
    <row r="211" spans="1:7">
      <c r="A211" s="91">
        <f>2017</f>
        <v>2017</v>
      </c>
      <c r="B211" s="92" t="s">
        <v>65</v>
      </c>
      <c r="C211" s="93">
        <f t="shared" si="24"/>
        <v>292.22239390263894</v>
      </c>
      <c r="D211" s="100">
        <v>0.34000716024931155</v>
      </c>
      <c r="E211" s="94">
        <f t="shared" si="29"/>
        <v>2.2510720914851179</v>
      </c>
      <c r="F211" s="95">
        <f t="shared" si="27"/>
        <v>2.7117377372969376</v>
      </c>
      <c r="G211" s="96">
        <f t="shared" si="28"/>
        <v>1.561860864956673</v>
      </c>
    </row>
    <row r="212" spans="1:7">
      <c r="A212" s="91">
        <f>2017</f>
        <v>2017</v>
      </c>
      <c r="B212" s="92" t="s">
        <v>66</v>
      </c>
      <c r="C212" s="93">
        <f t="shared" si="24"/>
        <v>293.15772799459853</v>
      </c>
      <c r="D212" s="100">
        <v>0.32007611718876117</v>
      </c>
      <c r="E212" s="94">
        <f t="shared" si="29"/>
        <v>2.578353352819418</v>
      </c>
      <c r="F212" s="95">
        <f t="shared" si="27"/>
        <v>2.773282943689992</v>
      </c>
      <c r="G212" s="96">
        <f t="shared" si="28"/>
        <v>1.5568776713568155</v>
      </c>
    </row>
    <row r="213" spans="1:7">
      <c r="A213" s="91">
        <f>2017</f>
        <v>2017</v>
      </c>
      <c r="B213" s="92" t="s">
        <v>55</v>
      </c>
      <c r="C213" s="93">
        <f t="shared" si="24"/>
        <v>294.18391266002749</v>
      </c>
      <c r="D213" s="100">
        <v>0.3500452375752694</v>
      </c>
      <c r="E213" s="94">
        <f t="shared" si="29"/>
        <v>2.93742399351411</v>
      </c>
      <c r="F213" s="95">
        <f t="shared" si="27"/>
        <v>2.93742399351411</v>
      </c>
      <c r="G213" s="96">
        <f t="shared" si="28"/>
        <v>1.5514469053511248</v>
      </c>
    </row>
    <row r="214" spans="1:7">
      <c r="A214" s="91">
        <f>2018</f>
        <v>2018</v>
      </c>
      <c r="B214" s="92" t="s">
        <v>56</v>
      </c>
      <c r="C214" s="93">
        <f t="shared" si="24"/>
        <v>295.33143466854642</v>
      </c>
      <c r="D214" s="100">
        <v>0.39006959902836424</v>
      </c>
      <c r="E214" s="94">
        <f t="shared" ref="E214:E225" si="30">100*((C214/$C$213)-1)</f>
        <v>0.39006959902836424</v>
      </c>
      <c r="F214" s="95">
        <f t="shared" si="27"/>
        <v>3.0195910779878599</v>
      </c>
      <c r="G214" s="96">
        <f t="shared" si="28"/>
        <v>1.5454186968370631</v>
      </c>
    </row>
    <row r="215" spans="1:7">
      <c r="A215" s="91">
        <f>2018</f>
        <v>2018</v>
      </c>
      <c r="B215" s="92" t="s">
        <v>57</v>
      </c>
      <c r="C215" s="93">
        <f t="shared" si="24"/>
        <v>296.45395752597642</v>
      </c>
      <c r="D215" s="100">
        <v>0.38008918985878992</v>
      </c>
      <c r="E215" s="94">
        <f t="shared" si="30"/>
        <v>0.77164140126597669</v>
      </c>
      <c r="F215" s="95">
        <f t="shared" si="27"/>
        <v>2.855710362977093</v>
      </c>
      <c r="G215" s="96">
        <f t="shared" si="28"/>
        <v>1.5395669692164351</v>
      </c>
    </row>
    <row r="216" spans="1:7">
      <c r="A216" s="91">
        <f>2018</f>
        <v>2018</v>
      </c>
      <c r="B216" s="92" t="s">
        <v>58</v>
      </c>
      <c r="C216" s="93">
        <f t="shared" si="24"/>
        <v>296.75028892668848</v>
      </c>
      <c r="D216" s="100">
        <v>9.9958659073084988E-2</v>
      </c>
      <c r="E216" s="94">
        <f t="shared" si="30"/>
        <v>0.87237138273663639</v>
      </c>
      <c r="F216" s="95">
        <f t="shared" si="27"/>
        <v>2.8043285855208211</v>
      </c>
      <c r="G216" s="96">
        <f t="shared" si="28"/>
        <v>1.5380295754766411</v>
      </c>
    </row>
    <row r="217" spans="1:7">
      <c r="A217" s="91">
        <f>2018</f>
        <v>2018</v>
      </c>
      <c r="B217" s="92" t="s">
        <v>59</v>
      </c>
      <c r="C217" s="93">
        <f t="shared" si="24"/>
        <v>297.37343849773333</v>
      </c>
      <c r="D217" s="100">
        <v>0.2099912263939796</v>
      </c>
      <c r="E217" s="94">
        <f t="shared" si="30"/>
        <v>1.0841945124959285</v>
      </c>
      <c r="F217" s="95">
        <f t="shared" si="27"/>
        <v>2.8043549288055747</v>
      </c>
      <c r="G217" s="96">
        <f t="shared" si="28"/>
        <v>1.5348066162404217</v>
      </c>
    </row>
    <row r="218" spans="1:7">
      <c r="A218" s="91">
        <f>2018</f>
        <v>2018</v>
      </c>
      <c r="B218" s="92" t="s">
        <v>60</v>
      </c>
      <c r="C218" s="93">
        <f t="shared" si="24"/>
        <v>297.78988777075051</v>
      </c>
      <c r="D218" s="100">
        <v>0.1400425253583526</v>
      </c>
      <c r="E218" s="94">
        <f t="shared" si="30"/>
        <v>1.2257553712293756</v>
      </c>
      <c r="F218" s="95">
        <f t="shared" si="27"/>
        <v>2.7017478929394878</v>
      </c>
      <c r="G218" s="96">
        <f t="shared" si="28"/>
        <v>1.5326602401349734</v>
      </c>
    </row>
    <row r="219" spans="1:7">
      <c r="A219" s="91">
        <f>2018</f>
        <v>2018</v>
      </c>
      <c r="B219" s="92" t="s">
        <v>61</v>
      </c>
      <c r="C219" s="93">
        <f t="shared" si="24"/>
        <v>301.09526333301454</v>
      </c>
      <c r="D219" s="100">
        <v>1.109969041261949</v>
      </c>
      <c r="E219" s="94">
        <f t="shared" si="30"/>
        <v>2.3493299176335691</v>
      </c>
      <c r="F219" s="95">
        <f t="shared" si="27"/>
        <v>3.6757959710689958</v>
      </c>
      <c r="G219" s="96">
        <f t="shared" si="28"/>
        <v>1.5158349415669492</v>
      </c>
    </row>
    <row r="220" spans="1:7">
      <c r="A220" s="91">
        <f>2018</f>
        <v>2018</v>
      </c>
      <c r="B220" s="92" t="s">
        <v>62</v>
      </c>
      <c r="C220" s="93">
        <f t="shared" si="24"/>
        <v>303.02202717303555</v>
      </c>
      <c r="D220" s="100">
        <v>0.63991834965866357</v>
      </c>
      <c r="E220" s="94">
        <f t="shared" si="30"/>
        <v>3.0042820605291842</v>
      </c>
      <c r="F220" s="95">
        <f t="shared" si="27"/>
        <v>4.5273089801618926</v>
      </c>
      <c r="G220" s="96">
        <f t="shared" si="28"/>
        <v>1.5061965136939028</v>
      </c>
    </row>
    <row r="221" spans="1:7">
      <c r="A221" s="91">
        <f>2018</f>
        <v>2018</v>
      </c>
      <c r="B221" s="92" t="s">
        <v>63</v>
      </c>
      <c r="C221" s="93">
        <f t="shared" si="24"/>
        <v>303.41591623653358</v>
      </c>
      <c r="D221" s="100">
        <v>0.12998694094046304</v>
      </c>
      <c r="E221" s="94">
        <f t="shared" si="30"/>
        <v>3.1381741758173654</v>
      </c>
      <c r="F221" s="95">
        <f t="shared" si="27"/>
        <v>4.2981522158319407</v>
      </c>
      <c r="G221" s="96">
        <f t="shared" si="28"/>
        <v>1.5042411965781048</v>
      </c>
    </row>
    <row r="222" spans="1:7">
      <c r="A222" s="91">
        <f>2018</f>
        <v>2018</v>
      </c>
      <c r="B222" s="92" t="s">
        <v>64</v>
      </c>
      <c r="C222" s="93">
        <f t="shared" si="24"/>
        <v>303.68907769233408</v>
      </c>
      <c r="D222" s="100">
        <v>9.002871674916868E-2</v>
      </c>
      <c r="E222" s="94">
        <f t="shared" si="30"/>
        <v>3.2310281505063765</v>
      </c>
      <c r="F222" s="95">
        <f t="shared" si="27"/>
        <v>4.2773068250575585</v>
      </c>
      <c r="G222" s="96">
        <f t="shared" si="28"/>
        <v>1.5028881656483963</v>
      </c>
    </row>
    <row r="223" spans="1:7">
      <c r="A223" s="91">
        <f>2018</f>
        <v>2018</v>
      </c>
      <c r="B223" s="92" t="s">
        <v>65</v>
      </c>
      <c r="C223" s="93">
        <f t="shared" si="24"/>
        <v>305.45060324101155</v>
      </c>
      <c r="D223" s="100">
        <v>0.58004244408884631</v>
      </c>
      <c r="E223" s="94">
        <f t="shared" si="30"/>
        <v>3.8298119292486055</v>
      </c>
      <c r="F223" s="95">
        <f t="shared" si="27"/>
        <v>4.526760992444645</v>
      </c>
      <c r="G223" s="96">
        <f t="shared" si="28"/>
        <v>1.4942210493536356</v>
      </c>
    </row>
    <row r="224" spans="1:7">
      <c r="A224" s="91">
        <f>2018</f>
        <v>2018</v>
      </c>
      <c r="B224" s="92" t="s">
        <v>66</v>
      </c>
      <c r="C224" s="93">
        <f t="shared" si="24"/>
        <v>306.03107133458752</v>
      </c>
      <c r="D224" s="100">
        <v>0.19003664992534031</v>
      </c>
      <c r="E224" s="94">
        <f t="shared" si="30"/>
        <v>4.0271266254627403</v>
      </c>
      <c r="F224" s="95">
        <f t="shared" si="27"/>
        <v>4.3912686280015656</v>
      </c>
      <c r="G224" s="96">
        <f t="shared" si="28"/>
        <v>1.4913868677128077</v>
      </c>
    </row>
    <row r="225" spans="1:7">
      <c r="A225" s="91">
        <f>2018</f>
        <v>2018</v>
      </c>
      <c r="B225" s="92" t="s">
        <v>55</v>
      </c>
      <c r="C225" s="93">
        <f t="shared" si="24"/>
        <v>305.54145381448092</v>
      </c>
      <c r="D225" s="100">
        <v>-0.15998948014376291</v>
      </c>
      <c r="E225" s="94">
        <f t="shared" si="30"/>
        <v>3.8606941663661631</v>
      </c>
      <c r="F225" s="95">
        <f t="shared" si="27"/>
        <v>3.8606941663661631</v>
      </c>
      <c r="G225" s="96">
        <f t="shared" si="28"/>
        <v>1.4937767533750408</v>
      </c>
    </row>
    <row r="226" spans="1:7">
      <c r="A226" s="91">
        <f>2019</f>
        <v>2019</v>
      </c>
      <c r="B226" s="92" t="s">
        <v>56</v>
      </c>
      <c r="C226" s="93">
        <f t="shared" si="24"/>
        <v>306.45788610927576</v>
      </c>
      <c r="D226" s="100">
        <v>0.2999371389229788</v>
      </c>
      <c r="E226" s="94">
        <f t="shared" ref="E226:E237" si="31">100*((C226/$C$225)-1)</f>
        <v>0.2999371389229788</v>
      </c>
      <c r="F226" s="95">
        <f t="shared" si="27"/>
        <v>3.7674457015443252</v>
      </c>
      <c r="G226" s="96">
        <f t="shared" si="28"/>
        <v>1.4893097602903251</v>
      </c>
    </row>
    <row r="227" spans="1:7">
      <c r="A227" s="97">
        <f>2019</f>
        <v>2019</v>
      </c>
      <c r="B227" s="98" t="s">
        <v>57</v>
      </c>
      <c r="C227" s="99">
        <f t="shared" si="24"/>
        <v>307.4999238949074</v>
      </c>
      <c r="D227" s="100">
        <v>0.34002642218189383</v>
      </c>
      <c r="E227" s="100">
        <f t="shared" si="31"/>
        <v>0.6409834266271508</v>
      </c>
      <c r="F227" s="101">
        <f t="shared" si="27"/>
        <v>3.7260310036384192</v>
      </c>
      <c r="G227" s="96">
        <f t="shared" si="28"/>
        <v>1.4842628743429229</v>
      </c>
    </row>
    <row r="228" spans="1:7">
      <c r="A228" s="97">
        <f>2019</f>
        <v>2019</v>
      </c>
      <c r="B228" s="98" t="s">
        <v>58</v>
      </c>
      <c r="C228" s="99">
        <f t="shared" si="24"/>
        <v>309.16023336844449</v>
      </c>
      <c r="D228" s="100">
        <v>0.53993817380733056</v>
      </c>
      <c r="E228" s="100">
        <f t="shared" si="31"/>
        <v>1.1843825146426123</v>
      </c>
      <c r="F228" s="101">
        <f t="shared" si="27"/>
        <v>4.1819485624230879</v>
      </c>
      <c r="G228" s="96">
        <f t="shared" si="28"/>
        <v>1.476291811296939</v>
      </c>
    </row>
    <row r="229" spans="1:7">
      <c r="A229" s="97">
        <f>2019</f>
        <v>2019</v>
      </c>
      <c r="B229" s="98" t="s">
        <v>59</v>
      </c>
      <c r="C229" s="99">
        <f t="shared" si="24"/>
        <v>311.38637728613975</v>
      </c>
      <c r="D229" s="100">
        <v>0.72006153360681946</v>
      </c>
      <c r="E229" s="100">
        <f t="shared" si="31"/>
        <v>1.912972331148155</v>
      </c>
      <c r="F229" s="101">
        <f t="shared" si="27"/>
        <v>4.7122361900231446</v>
      </c>
      <c r="G229" s="96">
        <f t="shared" si="28"/>
        <v>1.4657375986653376</v>
      </c>
    </row>
    <row r="230" spans="1:7">
      <c r="A230" s="97">
        <f>2019</f>
        <v>2019</v>
      </c>
      <c r="B230" s="98" t="s">
        <v>60</v>
      </c>
      <c r="C230" s="99">
        <f t="shared" si="24"/>
        <v>312.47597443237953</v>
      </c>
      <c r="D230" s="100">
        <v>0.34991805220769834</v>
      </c>
      <c r="E230" s="100">
        <f t="shared" si="31"/>
        <v>2.269584218876286</v>
      </c>
      <c r="F230" s="101">
        <f t="shared" si="27"/>
        <v>4.9316942128454277</v>
      </c>
      <c r="G230" s="96">
        <f t="shared" si="28"/>
        <v>1.4606266025078147</v>
      </c>
    </row>
    <row r="231" spans="1:7">
      <c r="A231" s="97">
        <f>2019</f>
        <v>2019</v>
      </c>
      <c r="B231" s="98" t="s">
        <v>61</v>
      </c>
      <c r="C231" s="99">
        <f t="shared" si="24"/>
        <v>312.66316319785</v>
      </c>
      <c r="D231" s="100">
        <v>5.990501055657127E-2</v>
      </c>
      <c r="E231" s="100">
        <f t="shared" si="31"/>
        <v>2.3308488240987524</v>
      </c>
      <c r="F231" s="101">
        <f t="shared" si="27"/>
        <v>3.8419401676343279</v>
      </c>
      <c r="G231" s="96">
        <f t="shared" si="28"/>
        <v>1.4597521378355445</v>
      </c>
    </row>
    <row r="232" spans="1:7">
      <c r="A232" s="97">
        <f>2019</f>
        <v>2019</v>
      </c>
      <c r="B232" s="98" t="s">
        <v>62</v>
      </c>
      <c r="C232" s="99">
        <f t="shared" si="24"/>
        <v>312.94486094914419</v>
      </c>
      <c r="D232" s="100">
        <v>9.0096239164560998E-2</v>
      </c>
      <c r="E232" s="100">
        <f t="shared" si="31"/>
        <v>2.4230450703944362</v>
      </c>
      <c r="F232" s="101">
        <f t="shared" si="27"/>
        <v>3.2746245771903437</v>
      </c>
      <c r="G232" s="96">
        <f t="shared" si="28"/>
        <v>1.4584381399209343</v>
      </c>
    </row>
    <row r="233" spans="1:7">
      <c r="A233" s="97">
        <f>2019</f>
        <v>2019</v>
      </c>
      <c r="B233" s="98" t="s">
        <v>63</v>
      </c>
      <c r="C233" s="99">
        <f t="shared" si="24"/>
        <v>313.19546219542542</v>
      </c>
      <c r="D233" s="100">
        <v>8.0078402796313064E-2</v>
      </c>
      <c r="E233" s="100">
        <f t="shared" si="31"/>
        <v>2.5050638089821664</v>
      </c>
      <c r="F233" s="101">
        <f t="shared" si="27"/>
        <v>3.2231486337941595</v>
      </c>
      <c r="G233" s="96">
        <f t="shared" si="28"/>
        <v>1.4572711804352307</v>
      </c>
    </row>
    <row r="234" spans="1:7">
      <c r="A234" s="97">
        <f>2019</f>
        <v>2019</v>
      </c>
      <c r="B234" s="98" t="s">
        <v>64</v>
      </c>
      <c r="C234" s="99">
        <f t="shared" si="24"/>
        <v>313.47715994671967</v>
      </c>
      <c r="D234" s="100">
        <v>8.9943113900692317E-2</v>
      </c>
      <c r="E234" s="100">
        <f t="shared" si="31"/>
        <v>2.5972600552778502</v>
      </c>
      <c r="F234" s="101">
        <f t="shared" si="27"/>
        <v>3.2230603513182077</v>
      </c>
      <c r="G234" s="96">
        <f t="shared" si="28"/>
        <v>1.4559616431961404</v>
      </c>
    </row>
    <row r="235" spans="1:7">
      <c r="A235" s="97">
        <f>2019</f>
        <v>2019</v>
      </c>
      <c r="B235" s="98" t="s">
        <v>65</v>
      </c>
      <c r="C235" s="99">
        <f t="shared" si="24"/>
        <v>313.75946743340631</v>
      </c>
      <c r="D235" s="100">
        <v>9.0056796078741286E-2</v>
      </c>
      <c r="E235" s="100">
        <f t="shared" si="31"/>
        <v>2.6896558605482124</v>
      </c>
      <c r="F235" s="101">
        <f t="shared" si="27"/>
        <v>2.7201989795511361</v>
      </c>
      <c r="G235" s="96">
        <f t="shared" si="28"/>
        <v>1.4546516305435657</v>
      </c>
    </row>
    <row r="236" spans="1:7">
      <c r="A236" s="97">
        <f>2019</f>
        <v>2019</v>
      </c>
      <c r="B236" s="98" t="s">
        <v>66</v>
      </c>
      <c r="C236" s="99">
        <f t="shared" si="24"/>
        <v>314.19847691594276</v>
      </c>
      <c r="D236" s="100">
        <v>0.13991911897595077</v>
      </c>
      <c r="E236" s="100">
        <f t="shared" si="31"/>
        <v>2.8333383223077213</v>
      </c>
      <c r="F236" s="101">
        <f t="shared" si="27"/>
        <v>2.6688157989113837</v>
      </c>
      <c r="G236" s="96">
        <f t="shared" si="28"/>
        <v>1.4526191386427008</v>
      </c>
    </row>
    <row r="237" spans="1:7">
      <c r="A237" s="97">
        <f>2019</f>
        <v>2019</v>
      </c>
      <c r="B237" s="98" t="s">
        <v>55</v>
      </c>
      <c r="C237" s="99">
        <f t="shared" si="24"/>
        <v>317.49775512428266</v>
      </c>
      <c r="D237" s="100">
        <v>1.0500618082953217</v>
      </c>
      <c r="E237" s="100">
        <f t="shared" si="31"/>
        <v>3.9131519342253895</v>
      </c>
      <c r="F237" s="101">
        <f t="shared" si="27"/>
        <v>3.9131519342253895</v>
      </c>
      <c r="G237" s="96">
        <f t="shared" si="28"/>
        <v>1.4375242455551409</v>
      </c>
    </row>
    <row r="238" spans="1:7">
      <c r="A238" s="97">
        <f>2020</f>
        <v>2020</v>
      </c>
      <c r="B238" s="98" t="s">
        <v>56</v>
      </c>
      <c r="C238" s="99">
        <f t="shared" si="24"/>
        <v>319.75194687002875</v>
      </c>
      <c r="D238" s="100">
        <v>0.70998667214630107</v>
      </c>
      <c r="E238" s="100">
        <f t="shared" ref="E238:E249" si="32">100*((C238/$C$237)-1)</f>
        <v>0.70998667214630107</v>
      </c>
      <c r="F238" s="101">
        <f t="shared" si="27"/>
        <v>4.3379731321427473</v>
      </c>
      <c r="G238" s="96">
        <f t="shared" si="28"/>
        <v>1.4273899670296768</v>
      </c>
    </row>
    <row r="239" spans="1:7">
      <c r="A239" s="97">
        <f>2020</f>
        <v>2020</v>
      </c>
      <c r="B239" s="98" t="s">
        <v>57</v>
      </c>
      <c r="C239" s="99">
        <f t="shared" ref="C239:C298" si="33">+C238*(1+D239/100)</f>
        <v>320.4555815128719</v>
      </c>
      <c r="D239" s="100">
        <v>0.22005640613946831</v>
      </c>
      <c r="E239" s="100">
        <f t="shared" si="32"/>
        <v>0.93160544944055346</v>
      </c>
      <c r="F239" s="101">
        <f t="shared" si="27"/>
        <v>4.2132230323387976</v>
      </c>
      <c r="G239" s="96">
        <f t="shared" si="28"/>
        <v>1.4242558008999833</v>
      </c>
    </row>
    <row r="240" spans="1:7">
      <c r="A240" s="97">
        <f>2020</f>
        <v>2020</v>
      </c>
      <c r="B240" s="98" t="s">
        <v>58</v>
      </c>
      <c r="C240" s="99">
        <f t="shared" si="33"/>
        <v>320.51960372907513</v>
      </c>
      <c r="D240" s="100">
        <v>1.9978499329287303E-2</v>
      </c>
      <c r="E240" s="100">
        <f t="shared" si="32"/>
        <v>0.95177006955831089</v>
      </c>
      <c r="F240" s="101">
        <f t="shared" si="27"/>
        <v>3.6742663300725953</v>
      </c>
      <c r="G240" s="96">
        <f t="shared" si="28"/>
        <v>1.4239713128008062</v>
      </c>
    </row>
    <row r="241" spans="1:7">
      <c r="A241" s="97">
        <f>2020</f>
        <v>2020</v>
      </c>
      <c r="B241" s="98" t="s">
        <v>59</v>
      </c>
      <c r="C241" s="99">
        <f t="shared" si="33"/>
        <v>320.48728775327731</v>
      </c>
      <c r="D241" s="100">
        <v>-1.0082371069297658E-2</v>
      </c>
      <c r="E241" s="100">
        <f t="shared" si="32"/>
        <v>0.94159173749888136</v>
      </c>
      <c r="F241" s="101">
        <f t="shared" si="27"/>
        <v>2.9227066856475137</v>
      </c>
      <c r="G241" s="96">
        <f t="shared" si="28"/>
        <v>1.4241148973492102</v>
      </c>
    </row>
    <row r="242" spans="1:7">
      <c r="A242" s="97">
        <f>2020</f>
        <v>2020</v>
      </c>
      <c r="B242" s="98" t="s">
        <v>60</v>
      </c>
      <c r="C242" s="99">
        <f t="shared" si="33"/>
        <v>318.59649830140853</v>
      </c>
      <c r="D242" s="100">
        <v>-0.58997330756045407</v>
      </c>
      <c r="E242" s="100">
        <f t="shared" si="32"/>
        <v>0.34606329002098146</v>
      </c>
      <c r="F242" s="101">
        <f t="shared" si="27"/>
        <v>1.9587182279044324</v>
      </c>
      <c r="G242" s="96">
        <f t="shared" si="28"/>
        <v>1.4325666582458714</v>
      </c>
    </row>
    <row r="243" spans="1:7">
      <c r="A243" s="97">
        <f>2020</f>
        <v>2020</v>
      </c>
      <c r="B243" s="98" t="s">
        <v>61</v>
      </c>
      <c r="C243" s="99">
        <f t="shared" si="33"/>
        <v>318.66052051761176</v>
      </c>
      <c r="D243" s="100">
        <v>2.0095078428217228E-2</v>
      </c>
      <c r="E243" s="100">
        <f t="shared" si="32"/>
        <v>0.3662279101387389</v>
      </c>
      <c r="F243" s="101">
        <f t="shared" si="27"/>
        <v>1.9181528320836083</v>
      </c>
      <c r="G243" s="96">
        <f t="shared" si="28"/>
        <v>1.4322788406895242</v>
      </c>
    </row>
    <row r="244" spans="1:7">
      <c r="A244" s="97">
        <f>2020</f>
        <v>2020</v>
      </c>
      <c r="B244" s="98" t="s">
        <v>62</v>
      </c>
      <c r="C244" s="99">
        <f t="shared" si="33"/>
        <v>319.61658561291335</v>
      </c>
      <c r="D244" s="100">
        <v>0.30002621402507312</v>
      </c>
      <c r="E244" s="100">
        <f t="shared" si="32"/>
        <v>0.66735290389732249</v>
      </c>
      <c r="F244" s="101">
        <f t="shared" si="27"/>
        <v>2.1319169912342284</v>
      </c>
      <c r="G244" s="96">
        <f t="shared" si="28"/>
        <v>1.4279944829059743</v>
      </c>
    </row>
    <row r="245" spans="1:7">
      <c r="A245" s="97">
        <f>2020</f>
        <v>2020</v>
      </c>
      <c r="B245" s="98" t="s">
        <v>63</v>
      </c>
      <c r="C245" s="99">
        <f t="shared" si="33"/>
        <v>320.35192649616192</v>
      </c>
      <c r="D245" s="100">
        <v>0.2300696886046838</v>
      </c>
      <c r="E245" s="100">
        <f t="shared" si="32"/>
        <v>0.89895796924990279</v>
      </c>
      <c r="F245" s="101">
        <f t="shared" si="27"/>
        <v>2.2849833936198882</v>
      </c>
      <c r="G245" s="96">
        <f t="shared" si="28"/>
        <v>1.424716641764767</v>
      </c>
    </row>
    <row r="246" spans="1:7">
      <c r="A246" s="97">
        <f>2020</f>
        <v>2020</v>
      </c>
      <c r="B246" s="98" t="s">
        <v>64</v>
      </c>
      <c r="C246" s="99">
        <f t="shared" si="33"/>
        <v>321.79334096382331</v>
      </c>
      <c r="D246" s="100">
        <v>0.44994718259596667</v>
      </c>
      <c r="E246" s="100">
        <f t="shared" si="32"/>
        <v>1.3529499879012308</v>
      </c>
      <c r="F246" s="101">
        <f t="shared" si="27"/>
        <v>2.6528825955030033</v>
      </c>
      <c r="G246" s="96">
        <f t="shared" si="28"/>
        <v>1.4183348839148164</v>
      </c>
    </row>
    <row r="247" spans="1:7">
      <c r="A247" s="97">
        <f>2020</f>
        <v>2020</v>
      </c>
      <c r="B247" s="98" t="s">
        <v>65</v>
      </c>
      <c r="C247" s="99">
        <f t="shared" si="33"/>
        <v>324.8182382455779</v>
      </c>
      <c r="D247" s="100">
        <v>0.94001239201983999</v>
      </c>
      <c r="E247" s="100">
        <f t="shared" si="32"/>
        <v>2.3056802774651608</v>
      </c>
      <c r="F247" s="101">
        <f t="shared" si="27"/>
        <v>3.5246014734260589</v>
      </c>
      <c r="G247" s="96">
        <f t="shared" si="28"/>
        <v>1.4051265204985726</v>
      </c>
    </row>
    <row r="248" spans="1:7">
      <c r="A248" s="97">
        <f>2020</f>
        <v>2020</v>
      </c>
      <c r="B248" s="98" t="s">
        <v>66</v>
      </c>
      <c r="C248" s="99">
        <f t="shared" si="33"/>
        <v>327.44924646383458</v>
      </c>
      <c r="D248" s="100">
        <v>0.80999399309207298</v>
      </c>
      <c r="E248" s="100">
        <f t="shared" si="32"/>
        <v>3.1343501423046094</v>
      </c>
      <c r="F248" s="101">
        <f t="shared" si="27"/>
        <v>4.2173245643825297</v>
      </c>
      <c r="G248" s="96">
        <f t="shared" si="28"/>
        <v>1.3938365283454515</v>
      </c>
    </row>
    <row r="249" spans="1:7">
      <c r="A249" s="97">
        <f>2020</f>
        <v>2020</v>
      </c>
      <c r="B249" s="98" t="s">
        <v>55</v>
      </c>
      <c r="C249" s="99">
        <f t="shared" si="33"/>
        <v>330.9204700528345</v>
      </c>
      <c r="D249" s="100">
        <v>1.0600798830616043</v>
      </c>
      <c r="E249" s="100">
        <f t="shared" si="32"/>
        <v>4.2276566406895144</v>
      </c>
      <c r="F249" s="101">
        <f t="shared" si="27"/>
        <v>4.2276566406895144</v>
      </c>
      <c r="G249" s="96">
        <f t="shared" si="28"/>
        <v>1.3792157397444018</v>
      </c>
    </row>
    <row r="250" spans="1:7">
      <c r="A250" s="97">
        <f>2021</f>
        <v>2021</v>
      </c>
      <c r="B250" s="98" t="s">
        <v>56</v>
      </c>
      <c r="C250" s="99">
        <f t="shared" si="33"/>
        <v>333.50147996891337</v>
      </c>
      <c r="D250" s="100">
        <v>0.77994870358633062</v>
      </c>
      <c r="E250" s="100">
        <f t="shared" ref="E250:E261" si="34">100*((C250/$C$249)-1)</f>
        <v>0.77994870358633062</v>
      </c>
      <c r="F250" s="101">
        <f t="shared" si="27"/>
        <v>4.3000623556714412</v>
      </c>
      <c r="G250" s="96">
        <f t="shared" si="28"/>
        <v>1.3685418155956268</v>
      </c>
    </row>
    <row r="251" spans="1:7">
      <c r="A251" s="97">
        <f>2021</f>
        <v>2021</v>
      </c>
      <c r="B251" s="98" t="s">
        <v>57</v>
      </c>
      <c r="C251" s="99">
        <f t="shared" si="33"/>
        <v>335.10203537399417</v>
      </c>
      <c r="D251" s="100">
        <v>0.47992452843987898</v>
      </c>
      <c r="E251" s="100">
        <f t="shared" si="34"/>
        <v>1.2636163971639691</v>
      </c>
      <c r="F251" s="101">
        <f t="shared" si="27"/>
        <v>4.5705098322757598</v>
      </c>
      <c r="G251" s="96">
        <f t="shared" si="28"/>
        <v>1.3620052184735412</v>
      </c>
    </row>
    <row r="252" spans="1:7">
      <c r="A252" s="97">
        <f>2021</f>
        <v>2021</v>
      </c>
      <c r="B252" s="98" t="s">
        <v>58</v>
      </c>
      <c r="C252" s="99">
        <f t="shared" si="33"/>
        <v>338.21839296461053</v>
      </c>
      <c r="D252" s="100">
        <v>0.92997274311936717</v>
      </c>
      <c r="E252" s="100">
        <f t="shared" si="34"/>
        <v>2.2053404283545408</v>
      </c>
      <c r="F252" s="101">
        <f t="shared" si="27"/>
        <v>5.5219053778986948</v>
      </c>
      <c r="G252" s="96">
        <f t="shared" si="28"/>
        <v>1.3494556487595923</v>
      </c>
    </row>
    <row r="253" spans="1:7">
      <c r="A253" s="97">
        <f>2021</f>
        <v>2021</v>
      </c>
      <c r="B253" s="98" t="s">
        <v>59</v>
      </c>
      <c r="C253" s="99">
        <f t="shared" si="33"/>
        <v>340.24759235055677</v>
      </c>
      <c r="D253" s="100">
        <v>0.59996718929433701</v>
      </c>
      <c r="E253" s="100">
        <f t="shared" si="34"/>
        <v>2.818538936631243</v>
      </c>
      <c r="F253" s="101">
        <f t="shared" si="27"/>
        <v>6.1657062081325487</v>
      </c>
      <c r="G253" s="96">
        <f t="shared" si="28"/>
        <v>1.3414076430267454</v>
      </c>
    </row>
    <row r="254" spans="1:7">
      <c r="A254" s="97">
        <f>2021</f>
        <v>2021</v>
      </c>
      <c r="B254" s="98" t="s">
        <v>60</v>
      </c>
      <c r="C254" s="99">
        <f t="shared" si="33"/>
        <v>341.74449273892759</v>
      </c>
      <c r="D254" s="100">
        <v>0.43994444693338242</v>
      </c>
      <c r="E254" s="100">
        <f t="shared" si="34"/>
        <v>3.2708833891009981</v>
      </c>
      <c r="F254" s="101">
        <f t="shared" si="27"/>
        <v>7.2656148328472447</v>
      </c>
      <c r="G254" s="96">
        <f t="shared" si="28"/>
        <v>1.3355320439623173</v>
      </c>
    </row>
    <row r="255" spans="1:7">
      <c r="A255" s="97">
        <f>2021</f>
        <v>2021</v>
      </c>
      <c r="B255" s="98" t="s">
        <v>61</v>
      </c>
      <c r="C255" s="99">
        <f t="shared" si="33"/>
        <v>344.58098178442691</v>
      </c>
      <c r="D255" s="100">
        <v>0.83000285469596591</v>
      </c>
      <c r="E255" s="100">
        <f t="shared" si="34"/>
        <v>4.1280346693002734</v>
      </c>
      <c r="F255" s="101">
        <f t="shared" si="27"/>
        <v>8.1341928472066893</v>
      </c>
      <c r="G255" s="96">
        <f t="shared" si="28"/>
        <v>1.3245383379458247</v>
      </c>
    </row>
    <row r="256" spans="1:7">
      <c r="A256" s="97">
        <f>2021</f>
        <v>2021</v>
      </c>
      <c r="B256" s="98" t="s">
        <v>62</v>
      </c>
      <c r="C256" s="99">
        <f t="shared" si="33"/>
        <v>347.06199509615033</v>
      </c>
      <c r="D256" s="100">
        <v>0.72000877671059005</v>
      </c>
      <c r="E256" s="100">
        <f t="shared" si="34"/>
        <v>4.8777656579354733</v>
      </c>
      <c r="F256" s="101">
        <f t="shared" si="27"/>
        <v>8.5869791239419726</v>
      </c>
      <c r="G256" s="96">
        <f t="shared" si="28"/>
        <v>1.3150697205380868</v>
      </c>
    </row>
    <row r="257" spans="1:7">
      <c r="A257" s="97">
        <f>2021</f>
        <v>2021</v>
      </c>
      <c r="B257" s="98" t="s">
        <v>63</v>
      </c>
      <c r="C257" s="99">
        <f t="shared" si="33"/>
        <v>350.15091459410814</v>
      </c>
      <c r="D257" s="100">
        <v>0.89001951858833639</v>
      </c>
      <c r="E257" s="100">
        <f t="shared" si="34"/>
        <v>5.8111982429504438</v>
      </c>
      <c r="F257" s="101">
        <f t="shared" si="27"/>
        <v>9.3019537681173325</v>
      </c>
      <c r="G257" s="96">
        <f t="shared" si="28"/>
        <v>1.3034685956184138</v>
      </c>
    </row>
    <row r="258" spans="1:7">
      <c r="A258" s="97">
        <f>2021</f>
        <v>2021</v>
      </c>
      <c r="B258" s="98" t="s">
        <v>64</v>
      </c>
      <c r="C258" s="99">
        <f t="shared" si="33"/>
        <v>354.14285220822774</v>
      </c>
      <c r="D258" s="100">
        <v>1.1400620268968931</v>
      </c>
      <c r="E258" s="100">
        <f t="shared" si="34"/>
        <v>7.0175115343229066</v>
      </c>
      <c r="F258" s="101">
        <f t="shared" si="27"/>
        <v>10.052883986819738</v>
      </c>
      <c r="G258" s="96">
        <f t="shared" si="28"/>
        <v>1.2887757526505899</v>
      </c>
    </row>
    <row r="259" spans="1:7">
      <c r="A259" s="97">
        <f>2021</f>
        <v>2021</v>
      </c>
      <c r="B259" s="98" t="s">
        <v>65</v>
      </c>
      <c r="C259" s="99">
        <f t="shared" si="33"/>
        <v>358.39270789333744</v>
      </c>
      <c r="D259" s="100">
        <v>1.2000399439407339</v>
      </c>
      <c r="E259" s="100">
        <f t="shared" si="34"/>
        <v>8.3017644197461493</v>
      </c>
      <c r="F259" s="101">
        <f t="shared" si="27"/>
        <v>10.336386844871569</v>
      </c>
      <c r="G259" s="96">
        <f t="shared" si="28"/>
        <v>1.2734933240782325</v>
      </c>
    </row>
    <row r="260" spans="1:7">
      <c r="A260" s="97">
        <f>2021</f>
        <v>2021</v>
      </c>
      <c r="B260" s="98" t="s">
        <v>66</v>
      </c>
      <c r="C260" s="99">
        <f t="shared" si="33"/>
        <v>362.58585818695286</v>
      </c>
      <c r="D260" s="100">
        <v>1.169987614497825</v>
      </c>
      <c r="E260" s="100">
        <f t="shared" si="34"/>
        <v>9.5688816497397902</v>
      </c>
      <c r="F260" s="101">
        <f t="shared" si="27"/>
        <v>10.730399322204253</v>
      </c>
      <c r="G260" s="96">
        <f t="shared" si="28"/>
        <v>1.2587659187335303</v>
      </c>
    </row>
    <row r="261" spans="1:7">
      <c r="A261" s="97">
        <f>2021</f>
        <v>2021</v>
      </c>
      <c r="B261" s="98" t="s">
        <v>55</v>
      </c>
      <c r="C261" s="99">
        <f t="shared" si="33"/>
        <v>365.4138109369585</v>
      </c>
      <c r="D261" s="100">
        <v>0.77994016759128648</v>
      </c>
      <c r="E261" s="100">
        <f t="shared" si="34"/>
        <v>10.423453368906689</v>
      </c>
      <c r="F261" s="101">
        <f t="shared" si="27"/>
        <v>10.423453368906689</v>
      </c>
      <c r="G261" s="96">
        <f t="shared" si="28"/>
        <v>1.2490242766966069</v>
      </c>
    </row>
    <row r="262" spans="1:7">
      <c r="A262" s="97">
        <f>2022</f>
        <v>2022</v>
      </c>
      <c r="B262" s="98" t="s">
        <v>56</v>
      </c>
      <c r="C262" s="99">
        <f t="shared" si="33"/>
        <v>367.53325116098171</v>
      </c>
      <c r="D262" s="100">
        <v>0.58001097949438307</v>
      </c>
      <c r="E262" s="100">
        <f t="shared" ref="E262:E273" si="35">100*((C262/$C$261)-1)</f>
        <v>0.58001097949438307</v>
      </c>
      <c r="F262" s="101">
        <f t="shared" ref="F262:F298" si="36">100*((C262/$C250)-1)</f>
        <v>10.204383859178234</v>
      </c>
      <c r="G262" s="96">
        <f t="shared" si="28"/>
        <v>1.241821575214632</v>
      </c>
    </row>
    <row r="263" spans="1:7">
      <c r="A263" s="97">
        <f>2022</f>
        <v>2022</v>
      </c>
      <c r="B263" s="98" t="s">
        <v>57</v>
      </c>
      <c r="C263" s="99">
        <f t="shared" si="33"/>
        <v>371.17154224750249</v>
      </c>
      <c r="D263" s="100">
        <v>0.98992161254198852</v>
      </c>
      <c r="E263" s="100">
        <f t="shared" si="35"/>
        <v>1.5756742460774964</v>
      </c>
      <c r="F263" s="101">
        <f t="shared" si="36"/>
        <v>10.763738523179246</v>
      </c>
      <c r="G263" s="96">
        <f t="shared" ref="G263:G311" si="37">+$C$314/C263</f>
        <v>1.2296490138679439</v>
      </c>
    </row>
    <row r="264" spans="1:7">
      <c r="A264" s="97">
        <f>2022</f>
        <v>2022</v>
      </c>
      <c r="B264" s="98" t="s">
        <v>58</v>
      </c>
      <c r="C264" s="99">
        <f t="shared" si="33"/>
        <v>374.69764202181949</v>
      </c>
      <c r="D264" s="100">
        <v>0.94999195061289399</v>
      </c>
      <c r="E264" s="100">
        <f t="shared" si="35"/>
        <v>2.54063497519601</v>
      </c>
      <c r="F264" s="101">
        <f t="shared" si="36"/>
        <v>10.785708233504021</v>
      </c>
      <c r="G264" s="96">
        <f t="shared" si="37"/>
        <v>1.2180773768357673</v>
      </c>
    </row>
    <row r="265" spans="1:7">
      <c r="A265" s="97">
        <f>2022</f>
        <v>2022</v>
      </c>
      <c r="B265" s="98" t="s">
        <v>59</v>
      </c>
      <c r="C265" s="99">
        <f t="shared" si="33"/>
        <v>381.17973897854864</v>
      </c>
      <c r="D265" s="100">
        <v>1.7299540295350191</v>
      </c>
      <c r="E265" s="100">
        <f t="shared" si="35"/>
        <v>4.3145408218602022</v>
      </c>
      <c r="F265" s="101">
        <f t="shared" si="36"/>
        <v>12.03010617803859</v>
      </c>
      <c r="G265" s="96">
        <f t="shared" si="37"/>
        <v>1.1973635380608998</v>
      </c>
    </row>
    <row r="266" spans="1:7">
      <c r="A266" s="97">
        <f>2022</f>
        <v>2022</v>
      </c>
      <c r="B266" s="98" t="s">
        <v>60</v>
      </c>
      <c r="C266" s="99">
        <f t="shared" si="33"/>
        <v>383.42844310576305</v>
      </c>
      <c r="D266" s="100">
        <v>0.5899327527848941</v>
      </c>
      <c r="E266" s="100">
        <f t="shared" si="35"/>
        <v>4.9299264640855212</v>
      </c>
      <c r="F266" s="101">
        <f t="shared" si="36"/>
        <v>12.197402226662813</v>
      </c>
      <c r="G266" s="96">
        <f t="shared" si="37"/>
        <v>1.1903413247164638</v>
      </c>
    </row>
    <row r="267" spans="1:7">
      <c r="A267" s="97">
        <f>2022</f>
        <v>2022</v>
      </c>
      <c r="B267" s="98" t="s">
        <v>61</v>
      </c>
      <c r="C267" s="99">
        <f t="shared" si="33"/>
        <v>386.07408497343755</v>
      </c>
      <c r="D267" s="100">
        <v>0.68999624708194762</v>
      </c>
      <c r="E267" s="100">
        <f t="shared" si="35"/>
        <v>5.653939018753551</v>
      </c>
      <c r="F267" s="101">
        <f t="shared" si="36"/>
        <v>12.041611517309182</v>
      </c>
      <c r="G267" s="96">
        <f t="shared" si="37"/>
        <v>1.1821842974306007</v>
      </c>
    </row>
    <row r="268" spans="1:7">
      <c r="A268" s="97">
        <f>2022</f>
        <v>2022</v>
      </c>
      <c r="B268" s="98" t="s">
        <v>62</v>
      </c>
      <c r="C268" s="99">
        <f t="shared" si="33"/>
        <v>386.57589720139242</v>
      </c>
      <c r="D268" s="100">
        <v>0.12997822114617641</v>
      </c>
      <c r="E268" s="100">
        <f t="shared" si="35"/>
        <v>5.7912661292609968</v>
      </c>
      <c r="F268" s="101">
        <f t="shared" si="36"/>
        <v>11.385257580362595</v>
      </c>
      <c r="G268" s="96">
        <f t="shared" si="37"/>
        <v>1.1806497099396536</v>
      </c>
    </row>
    <row r="269" spans="1:7">
      <c r="A269" s="97">
        <f>2022</f>
        <v>2022</v>
      </c>
      <c r="B269" s="98" t="s">
        <v>63</v>
      </c>
      <c r="C269" s="99">
        <f t="shared" si="33"/>
        <v>383.75404180531092</v>
      </c>
      <c r="D269" s="100">
        <v>-0.7299615461052511</v>
      </c>
      <c r="E269" s="100">
        <f t="shared" si="35"/>
        <v>5.0190305673795343</v>
      </c>
      <c r="F269" s="101">
        <f t="shared" si="36"/>
        <v>9.5967555161622808</v>
      </c>
      <c r="G269" s="96">
        <f t="shared" si="37"/>
        <v>1.189331371608159</v>
      </c>
    </row>
    <row r="270" spans="1:7">
      <c r="A270" s="97">
        <f>2022</f>
        <v>2022</v>
      </c>
      <c r="B270" s="98" t="s">
        <v>64</v>
      </c>
      <c r="C270" s="99">
        <f t="shared" si="33"/>
        <v>382.333968076384</v>
      </c>
      <c r="D270" s="100">
        <v>-0.37004788855028448</v>
      </c>
      <c r="E270" s="100">
        <f t="shared" si="35"/>
        <v>4.6304098621889667</v>
      </c>
      <c r="F270" s="101">
        <f t="shared" si="36"/>
        <v>7.9603797429124823</v>
      </c>
      <c r="G270" s="96">
        <f t="shared" si="37"/>
        <v>1.1937488138885477</v>
      </c>
    </row>
    <row r="271" spans="1:7">
      <c r="A271" s="97">
        <f>2022</f>
        <v>2022</v>
      </c>
      <c r="B271" s="98" t="s">
        <v>65</v>
      </c>
      <c r="C271" s="99">
        <f t="shared" si="33"/>
        <v>382.94553267497298</v>
      </c>
      <c r="D271" s="100">
        <v>0.15995560155586119</v>
      </c>
      <c r="E271" s="100">
        <f t="shared" si="35"/>
        <v>4.7977720636944055</v>
      </c>
      <c r="F271" s="101">
        <f t="shared" si="36"/>
        <v>6.850815945993749</v>
      </c>
      <c r="G271" s="96">
        <f t="shared" si="37"/>
        <v>1.1918423952156827</v>
      </c>
    </row>
    <row r="272" spans="1:7">
      <c r="A272" s="97">
        <f>2022</f>
        <v>2022</v>
      </c>
      <c r="B272" s="98" t="s">
        <v>66</v>
      </c>
      <c r="C272" s="99">
        <f t="shared" si="33"/>
        <v>384.97534179631168</v>
      </c>
      <c r="D272" s="100">
        <v>0.5300516517740661</v>
      </c>
      <c r="E272" s="100">
        <f t="shared" si="35"/>
        <v>5.3532543855404402</v>
      </c>
      <c r="F272" s="101">
        <f t="shared" si="36"/>
        <v>6.1749467343579001</v>
      </c>
      <c r="G272" s="96">
        <f t="shared" si="37"/>
        <v>1.1855583237379645</v>
      </c>
    </row>
    <row r="273" spans="1:7">
      <c r="A273" s="97">
        <f>2022</f>
        <v>2022</v>
      </c>
      <c r="B273" s="98" t="s">
        <v>55</v>
      </c>
      <c r="C273" s="99">
        <f t="shared" si="33"/>
        <v>386.97710308959938</v>
      </c>
      <c r="D273" s="100">
        <v>0.51997130100525091</v>
      </c>
      <c r="E273" s="100">
        <f t="shared" si="35"/>
        <v>5.9010610730203084</v>
      </c>
      <c r="F273" s="101">
        <f t="shared" si="36"/>
        <v>5.9010610730203084</v>
      </c>
      <c r="G273" s="96">
        <f t="shared" si="37"/>
        <v>1.1794256488472639</v>
      </c>
    </row>
    <row r="274" spans="1:7">
      <c r="A274" s="97">
        <f>2023</f>
        <v>2023</v>
      </c>
      <c r="B274" s="98" t="s">
        <v>56</v>
      </c>
      <c r="C274" s="99">
        <f t="shared" si="33"/>
        <v>389.10568934450868</v>
      </c>
      <c r="D274" s="100">
        <v>0.55005483216314932</v>
      </c>
      <c r="E274" s="100">
        <f t="shared" ref="E274:E285" si="38">100*((C274/$C$273)-1)</f>
        <v>0.55005483216314932</v>
      </c>
      <c r="F274" s="101">
        <f t="shared" si="36"/>
        <v>5.8695201360374538</v>
      </c>
      <c r="G274" s="96">
        <f t="shared" si="37"/>
        <v>1.1729736506021264</v>
      </c>
    </row>
    <row r="275" spans="1:7">
      <c r="A275" s="97">
        <f>2023</f>
        <v>2023</v>
      </c>
      <c r="B275" s="98" t="s">
        <v>57</v>
      </c>
      <c r="C275" s="99">
        <f t="shared" si="33"/>
        <v>392.06290599770557</v>
      </c>
      <c r="D275" s="100">
        <v>0.76000344743831771</v>
      </c>
      <c r="E275" s="100">
        <f t="shared" si="38"/>
        <v>1.3142387152887069</v>
      </c>
      <c r="F275" s="101">
        <f t="shared" si="36"/>
        <v>5.6284928590436989</v>
      </c>
      <c r="G275" s="96">
        <f t="shared" si="37"/>
        <v>1.1641262509622787</v>
      </c>
    </row>
    <row r="276" spans="1:7">
      <c r="A276" s="97">
        <f>2023</f>
        <v>2023</v>
      </c>
      <c r="B276" s="98" t="s">
        <v>58</v>
      </c>
      <c r="C276" s="99">
        <f t="shared" si="33"/>
        <v>394.76830193383643</v>
      </c>
      <c r="D276" s="100">
        <v>0.69004129050318497</v>
      </c>
      <c r="E276" s="100">
        <f t="shared" si="38"/>
        <v>2.0133487955831475</v>
      </c>
      <c r="F276" s="101">
        <f t="shared" si="36"/>
        <v>5.3564948537488277</v>
      </c>
      <c r="G276" s="96">
        <f t="shared" si="37"/>
        <v>1.1561483499680281</v>
      </c>
    </row>
    <row r="277" spans="1:7">
      <c r="A277" s="97">
        <f>2023</f>
        <v>2023</v>
      </c>
      <c r="B277" s="98" t="s">
        <v>59</v>
      </c>
      <c r="C277" s="99">
        <f t="shared" si="33"/>
        <v>397.0182255318357</v>
      </c>
      <c r="D277" s="100">
        <v>0.5699352219967091</v>
      </c>
      <c r="E277" s="100">
        <f t="shared" si="38"/>
        <v>2.5947588015075462</v>
      </c>
      <c r="F277" s="101">
        <f t="shared" si="36"/>
        <v>4.1551228813287988</v>
      </c>
      <c r="G277" s="96">
        <f t="shared" si="37"/>
        <v>1.1495963952009731</v>
      </c>
    </row>
    <row r="278" spans="1:7">
      <c r="A278" s="97">
        <f>2023</f>
        <v>2023</v>
      </c>
      <c r="B278" s="98" t="s">
        <v>60</v>
      </c>
      <c r="C278" s="99">
        <f t="shared" si="33"/>
        <v>399.04315677003507</v>
      </c>
      <c r="D278" s="100">
        <v>0.51003483164704377</v>
      </c>
      <c r="E278" s="100">
        <f t="shared" si="38"/>
        <v>3.1180278068394962</v>
      </c>
      <c r="F278" s="101">
        <f t="shared" si="36"/>
        <v>4.0723931531508661</v>
      </c>
      <c r="G278" s="96">
        <f t="shared" si="37"/>
        <v>1.1437628064964176</v>
      </c>
    </row>
    <row r="279" spans="1:7">
      <c r="A279" s="97">
        <f>2023</f>
        <v>2023</v>
      </c>
      <c r="B279" s="98" t="s">
        <v>61</v>
      </c>
      <c r="C279" s="99">
        <f t="shared" si="33"/>
        <v>399.20290744284694</v>
      </c>
      <c r="D279" s="100">
        <v>4.0033432500119481E-2</v>
      </c>
      <c r="E279" s="100">
        <f t="shared" si="38"/>
        <v>3.159309492897</v>
      </c>
      <c r="F279" s="101">
        <f t="shared" si="36"/>
        <v>3.400596667945921</v>
      </c>
      <c r="G279" s="96">
        <f t="shared" si="37"/>
        <v>1.14330510222005</v>
      </c>
    </row>
    <row r="280" spans="1:7">
      <c r="A280" s="97">
        <f>2023</f>
        <v>2023</v>
      </c>
      <c r="B280" s="98" t="s">
        <v>62</v>
      </c>
      <c r="C280" s="99">
        <f t="shared" si="33"/>
        <v>398.92364863312235</v>
      </c>
      <c r="D280" s="100">
        <v>-6.9954102166591703E-2</v>
      </c>
      <c r="E280" s="100">
        <f t="shared" si="38"/>
        <v>3.0871453241399838</v>
      </c>
      <c r="F280" s="101">
        <f t="shared" si="36"/>
        <v>3.1941338094592098</v>
      </c>
      <c r="G280" s="96">
        <f t="shared" si="37"/>
        <v>1.1441054509160773</v>
      </c>
    </row>
    <row r="281" spans="1:7">
      <c r="A281" s="97">
        <f>2023</f>
        <v>2023</v>
      </c>
      <c r="B281" s="98" t="s">
        <v>63</v>
      </c>
      <c r="C281" s="99">
        <f t="shared" si="33"/>
        <v>400.04068387202068</v>
      </c>
      <c r="D281" s="100">
        <v>0.28001228874892092</v>
      </c>
      <c r="E281" s="100">
        <f t="shared" si="38"/>
        <v>3.3758019991680488</v>
      </c>
      <c r="F281" s="101">
        <f t="shared" si="36"/>
        <v>4.2440314087877296</v>
      </c>
      <c r="G281" s="96">
        <f t="shared" si="37"/>
        <v>1.1409107605827868</v>
      </c>
    </row>
    <row r="282" spans="1:7">
      <c r="A282" s="97">
        <f>2023</f>
        <v>2023</v>
      </c>
      <c r="B282" s="98" t="s">
        <v>64</v>
      </c>
      <c r="C282" s="99">
        <f t="shared" si="33"/>
        <v>401.44063633299805</v>
      </c>
      <c r="D282" s="100">
        <v>0.34995252168532609</v>
      </c>
      <c r="E282" s="100">
        <f t="shared" si="38"/>
        <v>3.7375682250765818</v>
      </c>
      <c r="F282" s="101">
        <f t="shared" si="36"/>
        <v>4.9973766005527498</v>
      </c>
      <c r="G282" s="96">
        <f t="shared" si="37"/>
        <v>1.1369320382450996</v>
      </c>
    </row>
    <row r="283" spans="1:7">
      <c r="A283" s="97">
        <f>2023</f>
        <v>2023</v>
      </c>
      <c r="B283" s="98" t="s">
        <v>65</v>
      </c>
      <c r="C283" s="99">
        <f t="shared" si="33"/>
        <v>402.28390038070347</v>
      </c>
      <c r="D283" s="100">
        <v>0.21005946368766182</v>
      </c>
      <c r="E283" s="100">
        <f t="shared" si="38"/>
        <v>3.9554788045327749</v>
      </c>
      <c r="F283" s="101">
        <f t="shared" si="36"/>
        <v>5.0499003267245435</v>
      </c>
      <c r="G283" s="96">
        <f t="shared" si="37"/>
        <v>1.1345488110972342</v>
      </c>
    </row>
    <row r="284" spans="1:7">
      <c r="A284" s="97">
        <f>2023</f>
        <v>2023</v>
      </c>
      <c r="B284" s="98" t="s">
        <v>66</v>
      </c>
      <c r="C284" s="99">
        <f t="shared" si="33"/>
        <v>403.61129432998382</v>
      </c>
      <c r="D284" s="100">
        <v>0.32996447235997817</v>
      </c>
      <c r="E284" s="100">
        <f t="shared" si="38"/>
        <v>4.2984949516594595</v>
      </c>
      <c r="F284" s="101">
        <f t="shared" si="36"/>
        <v>4.8408171927885046</v>
      </c>
      <c r="G284" s="96">
        <f t="shared" si="37"/>
        <v>1.1308175150503439</v>
      </c>
    </row>
    <row r="285" spans="1:7">
      <c r="A285" s="97">
        <f>2023</f>
        <v>2023</v>
      </c>
      <c r="B285" s="98" t="s">
        <v>55</v>
      </c>
      <c r="C285" s="99">
        <f t="shared" si="33"/>
        <v>405.22587364909015</v>
      </c>
      <c r="D285" s="100">
        <v>0.40003323538966296</v>
      </c>
      <c r="E285" s="100">
        <f t="shared" si="38"/>
        <v>4.7157235954772947</v>
      </c>
      <c r="F285" s="101">
        <f t="shared" si="36"/>
        <v>4.7157235954772947</v>
      </c>
      <c r="G285" s="96">
        <f t="shared" si="37"/>
        <v>1.1263118931436229</v>
      </c>
    </row>
    <row r="286" spans="1:7">
      <c r="A286" s="97">
        <f>2024</f>
        <v>2024</v>
      </c>
      <c r="B286" s="98" t="s">
        <v>56</v>
      </c>
      <c r="C286" s="99">
        <f t="shared" si="33"/>
        <v>406.48192855745828</v>
      </c>
      <c r="D286" s="100">
        <v>0.3099641434682443</v>
      </c>
      <c r="E286" s="100">
        <f t="shared" ref="E286:E297" si="39">100*((C286/$C$285)-1)</f>
        <v>0.3099641434682443</v>
      </c>
      <c r="F286" s="101">
        <f t="shared" si="36"/>
        <v>4.4656862361025285</v>
      </c>
      <c r="G286" s="96">
        <f t="shared" si="37"/>
        <v>1.1228315180461197</v>
      </c>
    </row>
    <row r="287" spans="1:7">
      <c r="A287" s="97">
        <f>2024</f>
        <v>2024</v>
      </c>
      <c r="B287" s="98" t="s">
        <v>57</v>
      </c>
      <c r="C287" s="99">
        <f t="shared" si="33"/>
        <v>409.65255259799926</v>
      </c>
      <c r="D287" s="100">
        <v>0.78001599032779811</v>
      </c>
      <c r="E287" s="100">
        <f t="shared" si="39"/>
        <v>1.0923979036793874</v>
      </c>
      <c r="F287" s="101">
        <f t="shared" si="36"/>
        <v>4.4864347866657495</v>
      </c>
      <c r="G287" s="96">
        <f t="shared" si="37"/>
        <v>1.1141410397810234</v>
      </c>
    </row>
    <row r="288" spans="1:7">
      <c r="A288" s="97">
        <f>2024</f>
        <v>2024</v>
      </c>
      <c r="B288" s="98" t="s">
        <v>58</v>
      </c>
      <c r="C288" s="99">
        <f t="shared" si="33"/>
        <v>411.12750251224332</v>
      </c>
      <c r="D288" s="100">
        <v>0.36004899881374453</v>
      </c>
      <c r="E288" s="100">
        <f t="shared" si="39"/>
        <v>1.4563800702083851</v>
      </c>
      <c r="F288" s="101">
        <f t="shared" si="36"/>
        <v>4.1440005436780725</v>
      </c>
      <c r="G288" s="96">
        <f t="shared" si="37"/>
        <v>1.1101439775046269</v>
      </c>
    </row>
    <row r="289" spans="1:7">
      <c r="A289" s="97">
        <f>2024</f>
        <v>2024</v>
      </c>
      <c r="B289" s="98" t="s">
        <v>59</v>
      </c>
      <c r="C289" s="99">
        <f t="shared" si="33"/>
        <v>411.99088782789835</v>
      </c>
      <c r="D289" s="100">
        <v>0.21000427127331189</v>
      </c>
      <c r="E289" s="100">
        <f t="shared" si="39"/>
        <v>1.6694428018351193</v>
      </c>
      <c r="F289" s="101">
        <f t="shared" si="36"/>
        <v>3.7712783275895223</v>
      </c>
      <c r="G289" s="96">
        <f t="shared" si="37"/>
        <v>1.1078175134085551</v>
      </c>
    </row>
    <row r="290" spans="1:7">
      <c r="A290" s="97">
        <f>2024</f>
        <v>2024</v>
      </c>
      <c r="B290" s="98" t="s">
        <v>60</v>
      </c>
      <c r="C290" s="99">
        <f t="shared" si="33"/>
        <v>413.80363114953838</v>
      </c>
      <c r="D290" s="100">
        <v>0.43999597447341721</v>
      </c>
      <c r="E290" s="100">
        <f t="shared" si="39"/>
        <v>2.1167842574327356</v>
      </c>
      <c r="F290" s="101">
        <f t="shared" si="36"/>
        <v>3.6989669235224287</v>
      </c>
      <c r="G290" s="96">
        <f t="shared" si="37"/>
        <v>1.1029645139473165</v>
      </c>
    </row>
    <row r="291" spans="1:7">
      <c r="A291" s="97">
        <f>2024</f>
        <v>2024</v>
      </c>
      <c r="B291" s="98" t="s">
        <v>61</v>
      </c>
      <c r="C291" s="99">
        <f t="shared" si="33"/>
        <v>415.41760073325224</v>
      </c>
      <c r="D291" s="100">
        <v>0.39003272620645735</v>
      </c>
      <c r="E291" s="100">
        <f t="shared" si="39"/>
        <v>2.5150731349863786</v>
      </c>
      <c r="F291" s="101">
        <f t="shared" si="36"/>
        <v>4.0617673338781302</v>
      </c>
      <c r="G291" s="96">
        <f t="shared" si="37"/>
        <v>1.0986793051013635</v>
      </c>
    </row>
    <row r="292" spans="1:7">
      <c r="A292" s="97">
        <f>2024</f>
        <v>2024</v>
      </c>
      <c r="B292" s="98" t="s">
        <v>62</v>
      </c>
      <c r="C292" s="99">
        <f t="shared" si="33"/>
        <v>416.66389987534183</v>
      </c>
      <c r="D292" s="100">
        <v>0.30001115501359088</v>
      </c>
      <c r="E292" s="100">
        <f t="shared" si="39"/>
        <v>2.8226297899616837</v>
      </c>
      <c r="F292" s="101">
        <f t="shared" si="36"/>
        <v>4.4470292255184507</v>
      </c>
      <c r="G292" s="96">
        <f t="shared" si="37"/>
        <v>1.0953930038984299</v>
      </c>
    </row>
    <row r="293" spans="1:7">
      <c r="A293" s="97">
        <f>2024</f>
        <v>2024</v>
      </c>
      <c r="B293" s="98" t="s">
        <v>63</v>
      </c>
      <c r="C293" s="99">
        <f t="shared" si="33"/>
        <v>417.45533641469217</v>
      </c>
      <c r="D293" s="100">
        <v>0.18994603074256045</v>
      </c>
      <c r="E293" s="100">
        <f t="shared" si="39"/>
        <v>3.0179372939528104</v>
      </c>
      <c r="F293" s="101">
        <f t="shared" si="36"/>
        <v>4.3532203710167527</v>
      </c>
      <c r="G293" s="96">
        <f t="shared" si="37"/>
        <v>1.0933162929964215</v>
      </c>
    </row>
    <row r="294" spans="1:7">
      <c r="A294" s="97">
        <f>2024</f>
        <v>2024</v>
      </c>
      <c r="B294" s="98" t="s">
        <v>64</v>
      </c>
      <c r="C294" s="99">
        <f t="shared" si="33"/>
        <v>417.99800091393865</v>
      </c>
      <c r="D294" s="100">
        <v>0.12999342729862473</v>
      </c>
      <c r="E294" s="100">
        <f t="shared" si="39"/>
        <v>3.1518538413735753</v>
      </c>
      <c r="F294" s="101">
        <f t="shared" si="36"/>
        <v>4.1244864327103503</v>
      </c>
      <c r="G294" s="96">
        <f t="shared" si="37"/>
        <v>1.0918968987951103</v>
      </c>
    </row>
    <row r="295" spans="1:7">
      <c r="A295" s="97">
        <f>2024</f>
        <v>2024</v>
      </c>
      <c r="B295" s="98" t="s">
        <v>65</v>
      </c>
      <c r="C295" s="99">
        <f t="shared" si="33"/>
        <v>420.25524133664686</v>
      </c>
      <c r="D295" s="100">
        <v>0.54001225311433032</v>
      </c>
      <c r="E295" s="100">
        <f t="shared" si="39"/>
        <v>3.7088864914315733</v>
      </c>
      <c r="F295" s="101">
        <f t="shared" si="36"/>
        <v>4.4673279092044549</v>
      </c>
      <c r="G295" s="96">
        <f t="shared" si="37"/>
        <v>1.0860321918861588</v>
      </c>
    </row>
    <row r="296" spans="1:7">
      <c r="A296" s="97">
        <f>2024</f>
        <v>2024</v>
      </c>
      <c r="B296" s="98" t="s">
        <v>66</v>
      </c>
      <c r="C296" s="99">
        <f t="shared" si="33"/>
        <v>422.86064066842215</v>
      </c>
      <c r="D296" s="100">
        <v>0.61995641588874495</v>
      </c>
      <c r="E296" s="100">
        <f t="shared" si="39"/>
        <v>4.3518363870819865</v>
      </c>
      <c r="F296" s="101">
        <f t="shared" si="36"/>
        <v>4.7692784143697597</v>
      </c>
      <c r="G296" s="96">
        <f t="shared" si="37"/>
        <v>1.0793407496593441</v>
      </c>
    </row>
    <row r="297" spans="1:7">
      <c r="A297" s="97">
        <f>2024</f>
        <v>2024</v>
      </c>
      <c r="B297" s="98" t="s">
        <v>55</v>
      </c>
      <c r="C297" s="99">
        <f t="shared" si="33"/>
        <v>424.29839672372901</v>
      </c>
      <c r="D297" s="100">
        <v>0.34000706545640469</v>
      </c>
      <c r="E297" s="100">
        <f t="shared" si="39"/>
        <v>4.706640003731577</v>
      </c>
      <c r="F297" s="101">
        <f t="shared" si="36"/>
        <v>4.706640003731577</v>
      </c>
      <c r="G297" s="96">
        <f t="shared" si="37"/>
        <v>1.0756833502664997</v>
      </c>
    </row>
    <row r="298" spans="1:7">
      <c r="A298" s="97">
        <f>2025</f>
        <v>2025</v>
      </c>
      <c r="B298" s="98" t="s">
        <v>56</v>
      </c>
      <c r="C298" s="99">
        <f t="shared" si="33"/>
        <v>424.76484429892406</v>
      </c>
      <c r="D298" s="100">
        <v>0.10993385287259017</v>
      </c>
      <c r="E298" s="100">
        <f t="shared" ref="E298:E303" si="40">100*((C298/$C$297)-1)</f>
        <v>0.10993385287259017</v>
      </c>
      <c r="F298" s="101">
        <f t="shared" si="36"/>
        <v>4.4978422057652123</v>
      </c>
      <c r="G298" s="96">
        <f t="shared" si="37"/>
        <v>1.0745021086992095</v>
      </c>
    </row>
    <row r="299" spans="1:7">
      <c r="A299" s="97">
        <f>2025</f>
        <v>2025</v>
      </c>
      <c r="B299" s="98" t="s">
        <v>57</v>
      </c>
      <c r="C299" s="99">
        <f t="shared" ref="C299:C304" si="41">+C298*(1+D299/100)</f>
        <v>429.98966687650017</v>
      </c>
      <c r="D299" s="100">
        <v>1.2300506145228818</v>
      </c>
      <c r="E299" s="100">
        <f t="shared" si="40"/>
        <v>1.3413367094283091</v>
      </c>
      <c r="F299" s="101">
        <f t="shared" ref="F299:F304" si="42">100*((C299/$C287)-1)</f>
        <v>4.9644788368884196</v>
      </c>
      <c r="G299" s="96">
        <f t="shared" si="37"/>
        <v>1.0614457882579156</v>
      </c>
    </row>
    <row r="300" spans="1:7">
      <c r="A300" s="97">
        <f>2025</f>
        <v>2025</v>
      </c>
      <c r="B300" s="98" t="s">
        <v>58</v>
      </c>
      <c r="C300" s="99">
        <f t="shared" si="41"/>
        <v>432.74140270245437</v>
      </c>
      <c r="D300" s="100">
        <v>0.63995394260125682</v>
      </c>
      <c r="E300" s="100">
        <f t="shared" si="40"/>
        <v>1.9898745891851144</v>
      </c>
      <c r="F300" s="101">
        <f t="shared" si="42"/>
        <v>5.2572255706895721</v>
      </c>
      <c r="G300" s="96">
        <f t="shared" si="37"/>
        <v>1.0546962182269062</v>
      </c>
    </row>
    <row r="301" spans="1:7">
      <c r="A301" s="97">
        <f>2025</f>
        <v>2025</v>
      </c>
      <c r="B301" s="98" t="s">
        <v>59</v>
      </c>
      <c r="C301" s="99">
        <f t="shared" si="41"/>
        <v>434.602315120095</v>
      </c>
      <c r="D301" s="100">
        <v>0.43002874372992661</v>
      </c>
      <c r="E301" s="100">
        <f t="shared" si="40"/>
        <v>2.4284603656127279</v>
      </c>
      <c r="F301" s="101">
        <f t="shared" si="42"/>
        <v>5.4883318928262703</v>
      </c>
      <c r="G301" s="96">
        <f t="shared" si="37"/>
        <v>1.0501801417564098</v>
      </c>
    </row>
    <row r="302" spans="1:7">
      <c r="A302" s="97">
        <f>2025</f>
        <v>2025</v>
      </c>
      <c r="B302" s="98" t="s">
        <v>60</v>
      </c>
      <c r="C302" s="99">
        <f t="shared" si="41"/>
        <v>436.16689613702346</v>
      </c>
      <c r="D302" s="100">
        <v>0.36000291818421015</v>
      </c>
      <c r="E302" s="100">
        <f t="shared" si="40"/>
        <v>2.7972058119800858</v>
      </c>
      <c r="F302" s="101">
        <f t="shared" si="42"/>
        <v>5.4043182089437813</v>
      </c>
      <c r="G302" s="96">
        <f t="shared" si="37"/>
        <v>1.0464130243325531</v>
      </c>
    </row>
    <row r="303" spans="1:7">
      <c r="A303" s="97">
        <f>2025</f>
        <v>2025</v>
      </c>
      <c r="B303" s="98" t="s">
        <v>61</v>
      </c>
      <c r="C303" s="99">
        <f t="shared" si="41"/>
        <v>437.30100396690921</v>
      </c>
      <c r="D303" s="100">
        <v>0.26001694303949829</v>
      </c>
      <c r="E303" s="100">
        <f t="shared" si="40"/>
        <v>3.0644959640624192</v>
      </c>
      <c r="F303" s="101">
        <f t="shared" si="42"/>
        <v>5.2678083920928431</v>
      </c>
      <c r="G303" s="96">
        <f t="shared" si="37"/>
        <v>1.0436992295014766</v>
      </c>
    </row>
    <row r="304" spans="1:7">
      <c r="A304" s="97">
        <f>2025</f>
        <v>2025</v>
      </c>
      <c r="B304" s="98" t="s">
        <v>62</v>
      </c>
      <c r="C304" s="99">
        <f t="shared" si="41"/>
        <v>438.7442476407478</v>
      </c>
      <c r="D304" s="100">
        <v>0.33003438381034034</v>
      </c>
      <c r="E304" s="100">
        <f t="shared" ref="E304" si="43">100*((C304/$C$297)-1)</f>
        <v>3.4046442382446251</v>
      </c>
      <c r="F304" s="101">
        <f t="shared" si="42"/>
        <v>5.2993186527587444</v>
      </c>
      <c r="G304" s="96">
        <f t="shared" si="37"/>
        <v>1.0402659940380645</v>
      </c>
    </row>
    <row r="305" spans="1:7">
      <c r="A305" s="97">
        <f>2025</f>
        <v>2025</v>
      </c>
      <c r="B305" s="98" t="s">
        <v>63</v>
      </c>
      <c r="C305" s="99">
        <f t="shared" ref="C305" si="44">+C304*(1+D305/100)</f>
        <v>438.13024410058921</v>
      </c>
      <c r="D305" s="100">
        <v>-0.1399456616150041</v>
      </c>
      <c r="E305" s="100">
        <f t="shared" ref="E305" si="45">100*((C305/$C$297)-1)</f>
        <v>3.2599339247247894</v>
      </c>
      <c r="F305" s="101">
        <f t="shared" ref="F305" si="46">100*((C305/$C293)-1)</f>
        <v>4.9526035200467389</v>
      </c>
      <c r="G305" s="96">
        <f t="shared" si="37"/>
        <v>1.0417238413600571</v>
      </c>
    </row>
    <row r="306" spans="1:7">
      <c r="A306" s="97">
        <f>2025</f>
        <v>2025</v>
      </c>
      <c r="B306" s="92" t="s">
        <v>64</v>
      </c>
      <c r="C306" s="93">
        <f t="shared" ref="C306" si="47">+C305*(1+D306/100)</f>
        <v>440.23322146901728</v>
      </c>
      <c r="D306" s="94">
        <v>0.47998908925932504</v>
      </c>
      <c r="E306" s="94">
        <f t="shared" ref="E306" si="48">100*((C306/$C$297)-1)</f>
        <v>3.7555703411398467</v>
      </c>
      <c r="F306" s="95">
        <f t="shared" ref="F306" si="49">100*((C306/$C294)-1)</f>
        <v>5.3194561951162678</v>
      </c>
      <c r="G306" s="96">
        <f t="shared" si="37"/>
        <v>1.0367475661593306</v>
      </c>
    </row>
    <row r="307" spans="1:7">
      <c r="A307" s="97">
        <f>2025</f>
        <v>2025</v>
      </c>
      <c r="B307" s="92" t="s">
        <v>65</v>
      </c>
      <c r="C307" s="93">
        <f t="shared" ref="C307:C308" si="50">+C306*(1+D307/100)</f>
        <v>441.02587747915248</v>
      </c>
      <c r="D307" s="94">
        <v>0.18005365598947609</v>
      </c>
      <c r="E307" s="94">
        <f t="shared" ref="E307:E308" si="51">100*((C307/$C$297)-1)</f>
        <v>3.9423860388318133</v>
      </c>
      <c r="F307" s="95">
        <f t="shared" ref="F307:F308" si="52">100*((C307/$C295)-1)</f>
        <v>4.9423859834426764</v>
      </c>
      <c r="G307" s="96">
        <f t="shared" si="37"/>
        <v>1.0348842192872458</v>
      </c>
    </row>
    <row r="308" spans="1:7">
      <c r="A308" s="97">
        <f>2025</f>
        <v>2025</v>
      </c>
      <c r="B308" s="98" t="s">
        <v>66</v>
      </c>
      <c r="C308" s="99">
        <f t="shared" si="50"/>
        <v>441.90816459197225</v>
      </c>
      <c r="D308" s="100">
        <v>0.20005336599810963</v>
      </c>
      <c r="E308" s="100">
        <f t="shared" si="51"/>
        <v>4.1503262808012309</v>
      </c>
      <c r="F308" s="101">
        <f t="shared" si="52"/>
        <v>4.5044447488518768</v>
      </c>
      <c r="G308" s="96">
        <f t="shared" si="37"/>
        <v>1.0328180320494953</v>
      </c>
    </row>
    <row r="309" spans="1:7">
      <c r="A309" s="97">
        <f>2025</f>
        <v>2025</v>
      </c>
      <c r="B309" s="98" t="s">
        <v>55</v>
      </c>
      <c r="C309" s="99">
        <f t="shared" ref="C309" si="53">+C308*(1+D309/100)</f>
        <v>443.01300512302225</v>
      </c>
      <c r="D309" s="100">
        <v>0.25001586745294624</v>
      </c>
      <c r="E309" s="100">
        <f t="shared" ref="E309" si="54">100*((C309/$C$297)-1)</f>
        <v>4.4107186225072592</v>
      </c>
      <c r="F309" s="101">
        <f t="shared" ref="F309" si="55">100*((C309/$C297)-1)</f>
        <v>4.4107186225072592</v>
      </c>
      <c r="G309" s="96">
        <f t="shared" si="37"/>
        <v>1.0302422629189916</v>
      </c>
    </row>
    <row r="310" spans="1:7">
      <c r="A310" s="91">
        <f>2026</f>
        <v>2026</v>
      </c>
      <c r="B310" s="92" t="s">
        <v>56</v>
      </c>
      <c r="C310" s="93">
        <f t="shared" ref="C310" si="56">+C309*(1+D310/100)</f>
        <v>443.89895064819649</v>
      </c>
      <c r="D310" s="94">
        <v>0.19998183234557487</v>
      </c>
      <c r="E310" s="94">
        <f>100*((C310/$C$309)-1)</f>
        <v>0.19998183234557487</v>
      </c>
      <c r="F310" s="95">
        <f t="shared" ref="F310" si="57">100*((C310/$C298)-1)</f>
        <v>4.5046351189570233</v>
      </c>
      <c r="G310" s="96">
        <f t="shared" si="37"/>
        <v>1.0281860775611626</v>
      </c>
    </row>
    <row r="311" spans="1:7">
      <c r="A311" s="91">
        <f>2026</f>
        <v>2026</v>
      </c>
      <c r="B311" s="92" t="s">
        <v>57</v>
      </c>
      <c r="C311" s="93">
        <f t="shared" ref="C311" si="58">+C310*(1+D311/100)</f>
        <v>447.62748257279429</v>
      </c>
      <c r="D311" s="94">
        <v>0.83995060568475832</v>
      </c>
      <c r="E311" s="94">
        <f>100*((C311/$C$309)-1)</f>
        <v>1.0416121866423822</v>
      </c>
      <c r="F311" s="95">
        <f t="shared" ref="F311" si="59">100*((C311/$C299)-1)</f>
        <v>4.1019161749670463</v>
      </c>
      <c r="G311" s="96">
        <f t="shared" si="37"/>
        <v>1.0196217584255736</v>
      </c>
    </row>
    <row r="312" spans="1:7">
      <c r="A312" s="91">
        <f>2026</f>
        <v>2026</v>
      </c>
      <c r="B312" s="92" t="s">
        <v>58</v>
      </c>
      <c r="C312" s="93">
        <f t="shared" ref="C312:C313" si="60">+C311*(1+D312/100)</f>
        <v>449.59692789028418</v>
      </c>
      <c r="D312" s="94">
        <v>0.43997417365222447</v>
      </c>
      <c r="E312" s="94">
        <f t="shared" ref="E312:E313" si="61">100*((C312/$C$309)-1)</f>
        <v>1.4861691849054504</v>
      </c>
      <c r="F312" s="95">
        <f t="shared" ref="F312:F313" si="62">100*((C312/$C300)-1)</f>
        <v>3.8950572056585475</v>
      </c>
      <c r="G312" s="96">
        <f t="shared" ref="G312:G314" si="63">+$C$314/C312</f>
        <v>1.0151553371197943</v>
      </c>
    </row>
    <row r="313" spans="1:7">
      <c r="A313" s="91">
        <f>2026</f>
        <v>2026</v>
      </c>
      <c r="B313" s="92" t="s">
        <v>59</v>
      </c>
      <c r="C313" s="93">
        <f t="shared" si="60"/>
        <v>453.59862127068232</v>
      </c>
      <c r="D313" s="94">
        <v>0.89006243863274381</v>
      </c>
      <c r="E313" s="94">
        <f t="shared" si="61"/>
        <v>2.3894594572275496</v>
      </c>
      <c r="F313" s="95">
        <f t="shared" si="62"/>
        <v>4.3709629446722964</v>
      </c>
      <c r="G313" s="96">
        <f t="shared" si="63"/>
        <v>1.0061995330186968</v>
      </c>
    </row>
    <row r="314" spans="1:7" ht="16.5" thickBot="1">
      <c r="A314" s="103">
        <f>2026</f>
        <v>2026</v>
      </c>
      <c r="B314" s="104" t="s">
        <v>60</v>
      </c>
      <c r="C314" s="105">
        <f t="shared" ref="C314" si="64">+C313*(1+D314/100)</f>
        <v>456.41072090048527</v>
      </c>
      <c r="D314" s="106">
        <v>0.61995330186968001</v>
      </c>
      <c r="E314" s="106">
        <f t="shared" ref="E314" si="65">100*((C314/$C$309)-1)</f>
        <v>3.0242262918991569</v>
      </c>
      <c r="F314" s="107">
        <f t="shared" ref="F314" si="66">100*((C314/$C302)-1)</f>
        <v>4.6413024332553121</v>
      </c>
      <c r="G314" s="108">
        <f t="shared" si="63"/>
        <v>1</v>
      </c>
    </row>
    <row r="315" spans="1:7" s="158" customFormat="1">
      <c r="A315" s="169" t="s">
        <v>104</v>
      </c>
      <c r="B315" s="170"/>
      <c r="C315" s="170"/>
      <c r="D315" s="170"/>
      <c r="E315" s="170"/>
      <c r="F315" s="170"/>
      <c r="G315" s="170"/>
    </row>
    <row r="316" spans="1:7">
      <c r="C316" s="171"/>
      <c r="D316" s="172"/>
      <c r="E316" s="171"/>
      <c r="F316" s="171"/>
      <c r="G316" s="173"/>
    </row>
    <row r="317" spans="1:7">
      <c r="A317" s="174" t="s">
        <v>88</v>
      </c>
      <c r="C317" s="171"/>
      <c r="D317" s="172"/>
      <c r="E317" s="171"/>
      <c r="F317" s="171"/>
      <c r="G317" s="173"/>
    </row>
    <row r="318" spans="1:7">
      <c r="A318" s="174" t="s">
        <v>105</v>
      </c>
      <c r="C318" s="171"/>
      <c r="D318" s="172"/>
      <c r="E318" s="171"/>
      <c r="F318" s="171"/>
      <c r="G318" s="173"/>
    </row>
    <row r="319" spans="1:7">
      <c r="A319" s="174" t="s">
        <v>90</v>
      </c>
      <c r="B319" s="139"/>
      <c r="C319" s="171"/>
      <c r="D319" s="172"/>
      <c r="E319" s="171"/>
      <c r="F319" s="171"/>
      <c r="G319" s="173"/>
    </row>
    <row r="320" spans="1:7">
      <c r="A320" s="175"/>
      <c r="B320" s="139"/>
      <c r="C320" s="171"/>
      <c r="D320" s="172"/>
      <c r="E320" s="171"/>
      <c r="F320" s="171"/>
      <c r="G320" s="173"/>
    </row>
    <row r="321" spans="1:7">
      <c r="A321" s="175" t="s">
        <v>106</v>
      </c>
      <c r="B321" s="139"/>
      <c r="C321" s="171"/>
      <c r="D321" s="172"/>
      <c r="E321" s="171"/>
      <c r="F321" s="171"/>
      <c r="G321" s="173"/>
    </row>
    <row r="322" spans="1:7">
      <c r="A322" s="176"/>
      <c r="B322" s="139"/>
      <c r="C322" s="171"/>
      <c r="D322" s="172"/>
      <c r="E322" s="171"/>
      <c r="F322" s="171"/>
      <c r="G322" s="173"/>
    </row>
    <row r="323" spans="1:7">
      <c r="A323" s="176"/>
      <c r="B323" s="139"/>
      <c r="C323" s="171"/>
      <c r="D323" s="172"/>
      <c r="E323" s="171"/>
      <c r="F323" s="171"/>
      <c r="G323" s="173"/>
    </row>
    <row r="324" spans="1:7">
      <c r="A324" s="176"/>
      <c r="B324" s="139"/>
      <c r="C324" s="171"/>
      <c r="D324" s="172"/>
      <c r="E324" s="171"/>
      <c r="F324" s="171"/>
      <c r="G324" s="173"/>
    </row>
    <row r="325" spans="1:7">
      <c r="A325" s="176"/>
      <c r="B325" s="139"/>
      <c r="C325" s="171"/>
      <c r="D325" s="172"/>
      <c r="E325" s="171"/>
      <c r="F325" s="171"/>
      <c r="G325" s="173"/>
    </row>
    <row r="326" spans="1:7">
      <c r="A326" s="176"/>
      <c r="B326" s="139"/>
      <c r="C326" s="171"/>
      <c r="D326" s="172"/>
      <c r="E326" s="171"/>
      <c r="F326" s="171"/>
      <c r="G326" s="173"/>
    </row>
    <row r="327" spans="1:7">
      <c r="A327" s="176"/>
      <c r="B327" s="139"/>
      <c r="C327" s="171"/>
      <c r="D327" s="172"/>
      <c r="E327" s="171"/>
      <c r="F327" s="171"/>
      <c r="G327" s="173"/>
    </row>
    <row r="328" spans="1:7">
      <c r="A328" s="176"/>
      <c r="B328" s="139"/>
      <c r="C328" s="171"/>
      <c r="D328" s="172"/>
      <c r="E328" s="171"/>
      <c r="F328" s="171"/>
      <c r="G328" s="173"/>
    </row>
    <row r="329" spans="1:7">
      <c r="A329" s="176"/>
      <c r="B329" s="139"/>
      <c r="C329" s="171"/>
      <c r="D329" s="172"/>
      <c r="E329" s="171"/>
      <c r="F329" s="171"/>
      <c r="G329" s="173"/>
    </row>
    <row r="330" spans="1:7">
      <c r="A330" s="176"/>
      <c r="B330" s="139"/>
      <c r="C330" s="171"/>
      <c r="D330" s="172"/>
      <c r="E330" s="171"/>
      <c r="F330" s="171"/>
      <c r="G330" s="173"/>
    </row>
    <row r="331" spans="1:7">
      <c r="A331" s="176"/>
      <c r="B331" s="139"/>
      <c r="C331" s="171"/>
      <c r="D331" s="172"/>
      <c r="E331" s="171"/>
      <c r="F331" s="171"/>
      <c r="G331" s="173"/>
    </row>
    <row r="332" spans="1:7">
      <c r="A332" s="176"/>
      <c r="B332" s="139"/>
      <c r="C332" s="171"/>
      <c r="D332" s="172"/>
      <c r="E332" s="171"/>
      <c r="F332" s="171"/>
      <c r="G332" s="173"/>
    </row>
    <row r="333" spans="1:7">
      <c r="A333" s="176"/>
      <c r="B333" s="139"/>
      <c r="C333" s="171"/>
      <c r="D333" s="172"/>
      <c r="E333" s="171"/>
      <c r="F333" s="171"/>
      <c r="G333" s="173"/>
    </row>
    <row r="334" spans="1:7">
      <c r="A334" s="176"/>
      <c r="B334" s="139"/>
      <c r="C334" s="171"/>
      <c r="D334" s="172"/>
      <c r="E334" s="171"/>
      <c r="F334" s="171"/>
      <c r="G334" s="173"/>
    </row>
    <row r="335" spans="1:7">
      <c r="A335" s="176"/>
      <c r="B335" s="139"/>
      <c r="C335" s="171"/>
      <c r="D335" s="172"/>
      <c r="E335" s="171"/>
      <c r="F335" s="171"/>
      <c r="G335" s="173"/>
    </row>
    <row r="336" spans="1:7">
      <c r="A336" s="176"/>
      <c r="B336" s="139"/>
      <c r="C336" s="171"/>
      <c r="D336" s="172"/>
      <c r="E336" s="171"/>
      <c r="F336" s="171"/>
      <c r="G336" s="173"/>
    </row>
    <row r="337" spans="1:7">
      <c r="A337" s="176"/>
      <c r="B337" s="139"/>
      <c r="C337" s="171"/>
      <c r="D337" s="172"/>
      <c r="E337" s="171"/>
      <c r="F337" s="171"/>
      <c r="G337" s="173"/>
    </row>
    <row r="338" spans="1:7">
      <c r="A338" s="176"/>
      <c r="B338" s="139"/>
      <c r="C338" s="171"/>
      <c r="D338" s="172"/>
      <c r="E338" s="171"/>
      <c r="F338" s="171"/>
      <c r="G338" s="173"/>
    </row>
    <row r="339" spans="1:7">
      <c r="A339" s="176"/>
      <c r="B339" s="139"/>
      <c r="C339" s="171"/>
      <c r="D339" s="172"/>
      <c r="E339" s="171"/>
      <c r="F339" s="171"/>
      <c r="G339" s="173"/>
    </row>
    <row r="340" spans="1:7">
      <c r="A340" s="176"/>
      <c r="B340" s="139"/>
      <c r="C340" s="171"/>
      <c r="D340" s="172"/>
      <c r="E340" s="171"/>
      <c r="F340" s="171"/>
      <c r="G340" s="173"/>
    </row>
    <row r="341" spans="1:7">
      <c r="A341" s="176"/>
      <c r="B341" s="139"/>
      <c r="C341" s="171"/>
      <c r="D341" s="172"/>
      <c r="E341" s="171"/>
      <c r="F341" s="171"/>
      <c r="G341" s="173"/>
    </row>
    <row r="342" spans="1:7">
      <c r="A342" s="176"/>
      <c r="B342" s="139"/>
      <c r="C342" s="171"/>
      <c r="D342" s="172"/>
      <c r="E342" s="171"/>
      <c r="F342" s="171"/>
      <c r="G342" s="173"/>
    </row>
    <row r="343" spans="1:7">
      <c r="A343" s="176"/>
      <c r="B343" s="139"/>
      <c r="C343" s="171"/>
      <c r="D343" s="172"/>
      <c r="E343" s="171"/>
      <c r="F343" s="171"/>
      <c r="G343" s="173"/>
    </row>
    <row r="344" spans="1:7">
      <c r="A344" s="176"/>
      <c r="B344" s="139"/>
      <c r="C344" s="171"/>
      <c r="D344" s="172"/>
      <c r="E344" s="171"/>
      <c r="F344" s="171"/>
      <c r="G344" s="173"/>
    </row>
    <row r="345" spans="1:7">
      <c r="A345" s="176"/>
      <c r="B345" s="139"/>
      <c r="C345" s="171"/>
      <c r="D345" s="172"/>
      <c r="E345" s="171"/>
      <c r="F345" s="171"/>
      <c r="G345" s="173"/>
    </row>
    <row r="346" spans="1:7">
      <c r="A346" s="176"/>
      <c r="B346" s="139"/>
      <c r="C346" s="171"/>
      <c r="D346" s="172"/>
      <c r="E346" s="171"/>
      <c r="F346" s="171"/>
      <c r="G346" s="173"/>
    </row>
    <row r="347" spans="1:7">
      <c r="A347" s="176"/>
      <c r="B347" s="139"/>
      <c r="C347" s="171"/>
      <c r="D347" s="172"/>
      <c r="E347" s="171"/>
      <c r="F347" s="171"/>
      <c r="G347" s="173"/>
    </row>
    <row r="348" spans="1:7">
      <c r="A348" s="176"/>
      <c r="B348" s="139"/>
      <c r="C348" s="171"/>
      <c r="D348" s="172"/>
      <c r="E348" s="171"/>
      <c r="F348" s="171"/>
      <c r="G348" s="173"/>
    </row>
    <row r="349" spans="1:7">
      <c r="A349" s="176"/>
      <c r="B349" s="139"/>
      <c r="C349" s="171"/>
      <c r="D349" s="172"/>
      <c r="E349" s="171"/>
      <c r="F349" s="171"/>
      <c r="G349" s="173"/>
    </row>
    <row r="350" spans="1:7">
      <c r="A350" s="176"/>
      <c r="B350" s="139"/>
      <c r="C350" s="171"/>
      <c r="D350" s="172"/>
      <c r="E350" s="171"/>
      <c r="F350" s="171"/>
      <c r="G350" s="173"/>
    </row>
    <row r="351" spans="1:7">
      <c r="A351" s="176"/>
      <c r="B351" s="139"/>
      <c r="C351" s="171"/>
      <c r="D351" s="172"/>
      <c r="E351" s="171"/>
      <c r="F351" s="171"/>
      <c r="G351" s="173"/>
    </row>
    <row r="352" spans="1:7">
      <c r="A352" s="176"/>
      <c r="B352" s="139"/>
      <c r="C352" s="171"/>
      <c r="D352" s="172"/>
      <c r="E352" s="171"/>
      <c r="F352" s="171"/>
      <c r="G352" s="173"/>
    </row>
    <row r="353" spans="1:7">
      <c r="A353" s="176"/>
      <c r="B353" s="139"/>
      <c r="C353" s="171"/>
      <c r="D353" s="172"/>
      <c r="E353" s="171"/>
      <c r="F353" s="171"/>
      <c r="G353" s="173"/>
    </row>
    <row r="354" spans="1:7">
      <c r="A354" s="176"/>
      <c r="B354" s="139"/>
      <c r="C354" s="171"/>
      <c r="D354" s="172"/>
      <c r="E354" s="171"/>
      <c r="F354" s="171"/>
      <c r="G354" s="173"/>
    </row>
    <row r="355" spans="1:7">
      <c r="A355" s="176"/>
      <c r="B355" s="139"/>
      <c r="C355" s="171"/>
      <c r="D355" s="172"/>
      <c r="E355" s="171"/>
      <c r="F355" s="171"/>
      <c r="G355" s="173"/>
    </row>
    <row r="356" spans="1:7">
      <c r="A356" s="176"/>
      <c r="B356" s="139"/>
      <c r="C356" s="171"/>
      <c r="D356" s="172"/>
      <c r="E356" s="171"/>
      <c r="F356" s="171"/>
      <c r="G356" s="173"/>
    </row>
    <row r="357" spans="1:7">
      <c r="A357" s="176"/>
      <c r="B357" s="139"/>
      <c r="C357" s="171"/>
      <c r="D357" s="172"/>
      <c r="E357" s="171"/>
      <c r="F357" s="171"/>
      <c r="G357" s="173"/>
    </row>
    <row r="358" spans="1:7">
      <c r="A358" s="176"/>
      <c r="B358" s="139"/>
      <c r="C358" s="171"/>
      <c r="D358" s="172"/>
      <c r="E358" s="171"/>
      <c r="F358" s="171"/>
      <c r="G358" s="173"/>
    </row>
    <row r="359" spans="1:7">
      <c r="A359" s="176"/>
      <c r="B359" s="139"/>
      <c r="C359" s="171"/>
      <c r="D359" s="172"/>
      <c r="E359" s="171"/>
      <c r="F359" s="171"/>
      <c r="G359" s="173"/>
    </row>
    <row r="360" spans="1:7">
      <c r="A360" s="176"/>
      <c r="B360" s="139"/>
      <c r="C360" s="171"/>
      <c r="D360" s="172"/>
      <c r="E360" s="171"/>
      <c r="F360" s="171"/>
      <c r="G360" s="173"/>
    </row>
    <row r="361" spans="1:7">
      <c r="A361" s="176"/>
      <c r="B361" s="139"/>
      <c r="C361" s="171"/>
      <c r="D361" s="172"/>
      <c r="E361" s="171"/>
      <c r="F361" s="171"/>
      <c r="G361" s="173"/>
    </row>
    <row r="362" spans="1:7">
      <c r="A362" s="176"/>
      <c r="B362" s="139"/>
      <c r="C362" s="171"/>
      <c r="D362" s="172"/>
      <c r="E362" s="171"/>
      <c r="F362" s="171"/>
      <c r="G362" s="173"/>
    </row>
    <row r="363" spans="1:7">
      <c r="A363" s="176"/>
      <c r="B363" s="139"/>
      <c r="C363" s="171"/>
      <c r="D363" s="172"/>
      <c r="E363" s="171"/>
      <c r="F363" s="171"/>
      <c r="G363" s="173"/>
    </row>
    <row r="364" spans="1:7">
      <c r="A364" s="176"/>
      <c r="B364" s="139"/>
      <c r="C364" s="171"/>
      <c r="D364" s="172"/>
      <c r="E364" s="171"/>
      <c r="F364" s="171"/>
      <c r="G364" s="173"/>
    </row>
    <row r="365" spans="1:7">
      <c r="A365" s="176"/>
      <c r="B365" s="139"/>
      <c r="C365" s="171"/>
      <c r="D365" s="172"/>
      <c r="E365" s="171"/>
      <c r="F365" s="171"/>
      <c r="G365" s="173"/>
    </row>
    <row r="366" spans="1:7">
      <c r="A366" s="176"/>
      <c r="B366" s="139"/>
      <c r="C366" s="171"/>
      <c r="D366" s="172"/>
      <c r="E366" s="171"/>
      <c r="F366" s="171"/>
      <c r="G366" s="173"/>
    </row>
    <row r="367" spans="1:7">
      <c r="A367" s="176"/>
      <c r="B367" s="139"/>
      <c r="C367" s="171"/>
      <c r="D367" s="172"/>
      <c r="E367" s="171"/>
      <c r="F367" s="171"/>
      <c r="G367" s="173"/>
    </row>
    <row r="368" spans="1:7">
      <c r="A368" s="176"/>
      <c r="B368" s="139"/>
      <c r="C368" s="171"/>
      <c r="D368" s="172"/>
      <c r="E368" s="171"/>
      <c r="F368" s="171"/>
      <c r="G368" s="173"/>
    </row>
    <row r="369" spans="1:7">
      <c r="A369" s="176"/>
      <c r="B369" s="139"/>
      <c r="C369" s="171"/>
      <c r="D369" s="172"/>
      <c r="E369" s="171"/>
      <c r="F369" s="171"/>
      <c r="G369" s="173"/>
    </row>
    <row r="370" spans="1:7">
      <c r="A370" s="176"/>
      <c r="B370" s="139"/>
      <c r="C370" s="171"/>
      <c r="D370" s="172"/>
      <c r="E370" s="171"/>
      <c r="F370" s="171"/>
      <c r="G370" s="173"/>
    </row>
    <row r="371" spans="1:7">
      <c r="A371" s="176"/>
      <c r="B371" s="139"/>
      <c r="C371" s="171"/>
      <c r="D371" s="172"/>
      <c r="E371" s="171"/>
      <c r="F371" s="171"/>
      <c r="G371" s="173"/>
    </row>
    <row r="372" spans="1:7">
      <c r="A372" s="176"/>
      <c r="B372" s="139"/>
      <c r="C372" s="171"/>
      <c r="D372" s="172"/>
      <c r="E372" s="171"/>
      <c r="F372" s="171"/>
      <c r="G372" s="173"/>
    </row>
    <row r="373" spans="1:7">
      <c r="A373" s="176"/>
      <c r="B373" s="139"/>
      <c r="C373" s="171"/>
      <c r="D373" s="172"/>
      <c r="E373" s="171"/>
      <c r="F373" s="171"/>
      <c r="G373" s="173"/>
    </row>
    <row r="374" spans="1:7">
      <c r="A374" s="176"/>
      <c r="B374" s="139"/>
      <c r="C374" s="171"/>
      <c r="D374" s="172"/>
      <c r="E374" s="171"/>
      <c r="F374" s="171"/>
      <c r="G374" s="173"/>
    </row>
    <row r="375" spans="1:7">
      <c r="A375" s="176"/>
      <c r="B375" s="139"/>
      <c r="C375" s="171"/>
      <c r="D375" s="172"/>
      <c r="E375" s="171"/>
      <c r="F375" s="171"/>
      <c r="G375" s="173"/>
    </row>
    <row r="376" spans="1:7">
      <c r="A376" s="176"/>
      <c r="B376" s="139"/>
      <c r="C376" s="171"/>
      <c r="D376" s="172"/>
      <c r="E376" s="171"/>
      <c r="F376" s="171"/>
      <c r="G376" s="173"/>
    </row>
    <row r="377" spans="1:7">
      <c r="A377" s="176"/>
      <c r="B377" s="139"/>
      <c r="C377" s="171"/>
      <c r="D377" s="172"/>
      <c r="E377" s="171"/>
      <c r="F377" s="171"/>
      <c r="G377" s="173"/>
    </row>
    <row r="378" spans="1:7">
      <c r="A378" s="176"/>
      <c r="B378" s="139"/>
      <c r="C378" s="171"/>
      <c r="D378" s="172"/>
      <c r="E378" s="171"/>
      <c r="F378" s="171"/>
      <c r="G378" s="173"/>
    </row>
    <row r="379" spans="1:7">
      <c r="A379" s="176"/>
      <c r="B379" s="139"/>
      <c r="C379" s="171"/>
      <c r="D379" s="172"/>
      <c r="E379" s="171"/>
      <c r="F379" s="171"/>
      <c r="G379" s="173"/>
    </row>
    <row r="380" spans="1:7">
      <c r="A380" s="176"/>
      <c r="B380" s="139"/>
      <c r="C380" s="171"/>
      <c r="D380" s="172"/>
      <c r="E380" s="171"/>
      <c r="F380" s="171"/>
      <c r="G380" s="173"/>
    </row>
    <row r="381" spans="1:7">
      <c r="A381" s="176"/>
      <c r="B381" s="139"/>
      <c r="C381" s="171"/>
      <c r="D381" s="172"/>
      <c r="E381" s="171"/>
      <c r="F381" s="171"/>
      <c r="G381" s="173"/>
    </row>
    <row r="382" spans="1:7">
      <c r="A382" s="176"/>
      <c r="B382" s="139"/>
      <c r="C382" s="171"/>
      <c r="D382" s="172"/>
      <c r="E382" s="171"/>
      <c r="F382" s="171"/>
      <c r="G382" s="173"/>
    </row>
    <row r="383" spans="1:7">
      <c r="A383" s="176"/>
      <c r="B383" s="139"/>
      <c r="C383" s="171"/>
      <c r="D383" s="172"/>
      <c r="E383" s="171"/>
      <c r="F383" s="171"/>
      <c r="G383" s="173"/>
    </row>
    <row r="384" spans="1:7">
      <c r="A384" s="176"/>
      <c r="B384" s="139"/>
      <c r="C384" s="171"/>
      <c r="D384" s="172"/>
      <c r="E384" s="171"/>
      <c r="F384" s="171"/>
      <c r="G384" s="173"/>
    </row>
    <row r="385" spans="1:7">
      <c r="A385" s="176"/>
      <c r="B385" s="139"/>
      <c r="C385" s="171"/>
      <c r="D385" s="172"/>
      <c r="E385" s="171"/>
      <c r="F385" s="171"/>
      <c r="G385" s="173"/>
    </row>
    <row r="386" spans="1:7">
      <c r="A386" s="176"/>
      <c r="B386" s="139"/>
      <c r="C386" s="171"/>
      <c r="D386" s="172"/>
      <c r="E386" s="171"/>
      <c r="F386" s="171"/>
      <c r="G386" s="173"/>
    </row>
    <row r="387" spans="1:7">
      <c r="A387" s="176"/>
      <c r="B387" s="139"/>
      <c r="C387" s="171"/>
      <c r="D387" s="172"/>
      <c r="E387" s="171"/>
      <c r="F387" s="171"/>
      <c r="G387" s="173"/>
    </row>
    <row r="388" spans="1:7">
      <c r="A388" s="176"/>
      <c r="B388" s="139"/>
      <c r="C388" s="171"/>
      <c r="D388" s="172"/>
      <c r="E388" s="171"/>
      <c r="F388" s="171"/>
      <c r="G388" s="173"/>
    </row>
    <row r="389" spans="1:7">
      <c r="A389" s="176"/>
      <c r="B389" s="139"/>
      <c r="C389" s="171"/>
      <c r="D389" s="172"/>
      <c r="E389" s="171"/>
      <c r="F389" s="171"/>
      <c r="G389" s="173"/>
    </row>
    <row r="390" spans="1:7">
      <c r="A390" s="176"/>
      <c r="B390" s="139"/>
      <c r="C390" s="171"/>
      <c r="D390" s="172"/>
      <c r="E390" s="171"/>
      <c r="F390" s="171"/>
      <c r="G390" s="173"/>
    </row>
    <row r="391" spans="1:7">
      <c r="A391" s="176"/>
      <c r="B391" s="139"/>
      <c r="C391" s="171"/>
      <c r="D391" s="172"/>
      <c r="E391" s="171"/>
      <c r="F391" s="171"/>
      <c r="G391" s="173"/>
    </row>
    <row r="392" spans="1:7">
      <c r="A392" s="176"/>
      <c r="B392" s="139"/>
      <c r="C392" s="171"/>
      <c r="D392" s="172"/>
      <c r="E392" s="171"/>
      <c r="F392" s="171"/>
      <c r="G392" s="173"/>
    </row>
    <row r="393" spans="1:7">
      <c r="A393" s="176"/>
      <c r="B393" s="139"/>
      <c r="C393" s="171"/>
      <c r="D393" s="172"/>
      <c r="E393" s="171"/>
      <c r="F393" s="171"/>
      <c r="G393" s="173"/>
    </row>
    <row r="394" spans="1:7">
      <c r="A394" s="176"/>
      <c r="B394" s="139"/>
      <c r="C394" s="171"/>
      <c r="D394" s="172"/>
      <c r="E394" s="171"/>
      <c r="F394" s="171"/>
      <c r="G394" s="173"/>
    </row>
    <row r="395" spans="1:7">
      <c r="A395" s="176"/>
      <c r="B395" s="139"/>
      <c r="C395" s="171"/>
      <c r="D395" s="172"/>
      <c r="E395" s="171"/>
      <c r="F395" s="171"/>
      <c r="G395" s="173"/>
    </row>
    <row r="396" spans="1:7">
      <c r="A396" s="176"/>
      <c r="B396" s="139"/>
      <c r="C396" s="171"/>
      <c r="D396" s="172"/>
      <c r="E396" s="171"/>
      <c r="F396" s="171"/>
      <c r="G396" s="173"/>
    </row>
    <row r="397" spans="1:7">
      <c r="G397" s="177"/>
    </row>
    <row r="398" spans="1:7">
      <c r="A398" s="111"/>
      <c r="F398" s="161"/>
      <c r="G398" s="163"/>
    </row>
    <row r="399" spans="1:7">
      <c r="A399" s="111"/>
      <c r="D399" s="161"/>
      <c r="E399" s="161"/>
      <c r="F399" s="161"/>
      <c r="G399" s="163"/>
    </row>
    <row r="400" spans="1:7">
      <c r="A400" s="111"/>
      <c r="D400" s="161"/>
      <c r="E400" s="161"/>
      <c r="F400" s="161"/>
      <c r="G400" s="163"/>
    </row>
    <row r="401" spans="1:7">
      <c r="D401" s="161"/>
      <c r="E401" s="161"/>
      <c r="F401" s="161"/>
      <c r="G401" s="163"/>
    </row>
    <row r="402" spans="1:7">
      <c r="A402" s="111"/>
      <c r="D402" s="161"/>
      <c r="E402" s="161"/>
      <c r="F402" s="161"/>
      <c r="G402" s="163"/>
    </row>
    <row r="403" spans="1:7">
      <c r="A403" s="111"/>
      <c r="D403" s="161"/>
      <c r="E403" s="161"/>
      <c r="F403" s="161"/>
    </row>
    <row r="404" spans="1:7">
      <c r="A404" s="111"/>
      <c r="D404" s="161"/>
      <c r="E404" s="161"/>
      <c r="F404" s="161"/>
    </row>
  </sheetData>
  <mergeCells count="6"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A3E45-C1DE-4801-B6B1-C89D9F840AE6}">
  <sheetPr>
    <tabColor rgb="FF92D050"/>
  </sheetPr>
  <dimension ref="A1:H404"/>
  <sheetViews>
    <sheetView showGridLines="0" topLeftCell="A213" workbookViewId="0">
      <pane ySplit="2610" topLeftCell="A390" activePane="bottomLeft"/>
      <selection pane="bottomLeft" activeCell="C396" sqref="C396"/>
      <selection activeCell="G5" sqref="G5:G6"/>
    </sheetView>
  </sheetViews>
  <sheetFormatPr defaultColWidth="12.42578125" defaultRowHeight="15.7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6384" width="12.42578125" style="55"/>
  </cols>
  <sheetData>
    <row r="1" spans="1:7" ht="21" customHeight="1">
      <c r="A1" s="706" t="s">
        <v>107</v>
      </c>
      <c r="B1" s="706"/>
      <c r="C1" s="706"/>
      <c r="D1" s="706"/>
      <c r="E1" s="706"/>
      <c r="F1" s="706"/>
      <c r="G1" s="706"/>
    </row>
    <row r="2" spans="1:7" ht="15.75" customHeight="1">
      <c r="A2" s="706"/>
      <c r="B2" s="706"/>
      <c r="C2" s="706"/>
      <c r="D2" s="706"/>
      <c r="E2" s="706"/>
      <c r="F2" s="706"/>
      <c r="G2" s="706"/>
    </row>
    <row r="3" spans="1:7" ht="15" customHeight="1" thickBot="1">
      <c r="A3" s="707"/>
      <c r="B3" s="707"/>
      <c r="C3" s="707"/>
      <c r="D3" s="707"/>
      <c r="E3" s="707"/>
      <c r="F3" s="707"/>
      <c r="G3" s="707"/>
    </row>
    <row r="4" spans="1:7" ht="17.25" customHeight="1" thickBot="1">
      <c r="A4" s="708" t="s">
        <v>108</v>
      </c>
      <c r="B4" s="709"/>
      <c r="C4" s="710"/>
      <c r="D4" s="711" t="s">
        <v>95</v>
      </c>
      <c r="E4" s="712"/>
      <c r="F4" s="712"/>
      <c r="G4" s="735"/>
    </row>
    <row r="5" spans="1:7" ht="15" customHeight="1" thickBot="1">
      <c r="A5" s="713" t="s">
        <v>46</v>
      </c>
      <c r="B5" s="714"/>
      <c r="C5" s="715"/>
      <c r="D5" s="716" t="s">
        <v>47</v>
      </c>
      <c r="E5" s="717"/>
      <c r="F5" s="718"/>
      <c r="G5" s="736" t="s">
        <v>96</v>
      </c>
    </row>
    <row r="6" spans="1:7" ht="15.75" customHeight="1" thickBot="1">
      <c r="A6" s="65" t="s">
        <v>49</v>
      </c>
      <c r="B6" s="66" t="s">
        <v>50</v>
      </c>
      <c r="C6" s="66" t="s">
        <v>51</v>
      </c>
      <c r="D6" s="66" t="s">
        <v>52</v>
      </c>
      <c r="E6" s="66" t="s">
        <v>53</v>
      </c>
      <c r="F6" s="66" t="s">
        <v>54</v>
      </c>
      <c r="G6" s="737"/>
    </row>
    <row r="7" spans="1:7" ht="16.5" hidden="1" thickBot="1">
      <c r="A7" s="67">
        <v>1993</v>
      </c>
      <c r="B7" s="68" t="s">
        <v>55</v>
      </c>
      <c r="C7" s="69">
        <v>100</v>
      </c>
      <c r="D7" s="69"/>
      <c r="E7" s="146"/>
      <c r="F7" s="147"/>
      <c r="G7" s="178">
        <f t="shared" ref="G7:G70" si="0">$C$396/C7</f>
        <v>78.249899999999798</v>
      </c>
    </row>
    <row r="8" spans="1:7" ht="16.5" hidden="1" thickBot="1">
      <c r="A8" s="73">
        <v>1994</v>
      </c>
      <c r="B8" s="74" t="s">
        <v>56</v>
      </c>
      <c r="C8" s="75">
        <f t="shared" ref="C8:C71" si="1">+C7*(1+D8/100)</f>
        <v>141.32</v>
      </c>
      <c r="D8" s="179">
        <v>41.32</v>
      </c>
      <c r="E8" s="79"/>
      <c r="F8" s="148"/>
      <c r="G8" s="78">
        <f t="shared" si="0"/>
        <v>55.370718935748513</v>
      </c>
    </row>
    <row r="9" spans="1:7" ht="16.5" hidden="1" thickBot="1">
      <c r="A9" s="73">
        <v>1994</v>
      </c>
      <c r="B9" s="74" t="s">
        <v>57</v>
      </c>
      <c r="C9" s="75">
        <f t="shared" si="1"/>
        <v>198.65</v>
      </c>
      <c r="D9" s="179">
        <v>40.567506368525351</v>
      </c>
      <c r="E9" s="79"/>
      <c r="F9" s="148"/>
      <c r="G9" s="78">
        <f t="shared" si="0"/>
        <v>39.390838157563451</v>
      </c>
    </row>
    <row r="10" spans="1:7" ht="16.5" hidden="1" thickBot="1">
      <c r="A10" s="73">
        <v>1994</v>
      </c>
      <c r="B10" s="74" t="s">
        <v>58</v>
      </c>
      <c r="C10" s="75">
        <f t="shared" si="1"/>
        <v>284.23</v>
      </c>
      <c r="D10" s="179">
        <v>43.08079536873899</v>
      </c>
      <c r="E10" s="79"/>
      <c r="F10" s="148"/>
      <c r="G10" s="78">
        <f t="shared" si="0"/>
        <v>27.530485874115961</v>
      </c>
    </row>
    <row r="11" spans="1:7" ht="16.5" hidden="1" thickBot="1">
      <c r="A11" s="73">
        <v>1994</v>
      </c>
      <c r="B11" s="74" t="s">
        <v>59</v>
      </c>
      <c r="C11" s="75">
        <f t="shared" si="1"/>
        <v>406.05</v>
      </c>
      <c r="D11" s="179">
        <v>42.859655912465257</v>
      </c>
      <c r="E11" s="79"/>
      <c r="F11" s="148"/>
      <c r="G11" s="78">
        <f t="shared" si="0"/>
        <v>19.271001108237851</v>
      </c>
    </row>
    <row r="12" spans="1:7" ht="16.5" hidden="1" thickBot="1">
      <c r="A12" s="73">
        <v>1994</v>
      </c>
      <c r="B12" s="74" t="s">
        <v>60</v>
      </c>
      <c r="C12" s="75">
        <f t="shared" si="1"/>
        <v>579.55999999999995</v>
      </c>
      <c r="D12" s="179">
        <v>42.731190740056626</v>
      </c>
      <c r="E12" s="79"/>
      <c r="F12" s="148"/>
      <c r="G12" s="78">
        <f t="shared" si="0"/>
        <v>13.501604665608358</v>
      </c>
    </row>
    <row r="13" spans="1:7" ht="16.5" hidden="1" thickBot="1">
      <c r="A13" s="73">
        <v>1994</v>
      </c>
      <c r="B13" s="74" t="s">
        <v>61</v>
      </c>
      <c r="C13" s="75">
        <f t="shared" si="1"/>
        <v>859.14</v>
      </c>
      <c r="D13" s="179">
        <v>48.24004417144041</v>
      </c>
      <c r="E13" s="79"/>
      <c r="F13" s="148"/>
      <c r="G13" s="78">
        <f t="shared" si="0"/>
        <v>9.1079335149102363</v>
      </c>
    </row>
    <row r="14" spans="1:7" ht="16.5" hidden="1" thickBot="1">
      <c r="A14" s="73">
        <v>1994</v>
      </c>
      <c r="B14" s="74" t="s">
        <v>62</v>
      </c>
      <c r="C14" s="75">
        <f t="shared" si="1"/>
        <v>925.72</v>
      </c>
      <c r="D14" s="179">
        <v>7.749610075191482</v>
      </c>
      <c r="E14" s="79"/>
      <c r="F14" s="148"/>
      <c r="G14" s="78">
        <f t="shared" si="0"/>
        <v>8.4528691180918418</v>
      </c>
    </row>
    <row r="15" spans="1:7" ht="16.5" hidden="1" thickBot="1">
      <c r="A15" s="73">
        <v>1994</v>
      </c>
      <c r="B15" s="74" t="s">
        <v>63</v>
      </c>
      <c r="C15" s="75">
        <f t="shared" si="1"/>
        <v>942.84999999999991</v>
      </c>
      <c r="D15" s="179">
        <v>1.8504515404225819</v>
      </c>
      <c r="E15" s="79"/>
      <c r="F15" s="148"/>
      <c r="G15" s="78">
        <f t="shared" si="0"/>
        <v>8.2992946916264305</v>
      </c>
    </row>
    <row r="16" spans="1:7" ht="16.5" hidden="1" thickBot="1">
      <c r="A16" s="73">
        <v>1994</v>
      </c>
      <c r="B16" s="74" t="s">
        <v>64</v>
      </c>
      <c r="C16" s="75">
        <f t="shared" si="1"/>
        <v>956.04999999999984</v>
      </c>
      <c r="D16" s="179">
        <v>1.4000106061409445</v>
      </c>
      <c r="E16" s="79"/>
      <c r="F16" s="148"/>
      <c r="G16" s="78">
        <f t="shared" si="0"/>
        <v>8.1847079127660489</v>
      </c>
    </row>
    <row r="17" spans="1:7" ht="16.5" hidden="1" thickBot="1">
      <c r="A17" s="73">
        <v>1994</v>
      </c>
      <c r="B17" s="74" t="s">
        <v>65</v>
      </c>
      <c r="C17" s="75">
        <f t="shared" si="1"/>
        <v>983.01</v>
      </c>
      <c r="D17" s="179">
        <v>2.8199361958056723</v>
      </c>
      <c r="E17" s="79"/>
      <c r="F17" s="148"/>
      <c r="G17" s="78">
        <f t="shared" si="0"/>
        <v>7.9602343821527555</v>
      </c>
    </row>
    <row r="18" spans="1:7" ht="16.5" hidden="1" thickBot="1">
      <c r="A18" s="73">
        <v>1994</v>
      </c>
      <c r="B18" s="74" t="s">
        <v>66</v>
      </c>
      <c r="C18" s="75">
        <f t="shared" si="1"/>
        <v>1012.11</v>
      </c>
      <c r="D18" s="179">
        <v>2.9602954191717323</v>
      </c>
      <c r="E18" s="79"/>
      <c r="F18" s="148"/>
      <c r="G18" s="78">
        <f t="shared" si="0"/>
        <v>7.7313631917479126</v>
      </c>
    </row>
    <row r="19" spans="1:7" ht="16.5" hidden="1" thickBot="1">
      <c r="A19" s="73">
        <v>1994</v>
      </c>
      <c r="B19" s="74" t="s">
        <v>55</v>
      </c>
      <c r="C19" s="75">
        <f t="shared" si="1"/>
        <v>1029.32</v>
      </c>
      <c r="D19" s="179">
        <v>1.7004080584126058</v>
      </c>
      <c r="E19" s="75">
        <v>929.32</v>
      </c>
      <c r="F19" s="149">
        <v>929.32</v>
      </c>
      <c r="G19" s="78">
        <f t="shared" si="0"/>
        <v>7.6020965297477758</v>
      </c>
    </row>
    <row r="20" spans="1:7" ht="16.5" hidden="1" thickBot="1">
      <c r="A20" s="73">
        <v>1995</v>
      </c>
      <c r="B20" s="74" t="s">
        <v>56</v>
      </c>
      <c r="C20" s="75">
        <f t="shared" si="1"/>
        <v>1044.1400000000001</v>
      </c>
      <c r="D20" s="179">
        <v>1.4397854894493634</v>
      </c>
      <c r="E20" s="75">
        <f>100*((C20/1029.32)-1)</f>
        <v>1.4397854894493634</v>
      </c>
      <c r="F20" s="149">
        <f t="shared" ref="F20:F83" si="2">100*((C20/C8)-1)</f>
        <v>638.84800452872923</v>
      </c>
      <c r="G20" s="78">
        <f t="shared" si="0"/>
        <v>7.4941961805887898</v>
      </c>
    </row>
    <row r="21" spans="1:7" ht="16.5" hidden="1" thickBot="1">
      <c r="A21" s="73">
        <v>1995</v>
      </c>
      <c r="B21" s="74" t="s">
        <v>57</v>
      </c>
      <c r="C21" s="75">
        <f t="shared" si="1"/>
        <v>1054.69</v>
      </c>
      <c r="D21" s="179">
        <v>1.0104009040933226</v>
      </c>
      <c r="E21" s="75">
        <f t="shared" ref="E21:E30" si="3">100*((C21/1029.32)-1)</f>
        <v>2.4647339991450856</v>
      </c>
      <c r="F21" s="149">
        <f t="shared" si="2"/>
        <v>430.92876919204633</v>
      </c>
      <c r="G21" s="78">
        <f t="shared" si="0"/>
        <v>7.4192321914496011</v>
      </c>
    </row>
    <row r="22" spans="1:7" ht="16.5" hidden="1" thickBot="1">
      <c r="A22" s="73">
        <v>1995</v>
      </c>
      <c r="B22" s="74" t="s">
        <v>58</v>
      </c>
      <c r="C22" s="75">
        <f t="shared" si="1"/>
        <v>1071.78</v>
      </c>
      <c r="D22" s="179">
        <v>1.6203813442812409</v>
      </c>
      <c r="E22" s="75">
        <f t="shared" si="3"/>
        <v>4.1250534333346245</v>
      </c>
      <c r="F22" s="149">
        <f t="shared" si="2"/>
        <v>277.08194068184213</v>
      </c>
      <c r="G22" s="78">
        <f t="shared" si="0"/>
        <v>7.3009292951911586</v>
      </c>
    </row>
    <row r="23" spans="1:7" ht="16.5" hidden="1" thickBot="1">
      <c r="A23" s="73">
        <v>1995</v>
      </c>
      <c r="B23" s="74" t="s">
        <v>59</v>
      </c>
      <c r="C23" s="75">
        <f t="shared" si="1"/>
        <v>1098.47</v>
      </c>
      <c r="D23" s="179">
        <v>2.4902498647110471</v>
      </c>
      <c r="E23" s="75">
        <f t="shared" si="3"/>
        <v>6.7180274355885583</v>
      </c>
      <c r="F23" s="149">
        <f t="shared" si="2"/>
        <v>170.52579731560152</v>
      </c>
      <c r="G23" s="78">
        <f t="shared" si="0"/>
        <v>7.1235354629621011</v>
      </c>
    </row>
    <row r="24" spans="1:7" ht="16.5" hidden="1" thickBot="1">
      <c r="A24" s="73">
        <v>1995</v>
      </c>
      <c r="B24" s="74" t="s">
        <v>60</v>
      </c>
      <c r="C24" s="75">
        <f t="shared" si="1"/>
        <v>1121.54</v>
      </c>
      <c r="D24" s="179">
        <v>2.1001939060693475</v>
      </c>
      <c r="E24" s="75">
        <f t="shared" si="3"/>
        <v>8.9593129444681896</v>
      </c>
      <c r="F24" s="149">
        <f t="shared" si="2"/>
        <v>93.515770584581432</v>
      </c>
      <c r="G24" s="78">
        <f t="shared" si="0"/>
        <v>6.9770048326408149</v>
      </c>
    </row>
    <row r="25" spans="1:7" ht="16.5" hidden="1" thickBot="1">
      <c r="A25" s="73">
        <v>1995</v>
      </c>
      <c r="B25" s="74" t="s">
        <v>61</v>
      </c>
      <c r="C25" s="75">
        <f t="shared" si="1"/>
        <v>1145.99</v>
      </c>
      <c r="D25" s="179">
        <v>2.1800381618132247</v>
      </c>
      <c r="E25" s="75">
        <f t="shared" si="3"/>
        <v>11.334667547507093</v>
      </c>
      <c r="F25" s="149">
        <f t="shared" si="2"/>
        <v>33.38803920199269</v>
      </c>
      <c r="G25" s="78">
        <f t="shared" si="0"/>
        <v>6.8281485876839936</v>
      </c>
    </row>
    <row r="26" spans="1:7" ht="16.5" hidden="1" thickBot="1">
      <c r="A26" s="73">
        <v>1995</v>
      </c>
      <c r="B26" s="74" t="s">
        <v>62</v>
      </c>
      <c r="C26" s="75">
        <f t="shared" si="1"/>
        <v>1174.18</v>
      </c>
      <c r="D26" s="179">
        <v>2.4598818488817509</v>
      </c>
      <c r="E26" s="75">
        <f t="shared" si="3"/>
        <v>14.073368826021081</v>
      </c>
      <c r="F26" s="149">
        <f t="shared" si="2"/>
        <v>26.83964913796828</v>
      </c>
      <c r="G26" s="78">
        <f t="shared" si="0"/>
        <v>6.6642167299732407</v>
      </c>
    </row>
    <row r="27" spans="1:7" ht="16.5" hidden="1" thickBot="1">
      <c r="A27" s="73">
        <v>1995</v>
      </c>
      <c r="B27" s="74" t="s">
        <v>63</v>
      </c>
      <c r="C27" s="75">
        <f t="shared" si="1"/>
        <v>1186.1599999999999</v>
      </c>
      <c r="D27" s="179">
        <v>1.0202864978112292</v>
      </c>
      <c r="E27" s="75">
        <f t="shared" si="3"/>
        <v>15.237244005751371</v>
      </c>
      <c r="F27" s="149">
        <f t="shared" si="2"/>
        <v>25.805801559102726</v>
      </c>
      <c r="G27" s="78">
        <f t="shared" si="0"/>
        <v>6.5969093545558612</v>
      </c>
    </row>
    <row r="28" spans="1:7" ht="16.5" hidden="1" thickBot="1">
      <c r="A28" s="73">
        <v>1995</v>
      </c>
      <c r="B28" s="74" t="s">
        <v>64</v>
      </c>
      <c r="C28" s="75">
        <f t="shared" si="1"/>
        <v>1200.0399999999997</v>
      </c>
      <c r="D28" s="179">
        <v>1.1701625413097716</v>
      </c>
      <c r="E28" s="75">
        <f t="shared" si="3"/>
        <v>16.585707068744405</v>
      </c>
      <c r="F28" s="149">
        <f t="shared" si="2"/>
        <v>25.520631766121006</v>
      </c>
      <c r="G28" s="78">
        <f t="shared" si="0"/>
        <v>6.5206076464117713</v>
      </c>
    </row>
    <row r="29" spans="1:7" ht="16.5" hidden="1" thickBot="1">
      <c r="A29" s="73">
        <v>1995</v>
      </c>
      <c r="B29" s="74" t="s">
        <v>65</v>
      </c>
      <c r="C29" s="75">
        <f t="shared" si="1"/>
        <v>1216.8399999999997</v>
      </c>
      <c r="D29" s="179">
        <v>1.399953334888826</v>
      </c>
      <c r="E29" s="75">
        <f t="shared" si="3"/>
        <v>18.217852562857018</v>
      </c>
      <c r="F29" s="149">
        <f t="shared" si="2"/>
        <v>23.787143569241387</v>
      </c>
      <c r="G29" s="78">
        <f t="shared" si="0"/>
        <v>6.4305824923572379</v>
      </c>
    </row>
    <row r="30" spans="1:7" ht="16.5" hidden="1" thickBot="1">
      <c r="A30" s="73">
        <v>1995</v>
      </c>
      <c r="B30" s="74" t="s">
        <v>66</v>
      </c>
      <c r="C30" s="75">
        <f t="shared" si="1"/>
        <v>1235.2099999999998</v>
      </c>
      <c r="D30" s="179">
        <v>1.5096479405673824</v>
      </c>
      <c r="E30" s="75">
        <f t="shared" si="3"/>
        <v>20.002525939455175</v>
      </c>
      <c r="F30" s="149">
        <f t="shared" si="2"/>
        <v>22.043058560828356</v>
      </c>
      <c r="G30" s="78">
        <f t="shared" si="0"/>
        <v>6.3349470940163863</v>
      </c>
    </row>
    <row r="31" spans="1:7" ht="16.5" hidden="1" thickBot="1">
      <c r="A31" s="73">
        <v>1995</v>
      </c>
      <c r="B31" s="74" t="s">
        <v>55</v>
      </c>
      <c r="C31" s="75">
        <f t="shared" si="1"/>
        <v>1255.5899999999997</v>
      </c>
      <c r="D31" s="179">
        <v>1.6499218756324652</v>
      </c>
      <c r="E31" s="75">
        <f>100*((C31/1029.32)-1)</f>
        <v>21.982473866241769</v>
      </c>
      <c r="F31" s="149">
        <f t="shared" si="2"/>
        <v>21.982473866241769</v>
      </c>
      <c r="G31" s="78">
        <f t="shared" si="0"/>
        <v>6.2321219506367376</v>
      </c>
    </row>
    <row r="32" spans="1:7" ht="16.5" hidden="1" thickBot="1">
      <c r="A32" s="73">
        <v>1996</v>
      </c>
      <c r="B32" s="74" t="s">
        <v>56</v>
      </c>
      <c r="C32" s="75">
        <f t="shared" si="1"/>
        <v>1273.9199999999998</v>
      </c>
      <c r="D32" s="179">
        <v>1.4598714548539116</v>
      </c>
      <c r="E32" s="75">
        <f>100*((C32/C31)-1)</f>
        <v>1.4598714548539116</v>
      </c>
      <c r="F32" s="149">
        <f t="shared" si="2"/>
        <v>22.006627463750039</v>
      </c>
      <c r="G32" s="78">
        <f t="shared" si="0"/>
        <v>6.1424500753579352</v>
      </c>
    </row>
    <row r="33" spans="1:7" ht="16.5" hidden="1" thickBot="1">
      <c r="A33" s="73">
        <v>1996</v>
      </c>
      <c r="B33" s="74" t="s">
        <v>57</v>
      </c>
      <c r="C33" s="75">
        <f t="shared" si="1"/>
        <v>1282.9599999999996</v>
      </c>
      <c r="D33" s="179">
        <v>0.70962069831699282</v>
      </c>
      <c r="E33" s="75">
        <f>100*((C33/1255.58)-1)</f>
        <v>2.1806655091670457</v>
      </c>
      <c r="F33" s="149">
        <f t="shared" si="2"/>
        <v>21.643326475077941</v>
      </c>
      <c r="G33" s="78">
        <f t="shared" si="0"/>
        <v>6.0991691089355724</v>
      </c>
    </row>
    <row r="34" spans="1:7" ht="16.5" hidden="1" thickBot="1">
      <c r="A34" s="73">
        <v>1996</v>
      </c>
      <c r="B34" s="74" t="s">
        <v>58</v>
      </c>
      <c r="C34" s="75">
        <f t="shared" si="1"/>
        <v>1286.6799999999996</v>
      </c>
      <c r="D34" s="179">
        <v>0.28995448026438719</v>
      </c>
      <c r="E34" s="75">
        <f t="shared" ref="E34:E43" si="4">100*((C34/1255.58)-1)</f>
        <v>2.47694292677485</v>
      </c>
      <c r="F34" s="149">
        <f t="shared" si="2"/>
        <v>20.050756685140581</v>
      </c>
      <c r="G34" s="78">
        <f t="shared" si="0"/>
        <v>6.0815354245033593</v>
      </c>
    </row>
    <row r="35" spans="1:7" ht="16.5" hidden="1" thickBot="1">
      <c r="A35" s="73">
        <v>1996</v>
      </c>
      <c r="B35" s="74" t="s">
        <v>59</v>
      </c>
      <c r="C35" s="75">
        <f t="shared" si="1"/>
        <v>1298.6499999999996</v>
      </c>
      <c r="D35" s="179">
        <v>0.93030124040165418</v>
      </c>
      <c r="E35" s="75">
        <f t="shared" si="4"/>
        <v>3.430287197948334</v>
      </c>
      <c r="F35" s="149">
        <f t="shared" si="2"/>
        <v>18.223529090462144</v>
      </c>
      <c r="G35" s="78">
        <f t="shared" si="0"/>
        <v>6.0254803064720921</v>
      </c>
    </row>
    <row r="36" spans="1:7" ht="16.5" hidden="1" thickBot="1">
      <c r="A36" s="73">
        <v>1996</v>
      </c>
      <c r="B36" s="74" t="s">
        <v>60</v>
      </c>
      <c r="C36" s="75">
        <f t="shared" si="1"/>
        <v>1315.2699999999995</v>
      </c>
      <c r="D36" s="179">
        <v>1.2797905517267782</v>
      </c>
      <c r="E36" s="75">
        <f t="shared" si="4"/>
        <v>4.7539782411315512</v>
      </c>
      <c r="F36" s="149">
        <f t="shared" si="2"/>
        <v>17.273570269450889</v>
      </c>
      <c r="G36" s="78">
        <f t="shared" si="0"/>
        <v>5.9493411999057093</v>
      </c>
    </row>
    <row r="37" spans="1:7" ht="16.5" hidden="1" thickBot="1">
      <c r="A37" s="73">
        <v>1996</v>
      </c>
      <c r="B37" s="74" t="s">
        <v>61</v>
      </c>
      <c r="C37" s="75">
        <f t="shared" si="1"/>
        <v>1332.7599999999995</v>
      </c>
      <c r="D37" s="179">
        <v>1.3297649912185294</v>
      </c>
      <c r="E37" s="75">
        <f t="shared" si="4"/>
        <v>6.1469599706908129</v>
      </c>
      <c r="F37" s="149">
        <f t="shared" si="2"/>
        <v>16.297698932800419</v>
      </c>
      <c r="G37" s="78">
        <f t="shared" si="0"/>
        <v>5.8712671448722817</v>
      </c>
    </row>
    <row r="38" spans="1:7" ht="16.5" hidden="1" thickBot="1">
      <c r="A38" s="73">
        <v>1996</v>
      </c>
      <c r="B38" s="74" t="s">
        <v>62</v>
      </c>
      <c r="C38" s="75">
        <f t="shared" si="1"/>
        <v>1348.7499999999995</v>
      </c>
      <c r="D38" s="179">
        <v>1.1997658993367244</v>
      </c>
      <c r="E38" s="75">
        <f t="shared" si="4"/>
        <v>7.4204749996017449</v>
      </c>
      <c r="F38" s="149">
        <f t="shared" si="2"/>
        <v>14.867396821611623</v>
      </c>
      <c r="G38" s="78">
        <f t="shared" si="0"/>
        <v>5.8016607970342777</v>
      </c>
    </row>
    <row r="39" spans="1:7" ht="16.5" hidden="1" thickBot="1">
      <c r="A39" s="73">
        <v>1996</v>
      </c>
      <c r="B39" s="74" t="s">
        <v>63</v>
      </c>
      <c r="C39" s="75">
        <f t="shared" si="1"/>
        <v>1355.4899999999996</v>
      </c>
      <c r="D39" s="179">
        <v>0.4997219647822071</v>
      </c>
      <c r="E39" s="75">
        <f t="shared" si="4"/>
        <v>7.9572787078481255</v>
      </c>
      <c r="F39" s="149">
        <f t="shared" si="2"/>
        <v>14.275477170027639</v>
      </c>
      <c r="G39" s="78">
        <f t="shared" si="0"/>
        <v>5.7728127835690284</v>
      </c>
    </row>
    <row r="40" spans="1:7" ht="16.5" hidden="1" thickBot="1">
      <c r="A40" s="73">
        <v>1996</v>
      </c>
      <c r="B40" s="74" t="s">
        <v>64</v>
      </c>
      <c r="C40" s="75">
        <f t="shared" si="1"/>
        <v>1355.7599999999995</v>
      </c>
      <c r="D40" s="179">
        <v>1.9918996082601836E-2</v>
      </c>
      <c r="E40" s="75">
        <f t="shared" si="4"/>
        <v>7.9787827139648382</v>
      </c>
      <c r="F40" s="149">
        <f t="shared" si="2"/>
        <v>12.976234125529128</v>
      </c>
      <c r="G40" s="78">
        <f t="shared" si="0"/>
        <v>5.7716631262170166</v>
      </c>
    </row>
    <row r="41" spans="1:7" ht="16.5" hidden="1" thickBot="1">
      <c r="A41" s="73">
        <v>1996</v>
      </c>
      <c r="B41" s="74" t="s">
        <v>65</v>
      </c>
      <c r="C41" s="75">
        <f t="shared" si="1"/>
        <v>1360.9099999999996</v>
      </c>
      <c r="D41" s="179">
        <v>0.37986074231428635</v>
      </c>
      <c r="E41" s="75">
        <f t="shared" si="4"/>
        <v>8.3889517195240302</v>
      </c>
      <c r="F41" s="149">
        <f t="shared" si="2"/>
        <v>11.83968311363861</v>
      </c>
      <c r="G41" s="78">
        <f t="shared" si="0"/>
        <v>5.7498218104062593</v>
      </c>
    </row>
    <row r="42" spans="1:7" ht="16.5" hidden="1" thickBot="1">
      <c r="A42" s="73">
        <v>1996</v>
      </c>
      <c r="B42" s="74" t="s">
        <v>66</v>
      </c>
      <c r="C42" s="75">
        <f t="shared" si="1"/>
        <v>1365.5399999999995</v>
      </c>
      <c r="D42" s="179">
        <v>0.34021353359148243</v>
      </c>
      <c r="E42" s="75">
        <f t="shared" si="4"/>
        <v>8.7577056021917787</v>
      </c>
      <c r="F42" s="149">
        <f t="shared" si="2"/>
        <v>10.551242298880336</v>
      </c>
      <c r="G42" s="78">
        <f t="shared" si="0"/>
        <v>5.730326464255886</v>
      </c>
    </row>
    <row r="43" spans="1:7" ht="16.5" hidden="1" thickBot="1">
      <c r="A43" s="73">
        <v>1996</v>
      </c>
      <c r="B43" s="74" t="s">
        <v>55</v>
      </c>
      <c r="C43" s="75">
        <f t="shared" si="1"/>
        <v>1370.0499999999995</v>
      </c>
      <c r="D43" s="179">
        <v>0.3302722732398955</v>
      </c>
      <c r="E43" s="75">
        <f t="shared" si="4"/>
        <v>9.1169021488076929</v>
      </c>
      <c r="F43" s="149">
        <f t="shared" si="2"/>
        <v>9.1160330999768835</v>
      </c>
      <c r="G43" s="78">
        <f t="shared" si="0"/>
        <v>5.7114630852888455</v>
      </c>
    </row>
    <row r="44" spans="1:7" ht="16.5" hidden="1" thickBot="1">
      <c r="A44" s="73">
        <v>1997</v>
      </c>
      <c r="B44" s="74" t="s">
        <v>56</v>
      </c>
      <c r="C44" s="75">
        <f t="shared" si="1"/>
        <v>1381.1499999999996</v>
      </c>
      <c r="D44" s="179">
        <v>0.81018940914565629</v>
      </c>
      <c r="E44" s="75">
        <f t="shared" ref="E44:E51" si="5">100*((C44/1370.05)-1)</f>
        <v>0.81018940914563409</v>
      </c>
      <c r="F44" s="149">
        <f t="shared" si="2"/>
        <v>8.4173260487314661</v>
      </c>
      <c r="G44" s="78">
        <f t="shared" si="0"/>
        <v>5.6655613076059677</v>
      </c>
    </row>
    <row r="45" spans="1:7" ht="16.5" hidden="1" thickBot="1">
      <c r="A45" s="73">
        <v>1997</v>
      </c>
      <c r="B45" s="74" t="s">
        <v>57</v>
      </c>
      <c r="C45" s="75">
        <f t="shared" si="1"/>
        <v>1387.3699999999994</v>
      </c>
      <c r="D45" s="179">
        <v>0.45034934655900916</v>
      </c>
      <c r="E45" s="75">
        <f t="shared" si="5"/>
        <v>1.2641874384146101</v>
      </c>
      <c r="F45" s="149">
        <f t="shared" si="2"/>
        <v>8.1382116355926737</v>
      </c>
      <c r="G45" s="78">
        <f t="shared" si="0"/>
        <v>5.6401608799382883</v>
      </c>
    </row>
    <row r="46" spans="1:7" ht="16.5" hidden="1" thickBot="1">
      <c r="A46" s="73">
        <v>1997</v>
      </c>
      <c r="B46" s="74" t="s">
        <v>58</v>
      </c>
      <c r="C46" s="75">
        <f t="shared" si="1"/>
        <v>1396.7999999999995</v>
      </c>
      <c r="D46" s="179">
        <v>0.67970332355464791</v>
      </c>
      <c r="E46" s="75">
        <f t="shared" si="5"/>
        <v>1.9524834860041196</v>
      </c>
      <c r="F46" s="149">
        <f t="shared" si="2"/>
        <v>8.5584605340877307</v>
      </c>
      <c r="G46" s="78">
        <f t="shared" si="0"/>
        <v>5.6020833333333204</v>
      </c>
    </row>
    <row r="47" spans="1:7" ht="16.5" hidden="1" thickBot="1">
      <c r="A47" s="73">
        <v>1997</v>
      </c>
      <c r="B47" s="74" t="s">
        <v>59</v>
      </c>
      <c r="C47" s="75">
        <f t="shared" si="1"/>
        <v>1405.1799999999994</v>
      </c>
      <c r="D47" s="179">
        <v>0.59994272623138389</v>
      </c>
      <c r="E47" s="75">
        <f t="shared" si="5"/>
        <v>2.5641399948906463</v>
      </c>
      <c r="F47" s="149">
        <f t="shared" si="2"/>
        <v>8.2031340237939112</v>
      </c>
      <c r="G47" s="78">
        <f t="shared" si="0"/>
        <v>5.5686744758678488</v>
      </c>
    </row>
    <row r="48" spans="1:7" ht="16.5" hidden="1" thickBot="1">
      <c r="A48" s="73">
        <v>1997</v>
      </c>
      <c r="B48" s="74" t="s">
        <v>60</v>
      </c>
      <c r="C48" s="75">
        <f t="shared" si="1"/>
        <v>1406.7299999999993</v>
      </c>
      <c r="D48" s="179">
        <v>0.11030615294838064</v>
      </c>
      <c r="E48" s="75">
        <f t="shared" si="5"/>
        <v>2.6772745520236008</v>
      </c>
      <c r="F48" s="149">
        <f t="shared" si="2"/>
        <v>6.9537053228614587</v>
      </c>
      <c r="G48" s="78">
        <f t="shared" si="0"/>
        <v>5.5625386534729362</v>
      </c>
    </row>
    <row r="49" spans="1:7" ht="16.5" hidden="1" thickBot="1">
      <c r="A49" s="73">
        <v>1997</v>
      </c>
      <c r="B49" s="74" t="s">
        <v>61</v>
      </c>
      <c r="C49" s="75">
        <f t="shared" si="1"/>
        <v>1411.6499999999994</v>
      </c>
      <c r="D49" s="179">
        <v>0.34974728625962737</v>
      </c>
      <c r="E49" s="75">
        <f t="shared" si="5"/>
        <v>3.0363855333746637</v>
      </c>
      <c r="F49" s="149">
        <f t="shared" si="2"/>
        <v>5.9192952969777002</v>
      </c>
      <c r="G49" s="78">
        <f t="shared" si="0"/>
        <v>5.5431516310700122</v>
      </c>
    </row>
    <row r="50" spans="1:7" ht="16.5" hidden="1" thickBot="1">
      <c r="A50" s="73">
        <v>1997</v>
      </c>
      <c r="B50" s="74" t="s">
        <v>62</v>
      </c>
      <c r="C50" s="75">
        <f t="shared" si="1"/>
        <v>1414.1899999999996</v>
      </c>
      <c r="D50" s="179">
        <v>0.17993128608366771</v>
      </c>
      <c r="E50" s="75">
        <f t="shared" si="5"/>
        <v>3.2217802269989937</v>
      </c>
      <c r="F50" s="149">
        <f t="shared" si="2"/>
        <v>4.8518999073215996</v>
      </c>
      <c r="G50" s="78">
        <f t="shared" si="0"/>
        <v>5.5331956809198068</v>
      </c>
    </row>
    <row r="51" spans="1:7" ht="16.5" hidden="1" thickBot="1">
      <c r="A51" s="73">
        <v>1997</v>
      </c>
      <c r="B51" s="74" t="s">
        <v>63</v>
      </c>
      <c r="C51" s="75">
        <f t="shared" si="1"/>
        <v>1413.7699999999995</v>
      </c>
      <c r="D51" s="179">
        <v>-2.969897962792345E-2</v>
      </c>
      <c r="E51" s="75">
        <f t="shared" si="5"/>
        <v>3.1911244115177873</v>
      </c>
      <c r="F51" s="149">
        <f t="shared" si="2"/>
        <v>4.2995521914584334</v>
      </c>
      <c r="G51" s="78">
        <f t="shared" si="0"/>
        <v>5.5348394717669649</v>
      </c>
    </row>
    <row r="52" spans="1:7" ht="16.5" hidden="1" thickBot="1">
      <c r="A52" s="73">
        <v>1997</v>
      </c>
      <c r="B52" s="74" t="s">
        <v>64</v>
      </c>
      <c r="C52" s="75">
        <f t="shared" si="1"/>
        <v>1415.1799999999996</v>
      </c>
      <c r="D52" s="179">
        <v>9.973333710575627E-2</v>
      </c>
      <c r="E52" s="75">
        <f>100*($C$52/$C$43-1)</f>
        <v>3.2940403634903914</v>
      </c>
      <c r="F52" s="149">
        <f t="shared" si="2"/>
        <v>4.3827816132648856</v>
      </c>
      <c r="G52" s="78">
        <f t="shared" si="0"/>
        <v>5.5293248915332196</v>
      </c>
    </row>
    <row r="53" spans="1:7" ht="16.5" hidden="1" thickBot="1">
      <c r="A53" s="73">
        <v>1997</v>
      </c>
      <c r="B53" s="74" t="s">
        <v>65</v>
      </c>
      <c r="C53" s="75">
        <f t="shared" si="1"/>
        <v>1419.2799999999997</v>
      </c>
      <c r="D53" s="179">
        <v>0.28971579587049323</v>
      </c>
      <c r="E53" s="75">
        <f>100*($C$53/$C$43-1)</f>
        <v>3.5932995146162661</v>
      </c>
      <c r="F53" s="149">
        <f t="shared" si="2"/>
        <v>4.289041891087586</v>
      </c>
      <c r="G53" s="78">
        <f t="shared" si="0"/>
        <v>5.5133518403697517</v>
      </c>
    </row>
    <row r="54" spans="1:7" ht="16.5" hidden="1" thickBot="1">
      <c r="A54" s="73">
        <v>1997</v>
      </c>
      <c r="B54" s="74" t="s">
        <v>66</v>
      </c>
      <c r="C54" s="75">
        <f t="shared" si="1"/>
        <v>1421.4099999999999</v>
      </c>
      <c r="D54" s="179">
        <v>0.15007609492136975</v>
      </c>
      <c r="E54" s="75">
        <f>100*($C$54/$C$43-1)</f>
        <v>3.7487682931280242</v>
      </c>
      <c r="F54" s="149">
        <f t="shared" si="2"/>
        <v>4.0914217086281068</v>
      </c>
      <c r="G54" s="78">
        <f t="shared" si="0"/>
        <v>5.5050900162514553</v>
      </c>
    </row>
    <row r="55" spans="1:7" ht="16.5" hidden="1" thickBot="1">
      <c r="A55" s="73">
        <v>1997</v>
      </c>
      <c r="B55" s="74" t="s">
        <v>55</v>
      </c>
      <c r="C55" s="75">
        <f t="shared" si="1"/>
        <v>1429.5099999999995</v>
      </c>
      <c r="D55" s="179">
        <v>0.56985669159494989</v>
      </c>
      <c r="E55" s="75">
        <f>100*(($C$55/$C$43)-1)</f>
        <v>4.3399875916937392</v>
      </c>
      <c r="F55" s="149">
        <f t="shared" si="2"/>
        <v>4.3399875916937392</v>
      </c>
      <c r="G55" s="78">
        <f t="shared" si="0"/>
        <v>5.4738966499010022</v>
      </c>
    </row>
    <row r="56" spans="1:7" ht="16.5" hidden="1" thickBot="1">
      <c r="A56" s="73">
        <v>1998</v>
      </c>
      <c r="B56" s="74" t="s">
        <v>56</v>
      </c>
      <c r="C56" s="75">
        <f t="shared" si="1"/>
        <v>1441.6599999999994</v>
      </c>
      <c r="D56" s="179">
        <v>0.84994158837643496</v>
      </c>
      <c r="E56" s="75">
        <f>+$C$56/$C$53*100-100</f>
        <v>1.57685587058225</v>
      </c>
      <c r="F56" s="149">
        <f t="shared" si="2"/>
        <v>4.381131665640936</v>
      </c>
      <c r="G56" s="78">
        <f t="shared" si="0"/>
        <v>5.4277638278095965</v>
      </c>
    </row>
    <row r="57" spans="1:7" ht="16.5" hidden="1" thickBot="1">
      <c r="A57" s="73">
        <v>1998</v>
      </c>
      <c r="B57" s="74" t="s">
        <v>57</v>
      </c>
      <c r="C57" s="75">
        <f t="shared" si="1"/>
        <v>1449.4399999999994</v>
      </c>
      <c r="D57" s="179">
        <v>0.53965567470832809</v>
      </c>
      <c r="E57" s="75">
        <f>+$C$57/$C$54*100-100</f>
        <v>1.9719855636304544</v>
      </c>
      <c r="F57" s="149">
        <f t="shared" si="2"/>
        <v>4.4739326927928369</v>
      </c>
      <c r="G57" s="78">
        <f t="shared" si="0"/>
        <v>5.3986298156529298</v>
      </c>
    </row>
    <row r="58" spans="1:7" ht="16.5" hidden="1" thickBot="1">
      <c r="A58" s="73">
        <v>1998</v>
      </c>
      <c r="B58" s="74" t="s">
        <v>58</v>
      </c>
      <c r="C58" s="75">
        <f t="shared" si="1"/>
        <v>1456.5399999999993</v>
      </c>
      <c r="D58" s="179">
        <v>0.48984435368142343</v>
      </c>
      <c r="E58" s="75">
        <f>+$C$59/$C$54*100-100</f>
        <v>2.9322996179849099</v>
      </c>
      <c r="F58" s="149">
        <f t="shared" si="2"/>
        <v>4.276918671248553</v>
      </c>
      <c r="G58" s="78">
        <f t="shared" si="0"/>
        <v>5.3723138396473722</v>
      </c>
    </row>
    <row r="59" spans="1:7" ht="16.5" hidden="1" thickBot="1">
      <c r="A59" s="73">
        <v>1998</v>
      </c>
      <c r="B59" s="74" t="s">
        <v>59</v>
      </c>
      <c r="C59" s="75">
        <f t="shared" si="1"/>
        <v>1463.0899999999992</v>
      </c>
      <c r="D59" s="179">
        <v>0.44969585455942873</v>
      </c>
      <c r="E59" s="75">
        <f>+$C$60/$C$54*100-100</f>
        <v>3.6731133170583803</v>
      </c>
      <c r="F59" s="149">
        <f t="shared" si="2"/>
        <v>4.1211802046712709</v>
      </c>
      <c r="G59" s="78">
        <f t="shared" si="0"/>
        <v>5.3482629229917391</v>
      </c>
    </row>
    <row r="60" spans="1:7" ht="16.5" hidden="1" thickBot="1">
      <c r="A60" s="73">
        <v>1998</v>
      </c>
      <c r="B60" s="74" t="s">
        <v>60</v>
      </c>
      <c r="C60" s="75">
        <f t="shared" si="1"/>
        <v>1473.6199999999992</v>
      </c>
      <c r="D60" s="179">
        <v>0.719709655591938</v>
      </c>
      <c r="E60" s="75">
        <f>+$C$61/$C$54*100-100</f>
        <v>3.8285927353824576</v>
      </c>
      <c r="F60" s="149">
        <f t="shared" si="2"/>
        <v>4.7549991825012627</v>
      </c>
      <c r="G60" s="78">
        <f t="shared" si="0"/>
        <v>5.3100460091475306</v>
      </c>
    </row>
    <row r="61" spans="1:7" ht="16.5" hidden="1" thickBot="1">
      <c r="A61" s="73">
        <v>1998</v>
      </c>
      <c r="B61" s="74" t="s">
        <v>61</v>
      </c>
      <c r="C61" s="75">
        <f t="shared" si="1"/>
        <v>1475.8299999999995</v>
      </c>
      <c r="D61" s="179">
        <v>0.14997082015717478</v>
      </c>
      <c r="E61" s="75">
        <f>+$C$61/$C$54*100-100</f>
        <v>3.8285927353824576</v>
      </c>
      <c r="F61" s="149">
        <f t="shared" si="2"/>
        <v>4.5464527326178672</v>
      </c>
      <c r="G61" s="78">
        <f t="shared" si="0"/>
        <v>5.3020944146683444</v>
      </c>
    </row>
    <row r="62" spans="1:7" ht="16.5" hidden="1" thickBot="1">
      <c r="A62" s="73">
        <v>1998</v>
      </c>
      <c r="B62" s="74" t="s">
        <v>62</v>
      </c>
      <c r="C62" s="75">
        <f t="shared" si="1"/>
        <v>1471.6999999999996</v>
      </c>
      <c r="D62" s="179">
        <v>-0.27984252928859865</v>
      </c>
      <c r="E62" s="75">
        <f>+($C$62/$C$54)*100-100</f>
        <v>3.5380361753470027</v>
      </c>
      <c r="F62" s="149">
        <f t="shared" si="2"/>
        <v>4.066638853336535</v>
      </c>
      <c r="G62" s="78">
        <f t="shared" si="0"/>
        <v>5.3169735679825925</v>
      </c>
    </row>
    <row r="63" spans="1:7" ht="16.5" hidden="1" thickBot="1">
      <c r="A63" s="73">
        <v>1998</v>
      </c>
      <c r="B63" s="74" t="s">
        <v>63</v>
      </c>
      <c r="C63" s="75">
        <f t="shared" si="1"/>
        <v>1464.4899999999996</v>
      </c>
      <c r="D63" s="179">
        <v>-0.48990962832099472</v>
      </c>
      <c r="E63" s="75">
        <f>+$C$63/$C$54*100-100</f>
        <v>3.0307933671495135</v>
      </c>
      <c r="F63" s="149">
        <f t="shared" si="2"/>
        <v>3.5875708212792734</v>
      </c>
      <c r="G63" s="78">
        <f t="shared" si="0"/>
        <v>5.3431501751462847</v>
      </c>
    </row>
    <row r="64" spans="1:7" ht="16.5" hidden="1" thickBot="1">
      <c r="A64" s="73">
        <v>1998</v>
      </c>
      <c r="B64" s="74" t="s">
        <v>64</v>
      </c>
      <c r="C64" s="75">
        <f t="shared" si="1"/>
        <v>1459.9499999999996</v>
      </c>
      <c r="D64" s="179">
        <v>-0.31000553093568639</v>
      </c>
      <c r="E64" s="75">
        <f>+$C$64/$C$54*100-100</f>
        <v>2.7113922091444209</v>
      </c>
      <c r="F64" s="149">
        <f t="shared" si="2"/>
        <v>3.1635551661272743</v>
      </c>
      <c r="G64" s="78">
        <f t="shared" si="0"/>
        <v>5.3597657454022274</v>
      </c>
    </row>
    <row r="65" spans="1:7" ht="16.5" hidden="1" thickBot="1">
      <c r="A65" s="73">
        <v>1998</v>
      </c>
      <c r="B65" s="74" t="s">
        <v>65</v>
      </c>
      <c r="C65" s="75">
        <f t="shared" si="1"/>
        <v>1461.5599999999995</v>
      </c>
      <c r="D65" s="179">
        <v>0.11027774923797473</v>
      </c>
      <c r="E65" s="75">
        <f>+$C$65/$C$54*100-100</f>
        <v>2.8246600206836661</v>
      </c>
      <c r="F65" s="149">
        <f t="shared" si="2"/>
        <v>2.9789752550588799</v>
      </c>
      <c r="G65" s="78">
        <f t="shared" si="0"/>
        <v>5.3538616273023223</v>
      </c>
    </row>
    <row r="66" spans="1:7" ht="16.5" hidden="1" thickBot="1">
      <c r="A66" s="73">
        <v>1998</v>
      </c>
      <c r="B66" s="74" t="s">
        <v>66</v>
      </c>
      <c r="C66" s="75">
        <f t="shared" si="1"/>
        <v>1458.9299999999996</v>
      </c>
      <c r="D66" s="179">
        <v>-0.17994471660416345</v>
      </c>
      <c r="E66" s="75">
        <f>+$C$66/$C$54*100-100</f>
        <v>2.6396324776102489</v>
      </c>
      <c r="F66" s="149">
        <f t="shared" si="2"/>
        <v>2.6396324776102542</v>
      </c>
      <c r="G66" s="78">
        <f t="shared" si="0"/>
        <v>5.3635129855441877</v>
      </c>
    </row>
    <row r="67" spans="1:7" ht="16.5" hidden="1" thickBot="1">
      <c r="A67" s="73">
        <v>1998</v>
      </c>
      <c r="B67" s="74" t="s">
        <v>55</v>
      </c>
      <c r="C67" s="75">
        <f t="shared" si="1"/>
        <v>1465.0599999999995</v>
      </c>
      <c r="D67" s="179">
        <v>0.42017094720101511</v>
      </c>
      <c r="E67" s="75">
        <f>+(($C$67/$C$55)-1)*100</f>
        <v>2.4868661289532801</v>
      </c>
      <c r="F67" s="149">
        <f t="shared" si="2"/>
        <v>2.4868661289532801</v>
      </c>
      <c r="G67" s="78">
        <f t="shared" si="0"/>
        <v>5.3410713554393556</v>
      </c>
    </row>
    <row r="68" spans="1:7" ht="16.5" hidden="1" thickBot="1">
      <c r="A68" s="73">
        <v>1999</v>
      </c>
      <c r="B68" s="74" t="s">
        <v>56</v>
      </c>
      <c r="C68" s="75">
        <f t="shared" si="1"/>
        <v>1474.5799999999992</v>
      </c>
      <c r="D68" s="179">
        <v>0.64980273845438585</v>
      </c>
      <c r="E68" s="75">
        <f>+(($C$68/$C$67)-1)*100</f>
        <v>0.64980273845438585</v>
      </c>
      <c r="F68" s="149">
        <f t="shared" si="2"/>
        <v>2.2834787675318546</v>
      </c>
      <c r="G68" s="78">
        <f t="shared" si="0"/>
        <v>5.3065889948324161</v>
      </c>
    </row>
    <row r="69" spans="1:7" ht="16.5" hidden="1" thickBot="1">
      <c r="A69" s="73">
        <v>1999</v>
      </c>
      <c r="B69" s="74" t="s">
        <v>57</v>
      </c>
      <c r="C69" s="75">
        <f t="shared" si="1"/>
        <v>1493.5999999999992</v>
      </c>
      <c r="D69" s="179">
        <v>1.2898588072535855</v>
      </c>
      <c r="E69" s="75">
        <f>+(($C$69/$C$67)-1)*100</f>
        <v>1.9480430835596918</v>
      </c>
      <c r="F69" s="149">
        <f t="shared" si="2"/>
        <v>3.0466938955734602</v>
      </c>
      <c r="G69" s="78">
        <f t="shared" si="0"/>
        <v>5.2390131226566572</v>
      </c>
    </row>
    <row r="70" spans="1:7" ht="16.5" hidden="1" thickBot="1">
      <c r="A70" s="73">
        <v>1999</v>
      </c>
      <c r="B70" s="74" t="s">
        <v>58</v>
      </c>
      <c r="C70" s="75">
        <f t="shared" si="1"/>
        <v>1512.7199999999993</v>
      </c>
      <c r="D70" s="179">
        <v>1.2801285484735025</v>
      </c>
      <c r="E70" s="75">
        <f>+(($C$70/$C$67)-1)*100</f>
        <v>3.2531090876824154</v>
      </c>
      <c r="F70" s="149">
        <f t="shared" si="2"/>
        <v>3.8570859708624505</v>
      </c>
      <c r="G70" s="78">
        <f t="shared" si="0"/>
        <v>5.1727947009360511</v>
      </c>
    </row>
    <row r="71" spans="1:7" ht="16.5" hidden="1" thickBot="1">
      <c r="A71" s="73">
        <v>1999</v>
      </c>
      <c r="B71" s="74" t="s">
        <v>59</v>
      </c>
      <c r="C71" s="75">
        <f t="shared" si="1"/>
        <v>1519.8299999999992</v>
      </c>
      <c r="D71" s="179">
        <v>0.47001427891479874</v>
      </c>
      <c r="E71" s="75">
        <f>+(($C$71/$C$67)-1)*100</f>
        <v>3.7384134438179784</v>
      </c>
      <c r="F71" s="149">
        <f t="shared" si="2"/>
        <v>3.8780936237688746</v>
      </c>
      <c r="G71" s="78">
        <f t="shared" ref="G71:G134" si="6">$C$396/C71</f>
        <v>5.148595566609413</v>
      </c>
    </row>
    <row r="72" spans="1:7" ht="16.5" hidden="1" thickBot="1">
      <c r="A72" s="73">
        <v>1999</v>
      </c>
      <c r="B72" s="74" t="s">
        <v>60</v>
      </c>
      <c r="C72" s="75">
        <f t="shared" ref="C72:C135" si="7">+C71*(1+D72/100)</f>
        <v>1520.5899999999992</v>
      </c>
      <c r="D72" s="179">
        <v>5.0005592730761883E-2</v>
      </c>
      <c r="E72" s="75">
        <f>+(($C$72/$C$67)-1)*100</f>
        <v>3.7902884523500546</v>
      </c>
      <c r="F72" s="149">
        <f t="shared" si="2"/>
        <v>3.1873888790868721</v>
      </c>
      <c r="G72" s="78">
        <f t="shared" si="6"/>
        <v>5.1460222676724063</v>
      </c>
    </row>
    <row r="73" spans="1:7" ht="16.5" hidden="1" thickBot="1">
      <c r="A73" s="73">
        <v>1999</v>
      </c>
      <c r="B73" s="74" t="s">
        <v>61</v>
      </c>
      <c r="C73" s="75">
        <f t="shared" si="7"/>
        <v>1521.6499999999996</v>
      </c>
      <c r="D73" s="179">
        <v>6.9709783702398553E-2</v>
      </c>
      <c r="E73" s="75">
        <f>+(($C$73/$C$67)-1)*100</f>
        <v>3.8626404379342949</v>
      </c>
      <c r="F73" s="149">
        <f t="shared" si="2"/>
        <v>3.104693630025146</v>
      </c>
      <c r="G73" s="78">
        <f t="shared" si="6"/>
        <v>5.1424374856241455</v>
      </c>
    </row>
    <row r="74" spans="1:7" ht="16.5" hidden="1" thickBot="1">
      <c r="A74" s="73">
        <v>1999</v>
      </c>
      <c r="B74" s="74" t="s">
        <v>62</v>
      </c>
      <c r="C74" s="75">
        <f t="shared" si="7"/>
        <v>1532.9099999999996</v>
      </c>
      <c r="D74" s="179">
        <v>0.73998619919166675</v>
      </c>
      <c r="E74" s="75">
        <f>+(($C$74/$C$67)-1)*100</f>
        <v>4.6312096432910677</v>
      </c>
      <c r="F74" s="149">
        <f t="shared" si="2"/>
        <v>4.1591356934157719</v>
      </c>
      <c r="G74" s="78">
        <f t="shared" si="6"/>
        <v>5.1046636788852453</v>
      </c>
    </row>
    <row r="75" spans="1:7" ht="16.5" hidden="1" thickBot="1">
      <c r="A75" s="73">
        <v>1999</v>
      </c>
      <c r="B75" s="74" t="s">
        <v>63</v>
      </c>
      <c r="C75" s="75">
        <f t="shared" si="7"/>
        <v>1541.3399999999997</v>
      </c>
      <c r="D75" s="179">
        <v>0.54993443842104028</v>
      </c>
      <c r="E75" s="75">
        <f>+(($C$75/$C$67)-1)*100</f>
        <v>5.206612698456059</v>
      </c>
      <c r="F75" s="149">
        <f t="shared" si="2"/>
        <v>5.2475605842307038</v>
      </c>
      <c r="G75" s="78">
        <f t="shared" si="6"/>
        <v>5.0767449102728675</v>
      </c>
    </row>
    <row r="76" spans="1:7" ht="16.5" hidden="1" thickBot="1">
      <c r="A76" s="73">
        <v>1999</v>
      </c>
      <c r="B76" s="74" t="s">
        <v>64</v>
      </c>
      <c r="C76" s="75">
        <f t="shared" si="7"/>
        <v>1547.3499999999995</v>
      </c>
      <c r="D76" s="179">
        <v>0.38992045882153548</v>
      </c>
      <c r="E76" s="75">
        <f>+(($C$76/$C$67)-1)*100</f>
        <v>5.6168348054004502</v>
      </c>
      <c r="F76" s="149">
        <f t="shared" si="2"/>
        <v>5.9865063872050372</v>
      </c>
      <c r="G76" s="78">
        <f t="shared" si="6"/>
        <v>5.0570265292273771</v>
      </c>
    </row>
    <row r="77" spans="1:7" ht="16.5" hidden="1" thickBot="1">
      <c r="A77" s="73">
        <v>1999</v>
      </c>
      <c r="B77" s="74" t="s">
        <v>65</v>
      </c>
      <c r="C77" s="75">
        <f t="shared" si="7"/>
        <v>1562.1999999999996</v>
      </c>
      <c r="D77" s="179">
        <v>0.95970530261415554</v>
      </c>
      <c r="E77" s="75">
        <f>+(($C$77/$C$67)-1)*100</f>
        <v>6.6304451694811251</v>
      </c>
      <c r="F77" s="149">
        <f t="shared" si="2"/>
        <v>6.8857932619940332</v>
      </c>
      <c r="G77" s="78">
        <f t="shared" si="6"/>
        <v>5.0089553194213172</v>
      </c>
    </row>
    <row r="78" spans="1:7" ht="16.5" hidden="1" thickBot="1">
      <c r="A78" s="73">
        <v>1999</v>
      </c>
      <c r="B78" s="74" t="s">
        <v>66</v>
      </c>
      <c r="C78" s="75">
        <f t="shared" si="7"/>
        <v>1576.8799999999997</v>
      </c>
      <c r="D78" s="179">
        <v>0.93970042248112673</v>
      </c>
      <c r="E78" s="75">
        <f>+(($C$78/$C$67)-1)*100</f>
        <v>7.6324519132322299</v>
      </c>
      <c r="F78" s="149">
        <f t="shared" si="2"/>
        <v>8.0846922059317539</v>
      </c>
      <c r="G78" s="78">
        <f t="shared" si="6"/>
        <v>4.9623243366647944</v>
      </c>
    </row>
    <row r="79" spans="1:7" ht="16.5" hidden="1" thickBot="1">
      <c r="A79" s="73">
        <v>1999</v>
      </c>
      <c r="B79" s="74" t="s">
        <v>55</v>
      </c>
      <c r="C79" s="75">
        <f t="shared" si="7"/>
        <v>1588.5499999999995</v>
      </c>
      <c r="D79" s="179">
        <v>0.74006899700673756</v>
      </c>
      <c r="E79" s="75">
        <f>+(($C$79/$C$67)-1)*100</f>
        <v>8.4290063205602515</v>
      </c>
      <c r="F79" s="149">
        <f t="shared" si="2"/>
        <v>8.4290063205602515</v>
      </c>
      <c r="G79" s="78">
        <f t="shared" si="6"/>
        <v>4.9258695036353792</v>
      </c>
    </row>
    <row r="80" spans="1:7" ht="16.5" hidden="1" thickBot="1">
      <c r="A80" s="73">
        <v>2000</v>
      </c>
      <c r="B80" s="80" t="s">
        <v>56</v>
      </c>
      <c r="C80" s="75">
        <f t="shared" si="7"/>
        <v>1598.2399999999996</v>
      </c>
      <c r="D80" s="179">
        <v>0.60999024267414104</v>
      </c>
      <c r="E80" s="75">
        <f>+(($C$80/$C$79)-1)*100</f>
        <v>0.60999024267414104</v>
      </c>
      <c r="F80" s="149">
        <f t="shared" si="2"/>
        <v>8.3861167247623278</v>
      </c>
      <c r="G80" s="78">
        <f t="shared" si="6"/>
        <v>4.8960043547902581</v>
      </c>
    </row>
    <row r="81" spans="1:7" ht="16.5" hidden="1" thickBot="1">
      <c r="A81" s="73">
        <v>2000</v>
      </c>
      <c r="B81" s="80" t="s">
        <v>57</v>
      </c>
      <c r="C81" s="75">
        <f t="shared" si="7"/>
        <v>1599.0399999999993</v>
      </c>
      <c r="D81" s="179">
        <v>5.0055060566611687E-2</v>
      </c>
      <c r="E81" s="75">
        <f>+(($C$81/$C$79)-1)*100</f>
        <v>0.66035063422615892</v>
      </c>
      <c r="F81" s="149">
        <f t="shared" si="2"/>
        <v>7.0594536689876808</v>
      </c>
      <c r="G81" s="78">
        <f t="shared" si="6"/>
        <v>4.8935548829297471</v>
      </c>
    </row>
    <row r="82" spans="1:7" ht="16.5" hidden="1" thickBot="1">
      <c r="A82" s="73">
        <v>2000</v>
      </c>
      <c r="B82" s="80" t="s">
        <v>58</v>
      </c>
      <c r="C82" s="75">
        <f t="shared" si="7"/>
        <v>1601.1199999999992</v>
      </c>
      <c r="D82" s="179">
        <v>0.13007804682809709</v>
      </c>
      <c r="E82" s="75">
        <f>+(($C$82/$C$79)-1)*100</f>
        <v>0.79128765226148534</v>
      </c>
      <c r="F82" s="149">
        <f t="shared" si="2"/>
        <v>5.8437780950869822</v>
      </c>
      <c r="G82" s="78">
        <f t="shared" si="6"/>
        <v>4.8871977116018686</v>
      </c>
    </row>
    <row r="83" spans="1:7" ht="16.5" hidden="1" thickBot="1">
      <c r="A83" s="73">
        <v>2000</v>
      </c>
      <c r="B83" s="80" t="s">
        <v>59</v>
      </c>
      <c r="C83" s="75">
        <f t="shared" si="7"/>
        <v>1602.5599999999995</v>
      </c>
      <c r="D83" s="179">
        <v>8.9937044069166028E-2</v>
      </c>
      <c r="E83" s="75">
        <f>+(($C$83/$C$79)-1)*100</f>
        <v>0.8819363570551797</v>
      </c>
      <c r="F83" s="149">
        <f t="shared" si="2"/>
        <v>5.4433719560740501</v>
      </c>
      <c r="G83" s="78">
        <f t="shared" si="6"/>
        <v>4.8828062599840143</v>
      </c>
    </row>
    <row r="84" spans="1:7" ht="16.5" hidden="1" thickBot="1">
      <c r="A84" s="73">
        <v>2000</v>
      </c>
      <c r="B84" s="80" t="s">
        <v>60</v>
      </c>
      <c r="C84" s="75">
        <f t="shared" si="7"/>
        <v>1601.7599999999995</v>
      </c>
      <c r="D84" s="179">
        <v>-4.9920127795521907E-2</v>
      </c>
      <c r="E84" s="75">
        <f>+(($C$84/$C$79)-1)*100</f>
        <v>0.83157596550313961</v>
      </c>
      <c r="F84" s="149">
        <f t="shared" ref="F84:F147" si="8">100*((C84/C72)-1)</f>
        <v>5.3380595689831223</v>
      </c>
      <c r="G84" s="78">
        <f t="shared" si="6"/>
        <v>4.8852449805214153</v>
      </c>
    </row>
    <row r="85" spans="1:7" ht="16.5" hidden="1" thickBot="1">
      <c r="A85" s="73">
        <v>2000</v>
      </c>
      <c r="B85" s="80" t="s">
        <v>61</v>
      </c>
      <c r="C85" s="75">
        <f t="shared" si="7"/>
        <v>1606.5699999999995</v>
      </c>
      <c r="D85" s="179">
        <v>0.30029467585654945</v>
      </c>
      <c r="E85" s="75">
        <f>+(($C$85/$C$79)-1)*100</f>
        <v>1.1343678197097917</v>
      </c>
      <c r="F85" s="149">
        <f t="shared" si="8"/>
        <v>5.5807840173495826</v>
      </c>
      <c r="G85" s="78">
        <f t="shared" si="6"/>
        <v>4.8706187716688234</v>
      </c>
    </row>
    <row r="86" spans="1:7" ht="16.5" hidden="1" thickBot="1">
      <c r="A86" s="73">
        <v>2000</v>
      </c>
      <c r="B86" s="80" t="s">
        <v>62</v>
      </c>
      <c r="C86" s="75">
        <f t="shared" si="7"/>
        <v>1628.8999999999996</v>
      </c>
      <c r="D86" s="179">
        <v>1.3899176506470434</v>
      </c>
      <c r="E86" s="75">
        <f>+(($C$86/$C$79)-1)*100</f>
        <v>2.5400522489062549</v>
      </c>
      <c r="F86" s="149">
        <f t="shared" si="8"/>
        <v>6.2619462329817077</v>
      </c>
      <c r="G86" s="78">
        <f t="shared" si="6"/>
        <v>4.8038492234022847</v>
      </c>
    </row>
    <row r="87" spans="1:7" ht="16.5" hidden="1" thickBot="1">
      <c r="A87" s="73">
        <v>2000</v>
      </c>
      <c r="B87" s="80" t="s">
        <v>63</v>
      </c>
      <c r="C87" s="75">
        <f t="shared" si="7"/>
        <v>1648.6099999999994</v>
      </c>
      <c r="D87" s="179">
        <v>1.2100190312480663</v>
      </c>
      <c r="E87" s="75">
        <f>+(($C$87/$C$79)-1)*100</f>
        <v>3.7808063957697202</v>
      </c>
      <c r="F87" s="149">
        <f t="shared" si="8"/>
        <v>6.9595287217615764</v>
      </c>
      <c r="G87" s="78">
        <f t="shared" si="6"/>
        <v>4.7464166782926114</v>
      </c>
    </row>
    <row r="88" spans="1:7" ht="16.5" hidden="1" thickBot="1">
      <c r="A88" s="73">
        <v>2000</v>
      </c>
      <c r="B88" s="80" t="s">
        <v>64</v>
      </c>
      <c r="C88" s="75">
        <f t="shared" si="7"/>
        <v>1655.6999999999996</v>
      </c>
      <c r="D88" s="179">
        <v>0.43005926204500167</v>
      </c>
      <c r="E88" s="75">
        <f>+(($C$88/$C$79)-1)*100</f>
        <v>4.227125365899731</v>
      </c>
      <c r="F88" s="149">
        <f t="shared" si="8"/>
        <v>7.0022942449995185</v>
      </c>
      <c r="G88" s="78">
        <f t="shared" si="6"/>
        <v>4.7260916832759445</v>
      </c>
    </row>
    <row r="89" spans="1:7" ht="16.5" hidden="1" thickBot="1">
      <c r="A89" s="73">
        <v>2000</v>
      </c>
      <c r="B89" s="80" t="s">
        <v>65</v>
      </c>
      <c r="C89" s="75">
        <f t="shared" si="7"/>
        <v>1658.3499999999995</v>
      </c>
      <c r="D89" s="179">
        <v>0.16005314972518114</v>
      </c>
      <c r="E89" s="75">
        <f>+(($C$89/$C$79)-1)*100</f>
        <v>4.3939441629158749</v>
      </c>
      <c r="F89" s="149">
        <f t="shared" si="8"/>
        <v>6.1547817180898745</v>
      </c>
      <c r="G89" s="78">
        <f t="shared" si="6"/>
        <v>4.7185395121656963</v>
      </c>
    </row>
    <row r="90" spans="1:7" ht="16.5" hidden="1" thickBot="1">
      <c r="A90" s="73">
        <v>2000</v>
      </c>
      <c r="B90" s="80" t="s">
        <v>66</v>
      </c>
      <c r="C90" s="75">
        <f t="shared" si="7"/>
        <v>1663.1599999999994</v>
      </c>
      <c r="D90" s="179">
        <v>0.2900473362076772</v>
      </c>
      <c r="E90" s="75">
        <f>+(($C$90/$C$79)-1)*100</f>
        <v>4.696736017122527</v>
      </c>
      <c r="F90" s="149">
        <f t="shared" si="8"/>
        <v>5.4715641012632377</v>
      </c>
      <c r="G90" s="78">
        <f t="shared" si="6"/>
        <v>4.7048930950720207</v>
      </c>
    </row>
    <row r="91" spans="1:7" ht="16.5" hidden="1" thickBot="1">
      <c r="A91" s="73">
        <v>2000</v>
      </c>
      <c r="B91" s="80" t="s">
        <v>55</v>
      </c>
      <c r="C91" s="75">
        <f t="shared" si="7"/>
        <v>1672.3099999999993</v>
      </c>
      <c r="D91" s="179">
        <v>0.55015753144616042</v>
      </c>
      <c r="E91" s="75">
        <f>+(($C$91/$C$79)-1)*100</f>
        <v>5.2727329954990187</v>
      </c>
      <c r="F91" s="149">
        <f t="shared" si="8"/>
        <v>5.2727329954990187</v>
      </c>
      <c r="G91" s="78">
        <f t="shared" si="6"/>
        <v>4.6791503967565724</v>
      </c>
    </row>
    <row r="92" spans="1:7" ht="16.5" hidden="1" thickBot="1">
      <c r="A92" s="73">
        <v>2001</v>
      </c>
      <c r="B92" s="80" t="s">
        <v>56</v>
      </c>
      <c r="C92" s="75">
        <f t="shared" si="7"/>
        <v>1685.1899999999994</v>
      </c>
      <c r="D92" s="179">
        <v>0.77019212944968718</v>
      </c>
      <c r="E92" s="75">
        <f>+(($C$92/$C$91)-1)*100</f>
        <v>0.77019212944968718</v>
      </c>
      <c r="F92" s="149">
        <f t="shared" si="8"/>
        <v>5.4403593953348484</v>
      </c>
      <c r="G92" s="78">
        <f t="shared" si="6"/>
        <v>4.6433873925195277</v>
      </c>
    </row>
    <row r="93" spans="1:7" ht="16.5" hidden="1" thickBot="1">
      <c r="A93" s="73">
        <v>2001</v>
      </c>
      <c r="B93" s="80" t="s">
        <v>57</v>
      </c>
      <c r="C93" s="75">
        <f t="shared" si="7"/>
        <v>1693.4499999999994</v>
      </c>
      <c r="D93" s="179">
        <v>0.49015244571828376</v>
      </c>
      <c r="E93" s="75">
        <f>+(($C$93/$C$91)-1)*100</f>
        <v>1.2641196907271945</v>
      </c>
      <c r="F93" s="149">
        <f t="shared" si="8"/>
        <v>5.9041675005003125</v>
      </c>
      <c r="G93" s="78">
        <f t="shared" si="6"/>
        <v>4.620738728630891</v>
      </c>
    </row>
    <row r="94" spans="1:7" ht="16.5" hidden="1" thickBot="1">
      <c r="A94" s="73">
        <v>2001</v>
      </c>
      <c r="B94" s="80" t="s">
        <v>58</v>
      </c>
      <c r="C94" s="75">
        <f t="shared" si="7"/>
        <v>1701.5799999999992</v>
      </c>
      <c r="D94" s="179">
        <v>0.48008503351146814</v>
      </c>
      <c r="E94" s="75">
        <f t="shared" ref="E94:E100" si="9">+((C94/$C$91)-1)*100</f>
        <v>1.7502735736795172</v>
      </c>
      <c r="F94" s="149">
        <f t="shared" si="8"/>
        <v>6.2743579494354051</v>
      </c>
      <c r="G94" s="78">
        <f t="shared" si="6"/>
        <v>4.5986612442553296</v>
      </c>
    </row>
    <row r="95" spans="1:7" ht="16.5" hidden="1" thickBot="1">
      <c r="A95" s="73">
        <v>2001</v>
      </c>
      <c r="B95" s="80" t="s">
        <v>59</v>
      </c>
      <c r="C95" s="75">
        <f t="shared" si="7"/>
        <v>1715.869999999999</v>
      </c>
      <c r="D95" s="179">
        <v>0.83980770813008032</v>
      </c>
      <c r="E95" s="75">
        <f t="shared" si="9"/>
        <v>2.6047802141947241</v>
      </c>
      <c r="F95" s="149">
        <f t="shared" si="8"/>
        <v>7.0705621006389441</v>
      </c>
      <c r="G95" s="78">
        <f t="shared" si="6"/>
        <v>4.5603629645602428</v>
      </c>
    </row>
    <row r="96" spans="1:7" ht="16.5" hidden="1" thickBot="1">
      <c r="A96" s="73">
        <v>2001</v>
      </c>
      <c r="B96" s="80" t="s">
        <v>60</v>
      </c>
      <c r="C96" s="75">
        <f t="shared" si="7"/>
        <v>1725.6499999999992</v>
      </c>
      <c r="D96" s="179">
        <v>0.56997324972172247</v>
      </c>
      <c r="E96" s="75">
        <f t="shared" si="9"/>
        <v>3.1896000143514014</v>
      </c>
      <c r="F96" s="149">
        <f t="shared" si="8"/>
        <v>7.7346169213864613</v>
      </c>
      <c r="G96" s="78">
        <f t="shared" si="6"/>
        <v>4.5345174282154455</v>
      </c>
    </row>
    <row r="97" spans="1:7" ht="16.5" hidden="1" thickBot="1">
      <c r="A97" s="73">
        <v>2001</v>
      </c>
      <c r="B97" s="80" t="s">
        <v>61</v>
      </c>
      <c r="C97" s="75">
        <f t="shared" si="7"/>
        <v>1735.9999999999991</v>
      </c>
      <c r="D97" s="179">
        <v>0.59977399820356769</v>
      </c>
      <c r="E97" s="75">
        <f t="shared" si="9"/>
        <v>3.8085044040877536</v>
      </c>
      <c r="F97" s="149">
        <f t="shared" si="8"/>
        <v>8.0562938434054931</v>
      </c>
      <c r="G97" s="78">
        <f t="shared" si="6"/>
        <v>4.5074827188939999</v>
      </c>
    </row>
    <row r="98" spans="1:7" ht="16.5" hidden="1" thickBot="1">
      <c r="A98" s="73">
        <v>2001</v>
      </c>
      <c r="B98" s="80" t="s">
        <v>62</v>
      </c>
      <c r="C98" s="75">
        <f t="shared" si="7"/>
        <v>1755.2699999999991</v>
      </c>
      <c r="D98" s="179">
        <v>1.1100230414746504</v>
      </c>
      <c r="E98" s="75">
        <f t="shared" si="9"/>
        <v>4.9608027219833595</v>
      </c>
      <c r="F98" s="149">
        <f t="shared" si="8"/>
        <v>7.7579961937503494</v>
      </c>
      <c r="G98" s="78">
        <f t="shared" si="6"/>
        <v>4.4579979148506972</v>
      </c>
    </row>
    <row r="99" spans="1:7" ht="16.5" hidden="1" thickBot="1">
      <c r="A99" s="73">
        <v>2001</v>
      </c>
      <c r="B99" s="80" t="s">
        <v>63</v>
      </c>
      <c r="C99" s="75">
        <f t="shared" si="7"/>
        <v>1769.1399999999992</v>
      </c>
      <c r="D99" s="179">
        <v>0.79019182234072449</v>
      </c>
      <c r="E99" s="75">
        <f t="shared" si="9"/>
        <v>5.790194401755655</v>
      </c>
      <c r="F99" s="149">
        <f t="shared" si="8"/>
        <v>7.3110074547649173</v>
      </c>
      <c r="G99" s="78">
        <f t="shared" si="6"/>
        <v>4.4230473563426207</v>
      </c>
    </row>
    <row r="100" spans="1:7" ht="16.5" hidden="1" thickBot="1">
      <c r="A100" s="73">
        <v>2001</v>
      </c>
      <c r="B100" s="80" t="s">
        <v>64</v>
      </c>
      <c r="C100" s="75">
        <f t="shared" si="7"/>
        <v>1776.9199999999989</v>
      </c>
      <c r="D100" s="179">
        <v>0.43976169212158744</v>
      </c>
      <c r="E100" s="75">
        <f t="shared" si="9"/>
        <v>6.2554191507555146</v>
      </c>
      <c r="F100" s="149">
        <f t="shared" si="8"/>
        <v>7.3213746451651573</v>
      </c>
      <c r="G100" s="78">
        <f t="shared" si="6"/>
        <v>4.4036816513967905</v>
      </c>
    </row>
    <row r="101" spans="1:7" ht="16.5" hidden="1" thickBot="1">
      <c r="A101" s="73">
        <v>2001</v>
      </c>
      <c r="B101" s="80" t="s">
        <v>65</v>
      </c>
      <c r="C101" s="75">
        <f t="shared" si="7"/>
        <v>1793.6199999999988</v>
      </c>
      <c r="D101" s="179">
        <v>0.93982846723543734</v>
      </c>
      <c r="E101" s="75">
        <f>+((C101/$C$91)-1)*100</f>
        <v>7.25403782791465</v>
      </c>
      <c r="F101" s="149">
        <f t="shared" si="8"/>
        <v>8.1569029456989952</v>
      </c>
      <c r="G101" s="78">
        <f t="shared" si="6"/>
        <v>4.3626799433547712</v>
      </c>
    </row>
    <row r="102" spans="1:7" ht="16.5" hidden="1" thickBot="1">
      <c r="A102" s="73">
        <v>2001</v>
      </c>
      <c r="B102" s="80" t="s">
        <v>66</v>
      </c>
      <c r="C102" s="75">
        <f t="shared" si="7"/>
        <v>1816.7599999999991</v>
      </c>
      <c r="D102" s="179">
        <v>1.2901283437963595</v>
      </c>
      <c r="E102" s="75">
        <f>+((C102/$C$91)-1)*100</f>
        <v>8.6377525697986623</v>
      </c>
      <c r="F102" s="149">
        <f t="shared" si="8"/>
        <v>9.2354313475552452</v>
      </c>
      <c r="G102" s="78">
        <f t="shared" si="6"/>
        <v>4.3071126621017548</v>
      </c>
    </row>
    <row r="103" spans="1:7" ht="16.5" hidden="1" thickBot="1">
      <c r="A103" s="73">
        <v>2001</v>
      </c>
      <c r="B103" s="80" t="s">
        <v>109</v>
      </c>
      <c r="C103" s="75">
        <f t="shared" si="7"/>
        <v>1830.1999999999994</v>
      </c>
      <c r="D103" s="179">
        <v>0.73977850679232127</v>
      </c>
      <c r="E103" s="75">
        <f>+((C103/$C$91)-1)*100</f>
        <v>9.4414313135722452</v>
      </c>
      <c r="F103" s="149">
        <f t="shared" si="8"/>
        <v>9.4414313135722452</v>
      </c>
      <c r="G103" s="78">
        <f t="shared" si="6"/>
        <v>4.2754835537099671</v>
      </c>
    </row>
    <row r="104" spans="1:7" ht="16.5" hidden="1" thickBot="1">
      <c r="A104" s="73">
        <v>2002</v>
      </c>
      <c r="B104" s="80" t="s">
        <v>56</v>
      </c>
      <c r="C104" s="75">
        <f t="shared" si="7"/>
        <v>1849.7799999999993</v>
      </c>
      <c r="D104" s="179">
        <v>1.0698284340509234</v>
      </c>
      <c r="E104" s="75">
        <f t="shared" ref="E104:E111" si="10">+((C104/$C$103)-1)*100</f>
        <v>1.0698284340509234</v>
      </c>
      <c r="F104" s="149">
        <f t="shared" si="8"/>
        <v>9.7668512155899343</v>
      </c>
      <c r="G104" s="78">
        <f t="shared" si="6"/>
        <v>4.2302273783909348</v>
      </c>
    </row>
    <row r="105" spans="1:7" ht="16.5" hidden="1" thickBot="1">
      <c r="A105" s="73">
        <v>2002</v>
      </c>
      <c r="B105" s="80" t="s">
        <v>57</v>
      </c>
      <c r="C105" s="75">
        <f t="shared" si="7"/>
        <v>1855.5099999999991</v>
      </c>
      <c r="D105" s="179">
        <v>0.30976656683496806</v>
      </c>
      <c r="E105" s="75">
        <f>+((C105/$C$103)-1)*100</f>
        <v>1.3829089716970611</v>
      </c>
      <c r="F105" s="149">
        <f t="shared" si="8"/>
        <v>9.5698131034279044</v>
      </c>
      <c r="G105" s="78">
        <f t="shared" si="6"/>
        <v>4.217164014206328</v>
      </c>
    </row>
    <row r="106" spans="1:7" ht="16.5" hidden="1" thickBot="1">
      <c r="A106" s="73">
        <v>2002</v>
      </c>
      <c r="B106" s="80" t="s">
        <v>58</v>
      </c>
      <c r="C106" s="75">
        <f t="shared" si="7"/>
        <v>1867.0099999999989</v>
      </c>
      <c r="D106" s="179">
        <v>0.61977569509190644</v>
      </c>
      <c r="E106" s="75">
        <f t="shared" si="10"/>
        <v>2.011255600480788</v>
      </c>
      <c r="F106" s="149">
        <f t="shared" si="8"/>
        <v>9.7221405987376173</v>
      </c>
      <c r="G106" s="78">
        <f t="shared" si="6"/>
        <v>4.1911880493409166</v>
      </c>
    </row>
    <row r="107" spans="1:7" ht="16.5" hidden="1" thickBot="1">
      <c r="A107" s="73">
        <v>2002</v>
      </c>
      <c r="B107" s="80" t="s">
        <v>59</v>
      </c>
      <c r="C107" s="75">
        <f t="shared" si="7"/>
        <v>1879.7099999999987</v>
      </c>
      <c r="D107" s="179">
        <v>0.68023202875184818</v>
      </c>
      <c r="E107" s="75">
        <f t="shared" si="10"/>
        <v>2.7051688340071767</v>
      </c>
      <c r="F107" s="149">
        <f t="shared" si="8"/>
        <v>9.548508919673381</v>
      </c>
      <c r="G107" s="78">
        <f t="shared" si="6"/>
        <v>4.1628708683786249</v>
      </c>
    </row>
    <row r="108" spans="1:7" ht="16.5" hidden="1" thickBot="1">
      <c r="A108" s="73">
        <v>2002</v>
      </c>
      <c r="B108" s="80" t="s">
        <v>60</v>
      </c>
      <c r="C108" s="75">
        <f t="shared" si="7"/>
        <v>1881.3999999999987</v>
      </c>
      <c r="D108" s="179">
        <v>8.9907485729190384E-2</v>
      </c>
      <c r="E108" s="75">
        <f t="shared" si="10"/>
        <v>2.7975084690197383</v>
      </c>
      <c r="F108" s="149">
        <f t="shared" si="8"/>
        <v>9.0255845623388176</v>
      </c>
      <c r="G108" s="78">
        <f t="shared" si="6"/>
        <v>4.1591314978207636</v>
      </c>
    </row>
    <row r="109" spans="1:7" ht="16.5" hidden="1" thickBot="1">
      <c r="A109" s="73">
        <v>2002</v>
      </c>
      <c r="B109" s="80" t="s">
        <v>61</v>
      </c>
      <c r="C109" s="75">
        <f t="shared" si="7"/>
        <v>1892.8799999999987</v>
      </c>
      <c r="D109" s="179">
        <v>0.61018390560221292</v>
      </c>
      <c r="E109" s="75">
        <f t="shared" si="10"/>
        <v>3.4247623210577727</v>
      </c>
      <c r="F109" s="149">
        <f t="shared" si="8"/>
        <v>9.0368663594469822</v>
      </c>
      <c r="G109" s="78">
        <f t="shared" si="6"/>
        <v>4.1339070622543348</v>
      </c>
    </row>
    <row r="110" spans="1:7" ht="16.5" hidden="1" thickBot="1">
      <c r="A110" s="73">
        <v>2002</v>
      </c>
      <c r="B110" s="80" t="s">
        <v>62</v>
      </c>
      <c r="C110" s="75">
        <f t="shared" si="7"/>
        <v>1914.6499999999987</v>
      </c>
      <c r="D110" s="179">
        <v>1.1500993195553866</v>
      </c>
      <c r="E110" s="75">
        <f t="shared" si="10"/>
        <v>4.6142498087640371</v>
      </c>
      <c r="F110" s="149">
        <f t="shared" si="8"/>
        <v>9.0800845453975487</v>
      </c>
      <c r="G110" s="78">
        <f t="shared" si="6"/>
        <v>4.0869036116261377</v>
      </c>
    </row>
    <row r="111" spans="1:7" ht="16.5" hidden="1" thickBot="1">
      <c r="A111" s="73">
        <v>2002</v>
      </c>
      <c r="B111" s="80" t="s">
        <v>63</v>
      </c>
      <c r="C111" s="75">
        <f t="shared" si="7"/>
        <v>1931.1199999999985</v>
      </c>
      <c r="D111" s="179">
        <v>0.86020943775624303</v>
      </c>
      <c r="E111" s="75">
        <f t="shared" si="10"/>
        <v>5.5141514588569196</v>
      </c>
      <c r="F111" s="149">
        <f t="shared" si="8"/>
        <v>9.1558610398272187</v>
      </c>
      <c r="G111" s="78">
        <f t="shared" si="6"/>
        <v>4.0520475164671206</v>
      </c>
    </row>
    <row r="112" spans="1:7" ht="16.5" hidden="1" thickBot="1">
      <c r="A112" s="73">
        <v>2002</v>
      </c>
      <c r="B112" s="80" t="s">
        <v>64</v>
      </c>
      <c r="C112" s="75">
        <f t="shared" si="7"/>
        <v>1947.1499999999987</v>
      </c>
      <c r="D112" s="179">
        <v>0.83008823894943351</v>
      </c>
      <c r="E112" s="75">
        <f>+((C112/$C$103)-1)*100</f>
        <v>6.3900120205441668</v>
      </c>
      <c r="F112" s="149">
        <f t="shared" si="8"/>
        <v>9.5800598788915678</v>
      </c>
      <c r="G112" s="78">
        <f t="shared" si="6"/>
        <v>4.0186888529389027</v>
      </c>
    </row>
    <row r="113" spans="1:7" ht="16.5" hidden="1" thickBot="1">
      <c r="A113" s="73">
        <v>2002</v>
      </c>
      <c r="B113" s="80" t="s">
        <v>65</v>
      </c>
      <c r="C113" s="75">
        <f t="shared" si="7"/>
        <v>1977.7199999999989</v>
      </c>
      <c r="D113" s="179">
        <v>1.5699869039365266</v>
      </c>
      <c r="E113" s="75">
        <f>+((C113/$C$103)-1)*100</f>
        <v>8.0603212763632257</v>
      </c>
      <c r="F113" s="149">
        <f t="shared" si="8"/>
        <v>10.264158517411737</v>
      </c>
      <c r="G113" s="78">
        <f t="shared" si="6"/>
        <v>3.9565712032036813</v>
      </c>
    </row>
    <row r="114" spans="1:7" ht="16.5" hidden="1" thickBot="1">
      <c r="A114" s="73">
        <v>2002</v>
      </c>
      <c r="B114" s="80" t="s">
        <v>66</v>
      </c>
      <c r="C114" s="75">
        <f t="shared" si="7"/>
        <v>2044.7599999999989</v>
      </c>
      <c r="D114" s="179">
        <v>3.3897619481018548</v>
      </c>
      <c r="E114" s="75">
        <f>+((C114/$C$103)-1)*100</f>
        <v>11.723308927985986</v>
      </c>
      <c r="F114" s="149">
        <f t="shared" si="8"/>
        <v>12.549813954512423</v>
      </c>
      <c r="G114" s="78">
        <f t="shared" si="6"/>
        <v>3.8268500948766526</v>
      </c>
    </row>
    <row r="115" spans="1:7" ht="16.5" hidden="1" thickBot="1">
      <c r="A115" s="73">
        <v>2002</v>
      </c>
      <c r="B115" s="80" t="s">
        <v>55</v>
      </c>
      <c r="C115" s="75">
        <f t="shared" si="7"/>
        <v>2099.9699999999984</v>
      </c>
      <c r="D115" s="179">
        <v>2.7000723801326121</v>
      </c>
      <c r="E115" s="75">
        <f>+((C115/$C$103)-1)*100</f>
        <v>14.739919134520774</v>
      </c>
      <c r="F115" s="149">
        <f t="shared" si="8"/>
        <v>14.739919134520774</v>
      </c>
      <c r="G115" s="78">
        <f t="shared" si="6"/>
        <v>3.7262389462706542</v>
      </c>
    </row>
    <row r="116" spans="1:7" ht="16.5" hidden="1" thickBot="1">
      <c r="A116" s="73">
        <v>2003</v>
      </c>
      <c r="B116" s="80" t="s">
        <v>56</v>
      </c>
      <c r="C116" s="75">
        <f t="shared" si="7"/>
        <v>2151.8399999999988</v>
      </c>
      <c r="D116" s="179">
        <v>2.4700352862183861</v>
      </c>
      <c r="E116" s="75">
        <f t="shared" ref="E116:E127" si="11">+((C116/$C$115)-1)*100</f>
        <v>2.4700352862183861</v>
      </c>
      <c r="F116" s="149">
        <f t="shared" si="8"/>
        <v>16.329509455178439</v>
      </c>
      <c r="G116" s="78">
        <f t="shared" si="6"/>
        <v>3.6364181351773293</v>
      </c>
    </row>
    <row r="117" spans="1:7" ht="16.5" hidden="1" thickBot="1">
      <c r="A117" s="73">
        <v>2003</v>
      </c>
      <c r="B117" s="80" t="s">
        <v>57</v>
      </c>
      <c r="C117" s="75">
        <f t="shared" si="7"/>
        <v>2183.2599999999989</v>
      </c>
      <c r="D117" s="179">
        <v>1.4601457357424463</v>
      </c>
      <c r="E117" s="75">
        <f t="shared" si="11"/>
        <v>3.9662471368638874</v>
      </c>
      <c r="F117" s="149">
        <f t="shared" si="8"/>
        <v>17.663607310119577</v>
      </c>
      <c r="G117" s="78">
        <f t="shared" si="6"/>
        <v>3.5840852669860594</v>
      </c>
    </row>
    <row r="118" spans="1:7" ht="16.5" hidden="1" thickBot="1">
      <c r="A118" s="73">
        <v>2003</v>
      </c>
      <c r="B118" s="80" t="s">
        <v>58</v>
      </c>
      <c r="C118" s="75">
        <f t="shared" si="7"/>
        <v>2213.1699999999987</v>
      </c>
      <c r="D118" s="179">
        <v>1.3699696783708637</v>
      </c>
      <c r="E118" s="75">
        <f t="shared" si="11"/>
        <v>5.3905531983790445</v>
      </c>
      <c r="F118" s="149">
        <f t="shared" si="8"/>
        <v>18.540875517538737</v>
      </c>
      <c r="G118" s="78">
        <f t="shared" si="6"/>
        <v>3.5356479619730905</v>
      </c>
    </row>
    <row r="119" spans="1:7" ht="16.5" hidden="1" thickBot="1">
      <c r="A119" s="73">
        <v>2003</v>
      </c>
      <c r="B119" s="80" t="s">
        <v>59</v>
      </c>
      <c r="C119" s="75">
        <f t="shared" si="7"/>
        <v>2243.7099999999987</v>
      </c>
      <c r="D119" s="179">
        <v>1.3799211086360286</v>
      </c>
      <c r="E119" s="75">
        <f t="shared" si="11"/>
        <v>6.8448596884717494</v>
      </c>
      <c r="F119" s="149">
        <f t="shared" si="8"/>
        <v>19.364689233977607</v>
      </c>
      <c r="G119" s="78">
        <f t="shared" si="6"/>
        <v>3.4875228973441241</v>
      </c>
    </row>
    <row r="120" spans="1:7" ht="16.5" hidden="1" thickBot="1">
      <c r="A120" s="73">
        <v>2003</v>
      </c>
      <c r="B120" s="80" t="s">
        <v>60</v>
      </c>
      <c r="C120" s="75">
        <f t="shared" si="7"/>
        <v>2265.9199999999987</v>
      </c>
      <c r="D120" s="179">
        <v>0.98987837109074661</v>
      </c>
      <c r="E120" s="75">
        <f t="shared" si="11"/>
        <v>7.9024938451501825</v>
      </c>
      <c r="F120" s="149">
        <f t="shared" si="8"/>
        <v>20.437971723184866</v>
      </c>
      <c r="G120" s="78">
        <f t="shared" si="6"/>
        <v>3.4533390410958833</v>
      </c>
    </row>
    <row r="121" spans="1:7" ht="16.5" hidden="1" thickBot="1">
      <c r="A121" s="73">
        <v>2003</v>
      </c>
      <c r="B121" s="80" t="s">
        <v>61</v>
      </c>
      <c r="C121" s="75">
        <f t="shared" si="7"/>
        <v>2264.5599999999986</v>
      </c>
      <c r="D121" s="179">
        <v>-6.0019771218755569E-2</v>
      </c>
      <c r="E121" s="75">
        <f t="shared" si="11"/>
        <v>7.8377310152049962</v>
      </c>
      <c r="F121" s="149">
        <f t="shared" si="8"/>
        <v>19.635687418114212</v>
      </c>
      <c r="G121" s="78">
        <f t="shared" si="6"/>
        <v>3.4554129720563749</v>
      </c>
    </row>
    <row r="122" spans="1:7" ht="16.5" hidden="1" thickBot="1">
      <c r="A122" s="73">
        <v>2003</v>
      </c>
      <c r="B122" s="80" t="s">
        <v>62</v>
      </c>
      <c r="C122" s="75">
        <f t="shared" si="7"/>
        <v>2265.4699999999984</v>
      </c>
      <c r="D122" s="179">
        <v>4.0184406683851925E-2</v>
      </c>
      <c r="E122" s="75">
        <f t="shared" si="11"/>
        <v>7.8810649675947753</v>
      </c>
      <c r="F122" s="149">
        <f t="shared" si="8"/>
        <v>18.322931084010129</v>
      </c>
      <c r="G122" s="78">
        <f t="shared" si="6"/>
        <v>3.4540249926063842</v>
      </c>
    </row>
    <row r="123" spans="1:7" ht="16.5" hidden="1" thickBot="1">
      <c r="A123" s="73">
        <v>2003</v>
      </c>
      <c r="B123" s="80" t="s">
        <v>63</v>
      </c>
      <c r="C123" s="75">
        <f t="shared" si="7"/>
        <v>2269.5499999999984</v>
      </c>
      <c r="D123" s="179">
        <v>0.18009507960821125</v>
      </c>
      <c r="E123" s="75">
        <f t="shared" si="11"/>
        <v>8.0753534574303565</v>
      </c>
      <c r="F123" s="149">
        <f t="shared" si="8"/>
        <v>17.525063175773646</v>
      </c>
      <c r="G123" s="78">
        <f t="shared" si="6"/>
        <v>3.4478156462734839</v>
      </c>
    </row>
    <row r="124" spans="1:7" ht="16.5" hidden="1" thickBot="1">
      <c r="A124" s="73">
        <v>2003</v>
      </c>
      <c r="B124" s="80" t="s">
        <v>64</v>
      </c>
      <c r="C124" s="75">
        <f t="shared" si="7"/>
        <v>2288.159999999998</v>
      </c>
      <c r="D124" s="179">
        <v>0.81998634090456601</v>
      </c>
      <c r="E124" s="75">
        <f t="shared" si="11"/>
        <v>8.9615565936656196</v>
      </c>
      <c r="F124" s="149">
        <f t="shared" si="8"/>
        <v>17.513288652646143</v>
      </c>
      <c r="G124" s="78">
        <f t="shared" si="6"/>
        <v>3.4197739668554585</v>
      </c>
    </row>
    <row r="125" spans="1:7" ht="16.5" hidden="1" thickBot="1">
      <c r="A125" s="73">
        <v>2003</v>
      </c>
      <c r="B125" s="80" t="s">
        <v>65</v>
      </c>
      <c r="C125" s="75">
        <f t="shared" si="7"/>
        <v>2297.0799999999981</v>
      </c>
      <c r="D125" s="179">
        <v>0.38983287881966255</v>
      </c>
      <c r="E125" s="75">
        <f t="shared" si="11"/>
        <v>9.3863245665414254</v>
      </c>
      <c r="F125" s="149">
        <f t="shared" si="8"/>
        <v>16.147887466375387</v>
      </c>
      <c r="G125" s="78">
        <f t="shared" si="6"/>
        <v>3.4064943319344501</v>
      </c>
    </row>
    <row r="126" spans="1:7" ht="16.5" hidden="1" thickBot="1">
      <c r="A126" s="73">
        <v>2003</v>
      </c>
      <c r="B126" s="80" t="s">
        <v>66</v>
      </c>
      <c r="C126" s="75">
        <f t="shared" si="7"/>
        <v>2305.5799999999981</v>
      </c>
      <c r="D126" s="179">
        <v>0.37003500095773578</v>
      </c>
      <c r="E126" s="75">
        <f t="shared" si="11"/>
        <v>9.7910922536988529</v>
      </c>
      <c r="F126" s="149">
        <f t="shared" si="8"/>
        <v>12.755531211486893</v>
      </c>
      <c r="G126" s="78">
        <f t="shared" si="6"/>
        <v>3.393935582369723</v>
      </c>
    </row>
    <row r="127" spans="1:7" ht="16.5" hidden="1" thickBot="1">
      <c r="A127" s="73">
        <v>2003</v>
      </c>
      <c r="B127" s="80" t="s">
        <v>55</v>
      </c>
      <c r="C127" s="75">
        <f t="shared" si="7"/>
        <v>2318.0299999999984</v>
      </c>
      <c r="D127" s="179">
        <v>0.53999427475950323</v>
      </c>
      <c r="E127" s="75">
        <f t="shared" si="11"/>
        <v>10.383957866064764</v>
      </c>
      <c r="F127" s="149">
        <f t="shared" si="8"/>
        <v>10.383957866064764</v>
      </c>
      <c r="G127" s="78">
        <f t="shared" si="6"/>
        <v>3.3757069580635215</v>
      </c>
    </row>
    <row r="128" spans="1:7" ht="16.5" hidden="1" thickBot="1">
      <c r="A128" s="73">
        <v>2004</v>
      </c>
      <c r="B128" s="80" t="s">
        <v>56</v>
      </c>
      <c r="C128" s="75">
        <f t="shared" si="7"/>
        <v>2337.2699999999982</v>
      </c>
      <c r="D128" s="179">
        <v>0.83001514216811678</v>
      </c>
      <c r="E128" s="75">
        <f t="shared" ref="E128:E139" si="12">+((C128/$C$127)-1)*100</f>
        <v>0.83001514216811678</v>
      </c>
      <c r="F128" s="149">
        <f t="shared" si="8"/>
        <v>8.6172763774257977</v>
      </c>
      <c r="G128" s="78">
        <f t="shared" si="6"/>
        <v>3.3479187256927894</v>
      </c>
    </row>
    <row r="129" spans="1:7" ht="16.5" hidden="1" thickBot="1">
      <c r="A129" s="73">
        <v>2004</v>
      </c>
      <c r="B129" s="80" t="s">
        <v>57</v>
      </c>
      <c r="C129" s="75">
        <f t="shared" si="7"/>
        <v>2346.3899999999981</v>
      </c>
      <c r="D129" s="179">
        <v>0.39019882170223674</v>
      </c>
      <c r="E129" s="75">
        <f t="shared" si="12"/>
        <v>1.2234526731750517</v>
      </c>
      <c r="F129" s="149">
        <f t="shared" si="8"/>
        <v>7.471854016470747</v>
      </c>
      <c r="G129" s="78">
        <f t="shared" si="6"/>
        <v>3.3349059619244823</v>
      </c>
    </row>
    <row r="130" spans="1:7" ht="16.5" hidden="1" thickBot="1">
      <c r="A130" s="73">
        <v>2004</v>
      </c>
      <c r="B130" s="80" t="s">
        <v>58</v>
      </c>
      <c r="C130" s="75">
        <f t="shared" si="7"/>
        <v>2359.7599999999984</v>
      </c>
      <c r="D130" s="179">
        <v>0.56981149766237582</v>
      </c>
      <c r="E130" s="75">
        <f t="shared" si="12"/>
        <v>1.8002355448376361</v>
      </c>
      <c r="F130" s="149">
        <f t="shared" si="8"/>
        <v>6.6235309533384079</v>
      </c>
      <c r="G130" s="78">
        <f t="shared" si="6"/>
        <v>3.3160109502661226</v>
      </c>
    </row>
    <row r="131" spans="1:7" ht="16.5" hidden="1" thickBot="1">
      <c r="A131" s="73">
        <v>2004</v>
      </c>
      <c r="B131" s="80" t="s">
        <v>59</v>
      </c>
      <c r="C131" s="75">
        <f t="shared" si="7"/>
        <v>2369.429999999998</v>
      </c>
      <c r="D131" s="179">
        <v>0.40978743601043366</v>
      </c>
      <c r="E131" s="75">
        <f t="shared" si="12"/>
        <v>2.2174001199294135</v>
      </c>
      <c r="F131" s="149">
        <f t="shared" si="8"/>
        <v>5.6032196674258072</v>
      </c>
      <c r="G131" s="78">
        <f t="shared" si="6"/>
        <v>3.302477811119124</v>
      </c>
    </row>
    <row r="132" spans="1:7" ht="16.5" hidden="1" thickBot="1">
      <c r="A132" s="73">
        <v>2004</v>
      </c>
      <c r="B132" s="80" t="s">
        <v>60</v>
      </c>
      <c r="C132" s="75">
        <f t="shared" si="7"/>
        <v>2378.909999999998</v>
      </c>
      <c r="D132" s="179">
        <v>0.40009622567453995</v>
      </c>
      <c r="E132" s="75">
        <f t="shared" si="12"/>
        <v>2.6263680797918854</v>
      </c>
      <c r="F132" s="149">
        <f t="shared" si="8"/>
        <v>4.9864955514757447</v>
      </c>
      <c r="G132" s="78">
        <f t="shared" si="6"/>
        <v>3.289317376445509</v>
      </c>
    </row>
    <row r="133" spans="1:7" ht="16.5" hidden="1" thickBot="1">
      <c r="A133" s="73">
        <v>2004</v>
      </c>
      <c r="B133" s="80" t="s">
        <v>61</v>
      </c>
      <c r="C133" s="75">
        <f t="shared" si="7"/>
        <v>2390.7999999999984</v>
      </c>
      <c r="D133" s="179">
        <v>0.49980873593369335</v>
      </c>
      <c r="E133" s="75">
        <f t="shared" si="12"/>
        <v>3.1393036328261514</v>
      </c>
      <c r="F133" s="149">
        <f t="shared" si="8"/>
        <v>5.5745928568905256</v>
      </c>
      <c r="G133" s="78">
        <f t="shared" si="6"/>
        <v>3.2729588422285367</v>
      </c>
    </row>
    <row r="134" spans="1:7" ht="16.5" hidden="1" thickBot="1">
      <c r="A134" s="73">
        <v>2004</v>
      </c>
      <c r="B134" s="80" t="s">
        <v>62</v>
      </c>
      <c r="C134" s="75">
        <f t="shared" si="7"/>
        <v>2408.2499999999982</v>
      </c>
      <c r="D134" s="179">
        <v>0.72988121131001282</v>
      </c>
      <c r="E134" s="75">
        <f t="shared" si="12"/>
        <v>3.8920980315181319</v>
      </c>
      <c r="F134" s="149">
        <f t="shared" si="8"/>
        <v>6.3024449672694827</v>
      </c>
      <c r="G134" s="78">
        <f t="shared" si="6"/>
        <v>3.2492432264092121</v>
      </c>
    </row>
    <row r="135" spans="1:7" ht="16.5" hidden="1" thickBot="1">
      <c r="A135" s="73">
        <v>2004</v>
      </c>
      <c r="B135" s="80" t="s">
        <v>63</v>
      </c>
      <c r="C135" s="75">
        <f t="shared" si="7"/>
        <v>2420.2899999999981</v>
      </c>
      <c r="D135" s="179">
        <v>0.49994809508979721</v>
      </c>
      <c r="E135" s="75">
        <f t="shared" si="12"/>
        <v>4.4115045965755328</v>
      </c>
      <c r="F135" s="149">
        <f t="shared" si="8"/>
        <v>6.6418452997290212</v>
      </c>
      <c r="G135" s="78">
        <f t="shared" ref="G135:G198" si="13">$C$396/C135</f>
        <v>3.233079507001221</v>
      </c>
    </row>
    <row r="136" spans="1:7" ht="16.5" hidden="1" thickBot="1">
      <c r="A136" s="73">
        <v>2004</v>
      </c>
      <c r="B136" s="80" t="s">
        <v>64</v>
      </c>
      <c r="C136" s="75">
        <f t="shared" ref="C136:C199" si="14">+C135*(1+D136/100)</f>
        <v>2424.3999999999983</v>
      </c>
      <c r="D136" s="179">
        <v>0.1698143610889602</v>
      </c>
      <c r="E136" s="75">
        <f t="shared" si="12"/>
        <v>4.5888103260095736</v>
      </c>
      <c r="F136" s="149">
        <f t="shared" si="8"/>
        <v>5.9541290818823978</v>
      </c>
      <c r="G136" s="78">
        <f t="shared" si="13"/>
        <v>3.2275985810922228</v>
      </c>
    </row>
    <row r="137" spans="1:7" ht="16.5" hidden="1" thickBot="1">
      <c r="A137" s="73">
        <v>2004</v>
      </c>
      <c r="B137" s="80" t="s">
        <v>65</v>
      </c>
      <c r="C137" s="75">
        <f t="shared" si="14"/>
        <v>2428.5199999999982</v>
      </c>
      <c r="D137" s="179">
        <v>0.1699389539679963</v>
      </c>
      <c r="E137" s="75">
        <f t="shared" si="12"/>
        <v>4.7665474562451626</v>
      </c>
      <c r="F137" s="149">
        <f t="shared" si="8"/>
        <v>5.7220471206923751</v>
      </c>
      <c r="G137" s="78">
        <f t="shared" si="13"/>
        <v>3.2221229390739978</v>
      </c>
    </row>
    <row r="138" spans="1:7" ht="16.5" hidden="1" thickBot="1">
      <c r="A138" s="73">
        <v>2004</v>
      </c>
      <c r="B138" s="80" t="s">
        <v>66</v>
      </c>
      <c r="C138" s="75">
        <f t="shared" si="14"/>
        <v>2439.2099999999982</v>
      </c>
      <c r="D138" s="179">
        <v>0.44018579216971165</v>
      </c>
      <c r="E138" s="75">
        <f t="shared" si="12"/>
        <v>5.2277149130943057</v>
      </c>
      <c r="F138" s="149">
        <f t="shared" si="8"/>
        <v>5.7959385490852666</v>
      </c>
      <c r="G138" s="78">
        <f t="shared" si="13"/>
        <v>3.208001771065216</v>
      </c>
    </row>
    <row r="139" spans="1:7" ht="16.5" hidden="1" thickBot="1">
      <c r="A139" s="73">
        <v>2004</v>
      </c>
      <c r="B139" s="80" t="s">
        <v>55</v>
      </c>
      <c r="C139" s="75">
        <f t="shared" si="14"/>
        <v>2460.1899999999982</v>
      </c>
      <c r="D139" s="179">
        <v>0.86011454528309716</v>
      </c>
      <c r="E139" s="75">
        <f t="shared" si="12"/>
        <v>6.1327937947308619</v>
      </c>
      <c r="F139" s="149">
        <f t="shared" si="8"/>
        <v>6.1327937947308619</v>
      </c>
      <c r="G139" s="78">
        <f t="shared" si="13"/>
        <v>3.1806445843613647</v>
      </c>
    </row>
    <row r="140" spans="1:7" ht="16.5" hidden="1" thickBot="1">
      <c r="A140" s="73">
        <v>2005</v>
      </c>
      <c r="B140" s="80" t="s">
        <v>56</v>
      </c>
      <c r="C140" s="75">
        <f t="shared" si="14"/>
        <v>2474.2099999999982</v>
      </c>
      <c r="D140" s="179">
        <v>0.56987468447557976</v>
      </c>
      <c r="E140" s="75">
        <f t="shared" ref="E140:E147" si="15">+((C140/$C$139)-1)*100</f>
        <v>0.56987468447557976</v>
      </c>
      <c r="F140" s="149">
        <f t="shared" si="8"/>
        <v>5.8589722197264438</v>
      </c>
      <c r="G140" s="78">
        <f t="shared" si="13"/>
        <v>3.1626216044717244</v>
      </c>
    </row>
    <row r="141" spans="1:7" ht="16.5" hidden="1" thickBot="1">
      <c r="A141" s="73">
        <v>2005</v>
      </c>
      <c r="B141" s="80" t="s">
        <v>57</v>
      </c>
      <c r="C141" s="75">
        <f t="shared" si="14"/>
        <v>2485.0999999999981</v>
      </c>
      <c r="D141" s="179">
        <v>0.44014048928748828</v>
      </c>
      <c r="E141" s="75">
        <f t="shared" si="15"/>
        <v>1.0125234229876545</v>
      </c>
      <c r="F141" s="149">
        <f t="shared" si="8"/>
        <v>5.9116344682682787</v>
      </c>
      <c r="G141" s="78">
        <f t="shared" si="13"/>
        <v>3.1487626252464631</v>
      </c>
    </row>
    <row r="142" spans="1:7" ht="16.5" hidden="1" thickBot="1">
      <c r="A142" s="73">
        <v>2005</v>
      </c>
      <c r="B142" s="80" t="s">
        <v>58</v>
      </c>
      <c r="C142" s="75">
        <f t="shared" si="14"/>
        <v>2503.239999999998</v>
      </c>
      <c r="D142" s="179">
        <v>0.72995050500985759</v>
      </c>
      <c r="E142" s="75">
        <f t="shared" si="15"/>
        <v>1.7498648478369461</v>
      </c>
      <c r="F142" s="149">
        <f t="shared" si="8"/>
        <v>6.0802793504423969</v>
      </c>
      <c r="G142" s="78">
        <f t="shared" si="13"/>
        <v>3.1259447755708547</v>
      </c>
    </row>
    <row r="143" spans="1:7" ht="16.5" hidden="1" thickBot="1">
      <c r="A143" s="73">
        <v>2005</v>
      </c>
      <c r="B143" s="80" t="s">
        <v>59</v>
      </c>
      <c r="C143" s="75">
        <f t="shared" si="14"/>
        <v>2526.0199999999986</v>
      </c>
      <c r="D143" s="179">
        <v>0.91002061328520067</v>
      </c>
      <c r="E143" s="75">
        <f t="shared" si="15"/>
        <v>2.6758095919421132</v>
      </c>
      <c r="F143" s="149">
        <f t="shared" si="8"/>
        <v>6.6087624449762572</v>
      </c>
      <c r="G143" s="78">
        <f t="shared" si="13"/>
        <v>3.0977545704309484</v>
      </c>
    </row>
    <row r="144" spans="1:7" ht="16.5" hidden="1" thickBot="1">
      <c r="A144" s="73">
        <v>2005</v>
      </c>
      <c r="B144" s="80" t="s">
        <v>60</v>
      </c>
      <c r="C144" s="75">
        <f t="shared" si="14"/>
        <v>2543.699999999998</v>
      </c>
      <c r="D144" s="179">
        <v>0.69991528174755402</v>
      </c>
      <c r="E144" s="75">
        <f t="shared" si="15"/>
        <v>3.3944532739341282</v>
      </c>
      <c r="F144" s="149">
        <f t="shared" si="8"/>
        <v>6.9271220853247994</v>
      </c>
      <c r="G144" s="78">
        <f t="shared" si="13"/>
        <v>3.0762236112749091</v>
      </c>
    </row>
    <row r="145" spans="1:7" ht="16.5" hidden="1" thickBot="1">
      <c r="A145" s="73">
        <v>2005</v>
      </c>
      <c r="B145" s="80" t="s">
        <v>61</v>
      </c>
      <c r="C145" s="75">
        <f t="shared" si="14"/>
        <v>2540.8999999999983</v>
      </c>
      <c r="D145" s="179">
        <v>-0.11007587372723338</v>
      </c>
      <c r="E145" s="75">
        <f t="shared" si="15"/>
        <v>3.2806409261073366</v>
      </c>
      <c r="F145" s="149">
        <f t="shared" si="8"/>
        <v>6.2782332273715991</v>
      </c>
      <c r="G145" s="78">
        <f t="shared" si="13"/>
        <v>3.0796135227675174</v>
      </c>
    </row>
    <row r="146" spans="1:7" ht="16.5" hidden="1" thickBot="1">
      <c r="A146" s="73">
        <v>2005</v>
      </c>
      <c r="B146" s="80" t="s">
        <v>62</v>
      </c>
      <c r="C146" s="75">
        <f t="shared" si="14"/>
        <v>2541.659999999998</v>
      </c>
      <c r="D146" s="179">
        <v>2.9910661576604269E-2</v>
      </c>
      <c r="E146" s="75">
        <f t="shared" si="15"/>
        <v>3.311532849088894</v>
      </c>
      <c r="F146" s="149">
        <f t="shared" si="8"/>
        <v>5.5397072563064365</v>
      </c>
      <c r="G146" s="78">
        <f t="shared" si="13"/>
        <v>3.0786926654233793</v>
      </c>
    </row>
    <row r="147" spans="1:7" ht="16.5" hidden="1" thickBot="1">
      <c r="A147" s="73">
        <v>2005</v>
      </c>
      <c r="B147" s="80" t="s">
        <v>77</v>
      </c>
      <c r="C147" s="75">
        <f t="shared" si="14"/>
        <v>2541.659999999998</v>
      </c>
      <c r="D147" s="179">
        <v>0</v>
      </c>
      <c r="E147" s="75">
        <f t="shared" si="15"/>
        <v>3.311532849088894</v>
      </c>
      <c r="F147" s="149">
        <f t="shared" si="8"/>
        <v>5.0146883224737593</v>
      </c>
      <c r="G147" s="78">
        <f t="shared" si="13"/>
        <v>3.0786926654233793</v>
      </c>
    </row>
    <row r="148" spans="1:7" ht="16.5" hidden="1" thickBot="1">
      <c r="A148" s="83">
        <v>2005</v>
      </c>
      <c r="B148" s="80" t="s">
        <v>79</v>
      </c>
      <c r="C148" s="75">
        <f t="shared" si="14"/>
        <v>2545.469999999998</v>
      </c>
      <c r="D148" s="179">
        <v>0.14990203252991385</v>
      </c>
      <c r="E148" s="75">
        <f>+((C148/$C$139)-1)*100</f>
        <v>3.4663989366674919</v>
      </c>
      <c r="F148" s="149">
        <f t="shared" ref="F148:F208" si="16">100*((C148/C136)-1)</f>
        <v>4.9938129021613431</v>
      </c>
      <c r="G148" s="78">
        <f t="shared" si="13"/>
        <v>3.0740845502009395</v>
      </c>
    </row>
    <row r="149" spans="1:7" ht="16.5" hidden="1" thickBot="1">
      <c r="A149" s="83">
        <v>2005</v>
      </c>
      <c r="B149" s="80" t="s">
        <v>78</v>
      </c>
      <c r="C149" s="75">
        <f t="shared" si="14"/>
        <v>2560.2299999999982</v>
      </c>
      <c r="D149" s="179">
        <v>0.57985362231729454</v>
      </c>
      <c r="E149" s="75">
        <f>+((C149/$C$139)-1)*100</f>
        <v>4.0663525987830296</v>
      </c>
      <c r="F149" s="149">
        <f t="shared" si="16"/>
        <v>5.4234677910826479</v>
      </c>
      <c r="G149" s="78">
        <f t="shared" si="13"/>
        <v>3.0563621237154415</v>
      </c>
    </row>
    <row r="150" spans="1:7" ht="16.5" hidden="1" thickBot="1">
      <c r="A150" s="83">
        <v>2005</v>
      </c>
      <c r="B150" s="80" t="s">
        <v>68</v>
      </c>
      <c r="C150" s="75">
        <f t="shared" si="14"/>
        <v>2574.0499999999984</v>
      </c>
      <c r="D150" s="179">
        <v>0.53979525277025875</v>
      </c>
      <c r="E150" s="75">
        <f>+((C150/$C$139)-1)*100</f>
        <v>4.6280978298424147</v>
      </c>
      <c r="F150" s="149">
        <f t="shared" si="16"/>
        <v>5.5280193177299264</v>
      </c>
      <c r="G150" s="78">
        <f t="shared" si="13"/>
        <v>3.0399526038732678</v>
      </c>
    </row>
    <row r="151" spans="1:7" ht="16.5" hidden="1" thickBot="1">
      <c r="A151" s="83">
        <v>2005</v>
      </c>
      <c r="B151" s="80" t="s">
        <v>69</v>
      </c>
      <c r="C151" s="75">
        <f t="shared" si="14"/>
        <v>2584.3499999999981</v>
      </c>
      <c r="D151" s="179">
        <v>0.40014762727995645</v>
      </c>
      <c r="E151" s="75">
        <f>+((C151/$C$139)-1)*100</f>
        <v>5.0467646807766942</v>
      </c>
      <c r="F151" s="149">
        <f t="shared" si="16"/>
        <v>5.0467646807766942</v>
      </c>
      <c r="G151" s="78">
        <f t="shared" si="13"/>
        <v>3.0278367868129261</v>
      </c>
    </row>
    <row r="152" spans="1:7" ht="16.5" hidden="1" thickBot="1">
      <c r="A152" s="83">
        <v>2006</v>
      </c>
      <c r="B152" s="80" t="s">
        <v>70</v>
      </c>
      <c r="C152" s="75">
        <f t="shared" si="14"/>
        <v>2594.1699999999983</v>
      </c>
      <c r="D152" s="179">
        <v>0.37997949194188418</v>
      </c>
      <c r="E152" s="75">
        <f t="shared" ref="E152:E160" si="17">+((C152/$C$151)-1)*100</f>
        <v>0.37997949194188418</v>
      </c>
      <c r="F152" s="149">
        <f t="shared" si="16"/>
        <v>4.8484162621604598</v>
      </c>
      <c r="G152" s="78">
        <f t="shared" si="13"/>
        <v>3.016375179729927</v>
      </c>
    </row>
    <row r="153" spans="1:7" ht="16.5" hidden="1" thickBot="1">
      <c r="A153" s="73">
        <v>2006</v>
      </c>
      <c r="B153" s="80" t="s">
        <v>71</v>
      </c>
      <c r="C153" s="75">
        <f t="shared" si="14"/>
        <v>2600.1399999999985</v>
      </c>
      <c r="D153" s="179">
        <v>0.23013141004637472</v>
      </c>
      <c r="E153" s="75">
        <f t="shared" si="17"/>
        <v>0.61098535415096134</v>
      </c>
      <c r="F153" s="149">
        <f t="shared" si="16"/>
        <v>4.6291899722345375</v>
      </c>
      <c r="G153" s="78">
        <f t="shared" si="13"/>
        <v>3.0094494911812379</v>
      </c>
    </row>
    <row r="154" spans="1:7" ht="16.5" hidden="1" thickBot="1">
      <c r="A154" s="73">
        <v>2006</v>
      </c>
      <c r="B154" s="80" t="s">
        <v>72</v>
      </c>
      <c r="C154" s="75">
        <f t="shared" si="14"/>
        <v>2607.1599999999985</v>
      </c>
      <c r="D154" s="179">
        <v>0.26998546232126497</v>
      </c>
      <c r="E154" s="75">
        <f t="shared" si="17"/>
        <v>0.88262038810533738</v>
      </c>
      <c r="F154" s="149">
        <f t="shared" si="16"/>
        <v>4.1514197599910707</v>
      </c>
      <c r="G154" s="78">
        <f t="shared" si="13"/>
        <v>3.0013462925175225</v>
      </c>
    </row>
    <row r="155" spans="1:7" ht="16.5" hidden="1" thickBot="1">
      <c r="A155" s="73">
        <v>2006</v>
      </c>
      <c r="B155" s="80" t="s">
        <v>73</v>
      </c>
      <c r="C155" s="75">
        <f t="shared" si="14"/>
        <v>2610.2899999999986</v>
      </c>
      <c r="D155" s="179">
        <v>0.12005400512435926</v>
      </c>
      <c r="E155" s="75">
        <f t="shared" si="17"/>
        <v>1.0037340143556506</v>
      </c>
      <c r="F155" s="149">
        <f t="shared" si="16"/>
        <v>3.336078099144113</v>
      </c>
      <c r="G155" s="78">
        <f t="shared" si="13"/>
        <v>2.9977473767282503</v>
      </c>
    </row>
    <row r="156" spans="1:7" ht="16.5" hidden="1" thickBot="1">
      <c r="A156" s="73">
        <v>2006</v>
      </c>
      <c r="B156" s="80" t="s">
        <v>74</v>
      </c>
      <c r="C156" s="75">
        <f t="shared" si="14"/>
        <v>2613.6799999999985</v>
      </c>
      <c r="D156" s="179">
        <v>0.12987062740155153</v>
      </c>
      <c r="E156" s="75">
        <f t="shared" si="17"/>
        <v>1.1349081974191044</v>
      </c>
      <c r="F156" s="149">
        <f t="shared" si="16"/>
        <v>2.7511105869403085</v>
      </c>
      <c r="G156" s="78">
        <f t="shared" si="13"/>
        <v>2.9938592329588873</v>
      </c>
    </row>
    <row r="157" spans="1:7" ht="16.5" hidden="1" thickBot="1">
      <c r="A157" s="73">
        <v>2006</v>
      </c>
      <c r="B157" s="80" t="s">
        <v>75</v>
      </c>
      <c r="C157" s="75">
        <f t="shared" si="14"/>
        <v>2611.8499999999985</v>
      </c>
      <c r="D157" s="179">
        <v>-7.0016222337854206E-2</v>
      </c>
      <c r="E157" s="75">
        <f t="shared" si="17"/>
        <v>1.0640973552344057</v>
      </c>
      <c r="F157" s="149">
        <f t="shared" si="16"/>
        <v>2.7923176827108653</v>
      </c>
      <c r="G157" s="78">
        <f t="shared" si="13"/>
        <v>2.9959568887952921</v>
      </c>
    </row>
    <row r="158" spans="1:7" ht="16.5" hidden="1" thickBot="1">
      <c r="A158" s="73">
        <v>2006</v>
      </c>
      <c r="B158" s="80" t="s">
        <v>76</v>
      </c>
      <c r="C158" s="75">
        <f t="shared" si="14"/>
        <v>2614.7199999999984</v>
      </c>
      <c r="D158" s="179">
        <v>0.10988379883989374</v>
      </c>
      <c r="E158" s="75">
        <f t="shared" si="17"/>
        <v>1.1751504246716005</v>
      </c>
      <c r="F158" s="149">
        <f t="shared" si="16"/>
        <v>2.8744993429491217</v>
      </c>
      <c r="G158" s="78">
        <f t="shared" si="13"/>
        <v>2.992668431036587</v>
      </c>
    </row>
    <row r="159" spans="1:7" ht="16.5" hidden="1" thickBot="1">
      <c r="A159" s="73">
        <v>2006</v>
      </c>
      <c r="B159" s="80" t="s">
        <v>77</v>
      </c>
      <c r="C159" s="75">
        <f t="shared" si="14"/>
        <v>2614.1999999999985</v>
      </c>
      <c r="D159" s="179">
        <v>-1.9887406682173037E-2</v>
      </c>
      <c r="E159" s="75">
        <f t="shared" si="17"/>
        <v>1.1550293110453413</v>
      </c>
      <c r="F159" s="149">
        <f t="shared" si="16"/>
        <v>2.8540402728925329</v>
      </c>
      <c r="G159" s="78">
        <f t="shared" si="13"/>
        <v>2.9932637135643732</v>
      </c>
    </row>
    <row r="160" spans="1:7" ht="16.5" hidden="1" thickBot="1">
      <c r="A160" s="73">
        <v>2006</v>
      </c>
      <c r="B160" s="80" t="s">
        <v>79</v>
      </c>
      <c r="C160" s="75">
        <f t="shared" si="14"/>
        <v>2618.3799999999987</v>
      </c>
      <c r="D160" s="179">
        <v>0.15989595287277947</v>
      </c>
      <c r="E160" s="75">
        <f t="shared" si="17"/>
        <v>1.3167721090409756</v>
      </c>
      <c r="F160" s="149">
        <f t="shared" si="16"/>
        <v>2.8643040381540974</v>
      </c>
      <c r="G160" s="78">
        <f t="shared" si="13"/>
        <v>2.9884852466028549</v>
      </c>
    </row>
    <row r="161" spans="1:7" ht="16.5" hidden="1" thickBot="1">
      <c r="A161" s="73">
        <v>2006</v>
      </c>
      <c r="B161" s="80" t="s">
        <v>78</v>
      </c>
      <c r="C161" s="75">
        <f t="shared" si="14"/>
        <v>2629.6399999999985</v>
      </c>
      <c r="D161" s="179">
        <v>0.43003689304073056</v>
      </c>
      <c r="E161" s="75">
        <f>+((C161/$C$151)-1)*100</f>
        <v>1.7524716079478475</v>
      </c>
      <c r="F161" s="149">
        <f t="shared" si="16"/>
        <v>2.711084550997378</v>
      </c>
      <c r="G161" s="78">
        <f t="shared" si="13"/>
        <v>2.9756886874248885</v>
      </c>
    </row>
    <row r="162" spans="1:7" ht="16.5" hidden="1" thickBot="1">
      <c r="A162" s="84">
        <v>2006</v>
      </c>
      <c r="B162" s="80" t="s">
        <v>68</v>
      </c>
      <c r="C162" s="75">
        <f t="shared" si="14"/>
        <v>2640.6799999999985</v>
      </c>
      <c r="D162" s="179">
        <v>0.41982933025053182</v>
      </c>
      <c r="E162" s="75">
        <f>+((C162/$C$151)-1)*100</f>
        <v>2.1796583280128567</v>
      </c>
      <c r="F162" s="149">
        <f t="shared" si="16"/>
        <v>2.5885278063751738</v>
      </c>
      <c r="G162" s="78">
        <f t="shared" si="13"/>
        <v>2.9632481027614039</v>
      </c>
    </row>
    <row r="163" spans="1:7" ht="16.5" hidden="1" thickBot="1">
      <c r="A163" s="84">
        <v>2006</v>
      </c>
      <c r="B163" s="80" t="s">
        <v>69</v>
      </c>
      <c r="C163" s="75">
        <f t="shared" si="14"/>
        <v>2657.0499999999984</v>
      </c>
      <c r="D163" s="179">
        <v>0.61991608222125016</v>
      </c>
      <c r="E163" s="75">
        <f>+((C163/$C$151)-1)*100</f>
        <v>2.8130864627469387</v>
      </c>
      <c r="F163" s="149">
        <f t="shared" si="16"/>
        <v>2.8130864627469387</v>
      </c>
      <c r="G163" s="78">
        <f t="shared" si="13"/>
        <v>2.9449916260514422</v>
      </c>
    </row>
    <row r="164" spans="1:7" ht="16.5" hidden="1" thickBot="1">
      <c r="A164" s="73">
        <v>2007</v>
      </c>
      <c r="B164" s="80" t="s">
        <v>56</v>
      </c>
      <c r="C164" s="75">
        <f t="shared" si="14"/>
        <v>2670.0699999999983</v>
      </c>
      <c r="D164" s="179">
        <v>0.4900171242543383</v>
      </c>
      <c r="E164" s="75">
        <f t="shared" ref="E164:E175" si="18">+((C164/$C$163)-1)*100</f>
        <v>0.4900171242543383</v>
      </c>
      <c r="F164" s="149">
        <f t="shared" si="16"/>
        <v>2.9257912935543917</v>
      </c>
      <c r="G164" s="78">
        <f t="shared" si="13"/>
        <v>2.9306310321452189</v>
      </c>
    </row>
    <row r="165" spans="1:7" ht="16.5" hidden="1" thickBot="1">
      <c r="A165" s="73">
        <v>2007</v>
      </c>
      <c r="B165" s="80" t="s">
        <v>57</v>
      </c>
      <c r="C165" s="75">
        <f t="shared" si="14"/>
        <v>2681.2799999999984</v>
      </c>
      <c r="D165" s="179">
        <v>0.41983918024621758</v>
      </c>
      <c r="E165" s="75">
        <f t="shared" si="18"/>
        <v>0.91191358837809933</v>
      </c>
      <c r="F165" s="149">
        <f t="shared" si="16"/>
        <v>3.1206011983970106</v>
      </c>
      <c r="G165" s="78">
        <f t="shared" si="13"/>
        <v>2.9183785356247705</v>
      </c>
    </row>
    <row r="166" spans="1:7" ht="16.5" hidden="1" thickBot="1">
      <c r="A166" s="73">
        <v>2007</v>
      </c>
      <c r="B166" s="80" t="s">
        <v>72</v>
      </c>
      <c r="C166" s="75">
        <f t="shared" si="14"/>
        <v>2693.0799999999981</v>
      </c>
      <c r="D166" s="179">
        <v>0.44008831602815324</v>
      </c>
      <c r="E166" s="75">
        <f t="shared" si="18"/>
        <v>1.3560151295609613</v>
      </c>
      <c r="F166" s="149">
        <f t="shared" si="16"/>
        <v>3.2955399745316694</v>
      </c>
      <c r="G166" s="78">
        <f t="shared" si="13"/>
        <v>2.9055913675048588</v>
      </c>
    </row>
    <row r="167" spans="1:7" ht="16.5" hidden="1" thickBot="1">
      <c r="A167" s="73">
        <v>2007</v>
      </c>
      <c r="B167" s="80" t="s">
        <v>73</v>
      </c>
      <c r="C167" s="75">
        <f t="shared" si="14"/>
        <v>2700.0799999999981</v>
      </c>
      <c r="D167" s="179">
        <v>0.25992543853134986</v>
      </c>
      <c r="E167" s="75">
        <f t="shared" si="18"/>
        <v>1.619465196364378</v>
      </c>
      <c r="F167" s="149">
        <f t="shared" si="16"/>
        <v>3.4398476797597111</v>
      </c>
      <c r="G167" s="78">
        <f t="shared" si="13"/>
        <v>2.8980585760421858</v>
      </c>
    </row>
    <row r="168" spans="1:7" ht="16.5" hidden="1" thickBot="1">
      <c r="A168" s="73">
        <v>2007</v>
      </c>
      <c r="B168" s="80" t="s">
        <v>74</v>
      </c>
      <c r="C168" s="75">
        <f t="shared" si="14"/>
        <v>2707.0999999999976</v>
      </c>
      <c r="D168" s="179">
        <v>0.25999229652453604</v>
      </c>
      <c r="E168" s="75">
        <f t="shared" si="18"/>
        <v>1.8836679776443432</v>
      </c>
      <c r="F168" s="149">
        <f t="shared" si="16"/>
        <v>3.5742707600011858</v>
      </c>
      <c r="G168" s="78">
        <f t="shared" si="13"/>
        <v>2.8905433859111178</v>
      </c>
    </row>
    <row r="169" spans="1:7" ht="16.5" hidden="1" thickBot="1">
      <c r="A169" s="73">
        <v>2007</v>
      </c>
      <c r="B169" s="80" t="s">
        <v>75</v>
      </c>
      <c r="C169" s="75">
        <f t="shared" si="14"/>
        <v>2715.4899999999975</v>
      </c>
      <c r="D169" s="179">
        <v>0.30992575080344142</v>
      </c>
      <c r="E169" s="75">
        <f t="shared" si="18"/>
        <v>2.1994317005701536</v>
      </c>
      <c r="F169" s="149">
        <f t="shared" si="16"/>
        <v>3.9680686103719109</v>
      </c>
      <c r="G169" s="78">
        <f t="shared" si="13"/>
        <v>2.8816125266526433</v>
      </c>
    </row>
    <row r="170" spans="1:7" ht="16.5" hidden="1" thickBot="1">
      <c r="A170" s="73">
        <v>2007</v>
      </c>
      <c r="B170" s="80" t="s">
        <v>76</v>
      </c>
      <c r="C170" s="75">
        <f t="shared" si="14"/>
        <v>2724.1799999999976</v>
      </c>
      <c r="D170" s="179">
        <v>0.32001590873103058</v>
      </c>
      <c r="E170" s="75">
        <f t="shared" si="18"/>
        <v>2.5264861406446792</v>
      </c>
      <c r="F170" s="149">
        <f t="shared" si="16"/>
        <v>4.1862991065964694</v>
      </c>
      <c r="G170" s="78">
        <f t="shared" si="13"/>
        <v>2.8724203246481461</v>
      </c>
    </row>
    <row r="171" spans="1:7" ht="16.5" hidden="1" thickBot="1">
      <c r="A171" s="73">
        <v>2007</v>
      </c>
      <c r="B171" s="80" t="s">
        <v>77</v>
      </c>
      <c r="C171" s="75">
        <f t="shared" si="14"/>
        <v>2740.2499999999977</v>
      </c>
      <c r="D171" s="179">
        <v>0.58990228252171484</v>
      </c>
      <c r="E171" s="75">
        <f t="shared" si="18"/>
        <v>3.1312922225776418</v>
      </c>
      <c r="F171" s="149">
        <f t="shared" si="16"/>
        <v>4.821742789381056</v>
      </c>
      <c r="G171" s="78">
        <f t="shared" si="13"/>
        <v>2.8555752212389329</v>
      </c>
    </row>
    <row r="172" spans="1:7" ht="16.5" hidden="1" thickBot="1">
      <c r="A172" s="73">
        <v>2007</v>
      </c>
      <c r="B172" s="80" t="s">
        <v>79</v>
      </c>
      <c r="C172" s="75">
        <f t="shared" si="14"/>
        <v>2747.0999999999976</v>
      </c>
      <c r="D172" s="179">
        <v>0.2499771918620608</v>
      </c>
      <c r="E172" s="75">
        <f t="shared" si="18"/>
        <v>3.3890969308066898</v>
      </c>
      <c r="F172" s="149">
        <f t="shared" si="16"/>
        <v>4.9160167737302807</v>
      </c>
      <c r="G172" s="78">
        <f t="shared" si="13"/>
        <v>2.84845473408321</v>
      </c>
    </row>
    <row r="173" spans="1:7" ht="16.5" hidden="1" thickBot="1">
      <c r="A173" s="73">
        <v>2007</v>
      </c>
      <c r="B173" s="80" t="s">
        <v>78</v>
      </c>
      <c r="C173" s="75">
        <f t="shared" si="14"/>
        <v>2755.3399999999979</v>
      </c>
      <c r="D173" s="179">
        <v>0.29995267736886433</v>
      </c>
      <c r="E173" s="75">
        <f t="shared" si="18"/>
        <v>3.6992152951581536</v>
      </c>
      <c r="F173" s="149">
        <f t="shared" si="16"/>
        <v>4.780121993885067</v>
      </c>
      <c r="G173" s="78">
        <f t="shared" si="13"/>
        <v>2.8399362692081507</v>
      </c>
    </row>
    <row r="174" spans="1:7" ht="16.5" hidden="1" thickBot="1">
      <c r="A174" s="73">
        <v>2007</v>
      </c>
      <c r="B174" s="80" t="s">
        <v>68</v>
      </c>
      <c r="C174" s="75">
        <f t="shared" si="14"/>
        <v>2767.1899999999978</v>
      </c>
      <c r="D174" s="179">
        <v>0.43007396546341781</v>
      </c>
      <c r="E174" s="75">
        <f t="shared" si="18"/>
        <v>4.1451986225324866</v>
      </c>
      <c r="F174" s="149">
        <f t="shared" si="16"/>
        <v>4.7908114576548311</v>
      </c>
      <c r="G174" s="78">
        <f t="shared" si="13"/>
        <v>2.8277747462226972</v>
      </c>
    </row>
    <row r="175" spans="1:7" ht="16.5" hidden="1" thickBot="1">
      <c r="A175" s="73">
        <v>2007</v>
      </c>
      <c r="B175" s="80" t="s">
        <v>69</v>
      </c>
      <c r="C175" s="75">
        <f t="shared" si="14"/>
        <v>2794.0299999999979</v>
      </c>
      <c r="D175" s="179">
        <v>0.96993701191461223</v>
      </c>
      <c r="E175" s="75">
        <f t="shared" si="18"/>
        <v>5.1553414501044337</v>
      </c>
      <c r="F175" s="149">
        <f t="shared" si="16"/>
        <v>5.1553414501044337</v>
      </c>
      <c r="G175" s="78">
        <f t="shared" si="13"/>
        <v>2.8006105875742158</v>
      </c>
    </row>
    <row r="176" spans="1:7" ht="16.5" hidden="1" thickBot="1">
      <c r="A176" s="73">
        <v>2008</v>
      </c>
      <c r="B176" s="80" t="s">
        <v>70</v>
      </c>
      <c r="C176" s="75">
        <f t="shared" si="14"/>
        <v>2813.3099999999977</v>
      </c>
      <c r="D176" s="179">
        <v>0.69004269818147002</v>
      </c>
      <c r="E176" s="75">
        <f t="shared" ref="E176:E187" si="19">+((C176/$C$175)-1)*100</f>
        <v>0.69004269818147002</v>
      </c>
      <c r="F176" s="149">
        <f t="shared" si="16"/>
        <v>5.3646533611478198</v>
      </c>
      <c r="G176" s="78">
        <f t="shared" si="13"/>
        <v>2.7814176183925645</v>
      </c>
    </row>
    <row r="177" spans="1:7" ht="16.5" hidden="1" thickBot="1">
      <c r="A177" s="73">
        <v>2008</v>
      </c>
      <c r="B177" s="80" t="s">
        <v>71</v>
      </c>
      <c r="C177" s="75">
        <f t="shared" si="14"/>
        <v>2826.8099999999977</v>
      </c>
      <c r="D177" s="179">
        <v>0.47986179980166188</v>
      </c>
      <c r="E177" s="75">
        <f t="shared" si="19"/>
        <v>1.1732157492940321</v>
      </c>
      <c r="F177" s="149">
        <f t="shared" si="16"/>
        <v>5.427631578947345</v>
      </c>
      <c r="G177" s="78">
        <f t="shared" si="13"/>
        <v>2.7681343988453366</v>
      </c>
    </row>
    <row r="178" spans="1:7" ht="16.5" hidden="1" thickBot="1">
      <c r="A178" s="73">
        <v>2008</v>
      </c>
      <c r="B178" s="80" t="s">
        <v>72</v>
      </c>
      <c r="C178" s="75">
        <f t="shared" si="14"/>
        <v>2841.2299999999977</v>
      </c>
      <c r="D178" s="179">
        <v>0.51011564272094301</v>
      </c>
      <c r="E178" s="75">
        <f t="shared" si="19"/>
        <v>1.6893161490749931</v>
      </c>
      <c r="F178" s="149">
        <f t="shared" si="16"/>
        <v>5.5011362454884249</v>
      </c>
      <c r="G178" s="78">
        <f t="shared" si="13"/>
        <v>2.7540853785156378</v>
      </c>
    </row>
    <row r="179" spans="1:7" ht="16.5" hidden="1" thickBot="1">
      <c r="A179" s="73">
        <v>2008</v>
      </c>
      <c r="B179" s="80" t="s">
        <v>73</v>
      </c>
      <c r="C179" s="75">
        <f t="shared" si="14"/>
        <v>2859.4099999999976</v>
      </c>
      <c r="D179" s="179">
        <v>0.63986372099407163</v>
      </c>
      <c r="E179" s="75">
        <f t="shared" si="19"/>
        <v>2.3399891912398774</v>
      </c>
      <c r="F179" s="149">
        <f t="shared" si="16"/>
        <v>5.9009362685549904</v>
      </c>
      <c r="G179" s="78">
        <f t="shared" si="13"/>
        <v>2.736575027715503</v>
      </c>
    </row>
    <row r="180" spans="1:7" ht="16.5" hidden="1" thickBot="1">
      <c r="A180" s="73">
        <v>2008</v>
      </c>
      <c r="B180" s="80" t="s">
        <v>74</v>
      </c>
      <c r="C180" s="75">
        <f t="shared" si="14"/>
        <v>2886.8599999999979</v>
      </c>
      <c r="D180" s="179">
        <v>0.95998824932417293</v>
      </c>
      <c r="E180" s="75">
        <f t="shared" si="19"/>
        <v>3.3224410618354128</v>
      </c>
      <c r="F180" s="149">
        <f t="shared" si="16"/>
        <v>6.6403162055336029</v>
      </c>
      <c r="G180" s="78">
        <f t="shared" si="13"/>
        <v>2.71055402755935</v>
      </c>
    </row>
    <row r="181" spans="1:7" ht="16.5" hidden="1" thickBot="1">
      <c r="A181" s="73">
        <v>2008</v>
      </c>
      <c r="B181" s="80" t="s">
        <v>75</v>
      </c>
      <c r="C181" s="75">
        <f t="shared" si="14"/>
        <v>2913.1299999999978</v>
      </c>
      <c r="D181" s="179">
        <v>0.90998524348253618</v>
      </c>
      <c r="E181" s="75">
        <f t="shared" si="19"/>
        <v>4.2626600287040572</v>
      </c>
      <c r="F181" s="149">
        <f t="shared" si="16"/>
        <v>7.2782444420712578</v>
      </c>
      <c r="G181" s="78">
        <f t="shared" si="13"/>
        <v>2.6861108155145792</v>
      </c>
    </row>
    <row r="182" spans="1:7" ht="16.5" hidden="1" thickBot="1">
      <c r="A182" s="73">
        <v>2008</v>
      </c>
      <c r="B182" s="80" t="s">
        <v>76</v>
      </c>
      <c r="C182" s="75">
        <f t="shared" si="14"/>
        <v>2930.0299999999979</v>
      </c>
      <c r="D182" s="179">
        <v>0.5801320229444018</v>
      </c>
      <c r="E182" s="75">
        <f t="shared" si="19"/>
        <v>4.8675211075042135</v>
      </c>
      <c r="F182" s="149">
        <f t="shared" si="16"/>
        <v>7.5564022935342257</v>
      </c>
      <c r="G182" s="78">
        <f t="shared" si="13"/>
        <v>2.6706177069859303</v>
      </c>
    </row>
    <row r="183" spans="1:7" ht="16.5" hidden="1" thickBot="1">
      <c r="A183" s="73">
        <v>2008</v>
      </c>
      <c r="B183" s="80" t="s">
        <v>77</v>
      </c>
      <c r="C183" s="75">
        <f t="shared" si="14"/>
        <v>2936.1799999999976</v>
      </c>
      <c r="D183" s="179">
        <v>0.20989546182119678</v>
      </c>
      <c r="E183" s="75">
        <f t="shared" si="19"/>
        <v>5.0876332752332498</v>
      </c>
      <c r="F183" s="149">
        <f t="shared" si="16"/>
        <v>7.1500775476690093</v>
      </c>
      <c r="G183" s="78">
        <f t="shared" si="13"/>
        <v>2.6650239426738098</v>
      </c>
    </row>
    <row r="184" spans="1:7" ht="16.5" hidden="1" thickBot="1">
      <c r="A184" s="73">
        <v>2008</v>
      </c>
      <c r="B184" s="80" t="s">
        <v>79</v>
      </c>
      <c r="C184" s="75">
        <f t="shared" si="14"/>
        <v>2940.5799999999981</v>
      </c>
      <c r="D184" s="179">
        <v>0.14985457294853788</v>
      </c>
      <c r="E184" s="75">
        <f t="shared" si="19"/>
        <v>5.2451118992995927</v>
      </c>
      <c r="F184" s="149">
        <f t="shared" si="16"/>
        <v>7.0430635943358633</v>
      </c>
      <c r="G184" s="78">
        <f t="shared" si="13"/>
        <v>2.6610362581531484</v>
      </c>
    </row>
    <row r="185" spans="1:7" ht="16.5" hidden="1" thickBot="1">
      <c r="A185" s="73">
        <v>2008</v>
      </c>
      <c r="B185" s="80" t="s">
        <v>78</v>
      </c>
      <c r="C185" s="75">
        <f t="shared" si="14"/>
        <v>2955.2799999999984</v>
      </c>
      <c r="D185" s="179">
        <v>0.4999013799998675</v>
      </c>
      <c r="E185" s="75">
        <f t="shared" si="19"/>
        <v>5.7712336660665997</v>
      </c>
      <c r="F185" s="149">
        <f t="shared" si="16"/>
        <v>7.256454738798146</v>
      </c>
      <c r="G185" s="78">
        <f t="shared" si="13"/>
        <v>2.6477998700630683</v>
      </c>
    </row>
    <row r="186" spans="1:7" ht="16.5" hidden="1" thickBot="1">
      <c r="A186" s="73">
        <v>2008</v>
      </c>
      <c r="B186" s="80" t="s">
        <v>68</v>
      </c>
      <c r="C186" s="75">
        <f t="shared" si="14"/>
        <v>2966.5099999999984</v>
      </c>
      <c r="D186" s="179">
        <v>0.37999783438456003</v>
      </c>
      <c r="E186" s="75">
        <f t="shared" si="19"/>
        <v>6.1731620633994844</v>
      </c>
      <c r="F186" s="149">
        <f t="shared" si="16"/>
        <v>7.2029748589724774</v>
      </c>
      <c r="G186" s="78">
        <f t="shared" si="13"/>
        <v>2.6377763769547329</v>
      </c>
    </row>
    <row r="187" spans="1:7" ht="16.5" hidden="1" thickBot="1">
      <c r="A187" s="73">
        <v>2008</v>
      </c>
      <c r="B187" s="80" t="s">
        <v>69</v>
      </c>
      <c r="C187" s="75">
        <f t="shared" si="14"/>
        <v>2975.1099999999983</v>
      </c>
      <c r="D187" s="179">
        <v>0.28990294993105348</v>
      </c>
      <c r="E187" s="75">
        <f t="shared" si="19"/>
        <v>6.4809611922563626</v>
      </c>
      <c r="F187" s="149">
        <f t="shared" si="16"/>
        <v>6.4809611922563626</v>
      </c>
      <c r="G187" s="78">
        <f t="shared" si="13"/>
        <v>2.630151490196996</v>
      </c>
    </row>
    <row r="188" spans="1:7" ht="16.5" hidden="1" thickBot="1">
      <c r="A188" s="73">
        <v>2009</v>
      </c>
      <c r="B188" s="80" t="s">
        <v>70</v>
      </c>
      <c r="C188" s="75">
        <f t="shared" si="14"/>
        <v>2994.1499999999983</v>
      </c>
      <c r="D188" s="179">
        <v>0.63997633700938472</v>
      </c>
      <c r="E188" s="75">
        <f t="shared" ref="E188:E199" si="20">+((C188/$C$187)-1)*100</f>
        <v>0.63997633700938472</v>
      </c>
      <c r="F188" s="149">
        <f t="shared" si="16"/>
        <v>6.4280153982320121</v>
      </c>
      <c r="G188" s="78">
        <f t="shared" si="13"/>
        <v>2.6134261810530481</v>
      </c>
    </row>
    <row r="189" spans="1:7" ht="16.5" hidden="1" thickBot="1">
      <c r="A189" s="73">
        <v>2009</v>
      </c>
      <c r="B189" s="80" t="s">
        <v>71</v>
      </c>
      <c r="C189" s="75">
        <f t="shared" si="14"/>
        <v>3003.4299999999976</v>
      </c>
      <c r="D189" s="179">
        <v>0.30993771187146635</v>
      </c>
      <c r="E189" s="75">
        <f t="shared" si="20"/>
        <v>0.95189757689628784</v>
      </c>
      <c r="F189" s="149">
        <f t="shared" si="16"/>
        <v>6.2480322342145289</v>
      </c>
      <c r="G189" s="78">
        <f t="shared" si="13"/>
        <v>2.6053512151107188</v>
      </c>
    </row>
    <row r="190" spans="1:7" ht="16.5" hidden="1" thickBot="1">
      <c r="A190" s="73">
        <v>2009</v>
      </c>
      <c r="B190" s="80" t="s">
        <v>72</v>
      </c>
      <c r="C190" s="75">
        <f t="shared" si="14"/>
        <v>3009.4399999999982</v>
      </c>
      <c r="D190" s="179">
        <v>0.20010454713446091</v>
      </c>
      <c r="E190" s="75">
        <f t="shared" si="20"/>
        <v>1.1539069143661873</v>
      </c>
      <c r="F190" s="149">
        <f t="shared" si="16"/>
        <v>5.9203232402867956</v>
      </c>
      <c r="G190" s="78">
        <f t="shared" si="13"/>
        <v>2.6001482003296243</v>
      </c>
    </row>
    <row r="191" spans="1:7" ht="16.5" hidden="1" thickBot="1">
      <c r="A191" s="73">
        <v>2009</v>
      </c>
      <c r="B191" s="80" t="s">
        <v>73</v>
      </c>
      <c r="C191" s="75">
        <f t="shared" si="14"/>
        <v>3025.9899999999975</v>
      </c>
      <c r="D191" s="179">
        <v>0.54993620075494132</v>
      </c>
      <c r="E191" s="75">
        <f t="shared" si="20"/>
        <v>1.7101888669662335</v>
      </c>
      <c r="F191" s="149">
        <f t="shared" si="16"/>
        <v>5.8256773250425775</v>
      </c>
      <c r="G191" s="78">
        <f t="shared" si="13"/>
        <v>2.5859272502552839</v>
      </c>
    </row>
    <row r="192" spans="1:7" ht="16.5" hidden="1" thickBot="1">
      <c r="A192" s="73">
        <v>2009</v>
      </c>
      <c r="B192" s="80" t="s">
        <v>74</v>
      </c>
      <c r="C192" s="75">
        <f t="shared" si="14"/>
        <v>3044.1499999999974</v>
      </c>
      <c r="D192" s="179">
        <v>0.60013417096553834</v>
      </c>
      <c r="E192" s="75">
        <f t="shared" si="20"/>
        <v>2.3205864657104724</v>
      </c>
      <c r="F192" s="149">
        <f t="shared" si="16"/>
        <v>5.4484803558191075</v>
      </c>
      <c r="G192" s="78">
        <f t="shared" si="13"/>
        <v>2.5705007966098865</v>
      </c>
    </row>
    <row r="193" spans="1:7" ht="16.5" hidden="1" thickBot="1">
      <c r="A193" s="73">
        <v>2009</v>
      </c>
      <c r="B193" s="80" t="s">
        <v>75</v>
      </c>
      <c r="C193" s="75">
        <f t="shared" si="14"/>
        <v>3056.9299999999967</v>
      </c>
      <c r="D193" s="179">
        <v>0.41982162508416021</v>
      </c>
      <c r="E193" s="75">
        <f t="shared" si="20"/>
        <v>2.750150414606467</v>
      </c>
      <c r="F193" s="149">
        <f t="shared" si="16"/>
        <v>4.9362712958226584</v>
      </c>
      <c r="G193" s="78">
        <f t="shared" si="13"/>
        <v>2.5597543941143526</v>
      </c>
    </row>
    <row r="194" spans="1:7" ht="16.5" hidden="1" thickBot="1">
      <c r="A194" s="73">
        <v>2009</v>
      </c>
      <c r="B194" s="80" t="s">
        <v>76</v>
      </c>
      <c r="C194" s="75">
        <f t="shared" si="14"/>
        <v>3063.9599999999969</v>
      </c>
      <c r="D194" s="179">
        <v>0.22996928290801577</v>
      </c>
      <c r="E194" s="75">
        <f t="shared" si="20"/>
        <v>2.9864441987018431</v>
      </c>
      <c r="F194" s="149">
        <f t="shared" si="16"/>
        <v>4.5709429596283657</v>
      </c>
      <c r="G194" s="78">
        <f t="shared" si="13"/>
        <v>2.5538812517134648</v>
      </c>
    </row>
    <row r="195" spans="1:7" ht="16.5" hidden="1" thickBot="1">
      <c r="A195" s="73">
        <v>2009</v>
      </c>
      <c r="B195" s="80" t="s">
        <v>77</v>
      </c>
      <c r="C195" s="75">
        <f t="shared" si="14"/>
        <v>3066.4099999999967</v>
      </c>
      <c r="D195" s="179">
        <v>7.9961879397894009E-2</v>
      </c>
      <c r="E195" s="75">
        <f t="shared" si="20"/>
        <v>3.0687940950081982</v>
      </c>
      <c r="F195" s="149">
        <f t="shared" si="16"/>
        <v>4.4353547807014282</v>
      </c>
      <c r="G195" s="78">
        <f t="shared" si="13"/>
        <v>2.5518407518890132</v>
      </c>
    </row>
    <row r="196" spans="1:7" ht="16.5" hidden="1" thickBot="1">
      <c r="A196" s="73">
        <v>2009</v>
      </c>
      <c r="B196" s="80" t="s">
        <v>79</v>
      </c>
      <c r="C196" s="75">
        <f t="shared" si="14"/>
        <v>3071.319999999997</v>
      </c>
      <c r="D196" s="179">
        <v>0.16012209717553016</v>
      </c>
      <c r="E196" s="75">
        <f t="shared" si="20"/>
        <v>3.2338300096466543</v>
      </c>
      <c r="F196" s="149">
        <f t="shared" si="16"/>
        <v>4.4460616613048787</v>
      </c>
      <c r="G196" s="78">
        <f t="shared" si="13"/>
        <v>2.54776122318742</v>
      </c>
    </row>
    <row r="197" spans="1:7" ht="16.5" hidden="1" thickBot="1">
      <c r="A197" s="73">
        <v>2009</v>
      </c>
      <c r="B197" s="80" t="s">
        <v>65</v>
      </c>
      <c r="C197" s="75">
        <f t="shared" si="14"/>
        <v>3078.6899999999969</v>
      </c>
      <c r="D197" s="179">
        <v>0.2399619707487366</v>
      </c>
      <c r="E197" s="75">
        <f t="shared" si="20"/>
        <v>3.4815519426172115</v>
      </c>
      <c r="F197" s="149">
        <f t="shared" si="16"/>
        <v>4.1759156492785277</v>
      </c>
      <c r="G197" s="78">
        <f t="shared" si="13"/>
        <v>2.5416622004813694</v>
      </c>
    </row>
    <row r="198" spans="1:7" ht="16.5" hidden="1" thickBot="1">
      <c r="A198" s="73">
        <v>2009</v>
      </c>
      <c r="B198" s="80" t="s">
        <v>68</v>
      </c>
      <c r="C198" s="75">
        <f t="shared" si="14"/>
        <v>3090.0799999999967</v>
      </c>
      <c r="D198" s="179">
        <v>0.36996254900623082</v>
      </c>
      <c r="E198" s="75">
        <f t="shared" si="20"/>
        <v>3.8643949299353109</v>
      </c>
      <c r="F198" s="149">
        <f t="shared" si="16"/>
        <v>4.1655008747652378</v>
      </c>
      <c r="G198" s="78">
        <f t="shared" si="13"/>
        <v>2.5322936623000012</v>
      </c>
    </row>
    <row r="199" spans="1:7" ht="16.5" hidden="1" thickBot="1">
      <c r="A199" s="73">
        <v>2009</v>
      </c>
      <c r="B199" s="80" t="s">
        <v>69</v>
      </c>
      <c r="C199" s="75">
        <f t="shared" si="14"/>
        <v>3097.4999999999973</v>
      </c>
      <c r="D199" s="179">
        <v>0.24012323305546701</v>
      </c>
      <c r="E199" s="75">
        <f t="shared" si="20"/>
        <v>4.113797473034575</v>
      </c>
      <c r="F199" s="149">
        <f t="shared" si="16"/>
        <v>4.113797473034575</v>
      </c>
      <c r="G199" s="78">
        <f t="shared" ref="G199:G262" si="21">$C$396/C199</f>
        <v>2.5262276029055646</v>
      </c>
    </row>
    <row r="200" spans="1:7" ht="16.5" hidden="1" thickBot="1">
      <c r="A200" s="73">
        <v>2010</v>
      </c>
      <c r="B200" s="80" t="s">
        <v>70</v>
      </c>
      <c r="C200" s="75">
        <f t="shared" ref="C200:C263" si="22">+C199*(1+D200/100)</f>
        <v>3124.7599999999979</v>
      </c>
      <c r="D200" s="179">
        <v>0.88006456820017842</v>
      </c>
      <c r="E200" s="75">
        <f t="shared" ref="E200:E211" si="23">+((C200/$C$199)-1)*100</f>
        <v>0.88006456820017842</v>
      </c>
      <c r="F200" s="149">
        <f t="shared" si="16"/>
        <v>4.3621729038291202</v>
      </c>
      <c r="G200" s="78">
        <f t="shared" si="21"/>
        <v>2.5041891217245436</v>
      </c>
    </row>
    <row r="201" spans="1:7" ht="16.5" hidden="1" thickBot="1">
      <c r="A201" s="73">
        <v>2010</v>
      </c>
      <c r="B201" s="80" t="s">
        <v>57</v>
      </c>
      <c r="C201" s="75">
        <f t="shared" si="22"/>
        <v>3146.6299999999978</v>
      </c>
      <c r="D201" s="179">
        <v>0.69989375184014158</v>
      </c>
      <c r="E201" s="75">
        <f t="shared" si="23"/>
        <v>1.5861178369653173</v>
      </c>
      <c r="F201" s="149">
        <f t="shared" si="16"/>
        <v>4.7678820548506362</v>
      </c>
      <c r="G201" s="78">
        <f t="shared" si="21"/>
        <v>2.4867842739692896</v>
      </c>
    </row>
    <row r="202" spans="1:7" ht="16.5" hidden="1" thickBot="1">
      <c r="A202" s="73">
        <v>2010</v>
      </c>
      <c r="B202" s="80" t="s">
        <v>58</v>
      </c>
      <c r="C202" s="75">
        <f t="shared" si="22"/>
        <v>3168.9699999999975</v>
      </c>
      <c r="D202" s="179">
        <v>0.70996590002636584</v>
      </c>
      <c r="E202" s="75">
        <f t="shared" si="23"/>
        <v>2.3073446327683822</v>
      </c>
      <c r="F202" s="149">
        <f t="shared" si="16"/>
        <v>5.3009862299962629</v>
      </c>
      <c r="G202" s="78">
        <f t="shared" si="21"/>
        <v>2.4692534167253037</v>
      </c>
    </row>
    <row r="203" spans="1:7" ht="16.5" hidden="1" thickBot="1">
      <c r="A203" s="73">
        <v>2010</v>
      </c>
      <c r="B203" s="80" t="s">
        <v>59</v>
      </c>
      <c r="C203" s="75">
        <f t="shared" si="22"/>
        <v>3192.0999999999976</v>
      </c>
      <c r="D203" s="179">
        <v>0.72989015358302378</v>
      </c>
      <c r="E203" s="75">
        <f t="shared" si="23"/>
        <v>3.0540758676351976</v>
      </c>
      <c r="F203" s="149">
        <f t="shared" si="16"/>
        <v>5.4894431243989628</v>
      </c>
      <c r="G203" s="78">
        <f t="shared" si="21"/>
        <v>2.4513611728955813</v>
      </c>
    </row>
    <row r="204" spans="1:7" ht="16.5" hidden="1" thickBot="1">
      <c r="A204" s="73">
        <v>2010</v>
      </c>
      <c r="B204" s="80" t="s">
        <v>60</v>
      </c>
      <c r="C204" s="75">
        <f t="shared" si="22"/>
        <v>3205.8299999999972</v>
      </c>
      <c r="D204" s="179">
        <v>0.43012436953728805</v>
      </c>
      <c r="E204" s="75">
        <f t="shared" si="23"/>
        <v>3.4973365617433361</v>
      </c>
      <c r="F204" s="149">
        <f t="shared" si="16"/>
        <v>5.31117060591626</v>
      </c>
      <c r="G204" s="78">
        <f t="shared" si="21"/>
        <v>2.440862428762594</v>
      </c>
    </row>
    <row r="205" spans="1:7" ht="16.5" hidden="1" thickBot="1">
      <c r="A205" s="73">
        <v>2010</v>
      </c>
      <c r="B205" s="80" t="s">
        <v>61</v>
      </c>
      <c r="C205" s="75">
        <f t="shared" si="22"/>
        <v>3202.2999999999975</v>
      </c>
      <c r="D205" s="179">
        <v>-0.11011188990057708</v>
      </c>
      <c r="E205" s="75">
        <f t="shared" si="23"/>
        <v>3.3833736884584464</v>
      </c>
      <c r="F205" s="149">
        <f t="shared" si="16"/>
        <v>4.7554245599343403</v>
      </c>
      <c r="G205" s="78">
        <f t="shared" si="21"/>
        <v>2.4435530712300491</v>
      </c>
    </row>
    <row r="206" spans="1:7" ht="16.5" hidden="1" thickBot="1">
      <c r="A206" s="73">
        <v>2010</v>
      </c>
      <c r="B206" s="80" t="s">
        <v>62</v>
      </c>
      <c r="C206" s="75">
        <f t="shared" si="22"/>
        <v>3200.0599999999972</v>
      </c>
      <c r="D206" s="179">
        <v>-6.994972363614238E-2</v>
      </c>
      <c r="E206" s="75">
        <f t="shared" si="23"/>
        <v>3.3110573042776537</v>
      </c>
      <c r="F206" s="149">
        <f t="shared" si="16"/>
        <v>4.4419639943080291</v>
      </c>
      <c r="G206" s="78">
        <f t="shared" si="21"/>
        <v>2.4452635263088776</v>
      </c>
    </row>
    <row r="207" spans="1:7" ht="16.5" hidden="1" thickBot="1">
      <c r="A207" s="73">
        <v>2010</v>
      </c>
      <c r="B207" s="80" t="s">
        <v>63</v>
      </c>
      <c r="C207" s="75">
        <f t="shared" si="22"/>
        <v>3197.8199999999974</v>
      </c>
      <c r="D207" s="179">
        <v>-6.9998687524597258E-2</v>
      </c>
      <c r="E207" s="75">
        <f t="shared" si="23"/>
        <v>3.2387409200968609</v>
      </c>
      <c r="F207" s="149">
        <f t="shared" si="16"/>
        <v>4.2854673706386626</v>
      </c>
      <c r="G207" s="78">
        <f t="shared" si="21"/>
        <v>2.4469763776572746</v>
      </c>
    </row>
    <row r="208" spans="1:7" ht="16.5" hidden="1" thickBot="1">
      <c r="A208" s="73">
        <v>2010</v>
      </c>
      <c r="B208" s="80" t="s">
        <v>64</v>
      </c>
      <c r="C208" s="75">
        <f t="shared" si="22"/>
        <v>3215.0899999999974</v>
      </c>
      <c r="D208" s="179">
        <v>0.54005541274992908</v>
      </c>
      <c r="E208" s="75">
        <f t="shared" si="23"/>
        <v>3.7962873284907328</v>
      </c>
      <c r="F208" s="149">
        <f t="shared" si="16"/>
        <v>4.6810491905760587</v>
      </c>
      <c r="G208" s="78">
        <f t="shared" si="21"/>
        <v>2.4338323343980997</v>
      </c>
    </row>
    <row r="209" spans="1:7" ht="16.5" hidden="1" thickBot="1">
      <c r="A209" s="73">
        <v>2010</v>
      </c>
      <c r="B209" s="80" t="s">
        <v>65</v>
      </c>
      <c r="C209" s="75">
        <f t="shared" si="22"/>
        <v>3244.6699999999969</v>
      </c>
      <c r="D209" s="179">
        <v>0.92003645310083648</v>
      </c>
      <c r="E209" s="75">
        <f t="shared" si="23"/>
        <v>4.7512510088781212</v>
      </c>
      <c r="F209" s="149">
        <f>100*((C209/C197)-1)</f>
        <v>5.3912540723489499</v>
      </c>
      <c r="G209" s="78">
        <f t="shared" si="21"/>
        <v>2.4116443274662713</v>
      </c>
    </row>
    <row r="210" spans="1:7" ht="16.5" hidden="1" thickBot="1">
      <c r="A210" s="73">
        <v>2010</v>
      </c>
      <c r="B210" s="80" t="s">
        <v>66</v>
      </c>
      <c r="C210" s="75">
        <f t="shared" si="22"/>
        <v>3278.089999999997</v>
      </c>
      <c r="D210" s="179">
        <v>1.029996887202711</v>
      </c>
      <c r="E210" s="75">
        <f t="shared" si="23"/>
        <v>5.8301856335754687</v>
      </c>
      <c r="F210" s="149">
        <f>100*((C210/C198)-1)</f>
        <v>6.0843084968674077</v>
      </c>
      <c r="G210" s="78">
        <f t="shared" si="21"/>
        <v>2.387057707384479</v>
      </c>
    </row>
    <row r="211" spans="1:7" ht="16.5" hidden="1" thickBot="1">
      <c r="A211" s="73">
        <v>2010</v>
      </c>
      <c r="B211" s="80" t="s">
        <v>55</v>
      </c>
      <c r="C211" s="75">
        <f t="shared" si="22"/>
        <v>3297.7599999999966</v>
      </c>
      <c r="D211" s="179">
        <v>0.60004453813042868</v>
      </c>
      <c r="E211" s="75">
        <f t="shared" si="23"/>
        <v>6.4652138821630123</v>
      </c>
      <c r="F211" s="149">
        <f>100*((C211/C199)-1)</f>
        <v>6.4652138821630123</v>
      </c>
      <c r="G211" s="78">
        <f t="shared" si="21"/>
        <v>2.3728197321818412</v>
      </c>
    </row>
    <row r="212" spans="1:7">
      <c r="A212" s="85">
        <v>2011</v>
      </c>
      <c r="B212" s="86" t="s">
        <v>56</v>
      </c>
      <c r="C212" s="87">
        <f t="shared" si="22"/>
        <v>3328.7599999999961</v>
      </c>
      <c r="D212" s="88">
        <v>0.94003202173595923</v>
      </c>
      <c r="E212" s="87">
        <f>+((C212/$C$211)-1)*100</f>
        <v>0.94003202173595923</v>
      </c>
      <c r="F212" s="152">
        <f>100*((C212/C200)-1)</f>
        <v>6.5285013889066157</v>
      </c>
      <c r="G212" s="90">
        <f t="shared" si="21"/>
        <v>2.3507221908458371</v>
      </c>
    </row>
    <row r="213" spans="1:7">
      <c r="A213" s="91">
        <v>2011</v>
      </c>
      <c r="B213" s="92" t="s">
        <v>57</v>
      </c>
      <c r="C213" s="93">
        <f t="shared" si="22"/>
        <v>3346.7399999999952</v>
      </c>
      <c r="D213" s="94">
        <v>0.54014107355289109</v>
      </c>
      <c r="E213" s="93">
        <f t="shared" ref="E213:E223" si="24">+((C213/$C$211)-1)*100</f>
        <v>1.4852505943427907</v>
      </c>
      <c r="F213" s="154">
        <f t="shared" ref="F213:F224" si="25">100*((C213/C201)-1)</f>
        <v>6.3595020704689587</v>
      </c>
      <c r="G213" s="96">
        <f t="shared" si="21"/>
        <v>2.3380931891930627</v>
      </c>
    </row>
    <row r="214" spans="1:7">
      <c r="A214" s="91">
        <v>2011</v>
      </c>
      <c r="B214" s="92" t="s">
        <v>58</v>
      </c>
      <c r="C214" s="93">
        <f t="shared" si="22"/>
        <v>3368.8299999999954</v>
      </c>
      <c r="D214" s="94">
        <v>0.66004529781220622</v>
      </c>
      <c r="E214" s="93">
        <f t="shared" si="24"/>
        <v>2.1550992188636764</v>
      </c>
      <c r="F214" s="154">
        <f t="shared" si="25"/>
        <v>6.3067810676654457</v>
      </c>
      <c r="G214" s="96">
        <f t="shared" si="21"/>
        <v>2.3227619084370512</v>
      </c>
    </row>
    <row r="215" spans="1:7">
      <c r="A215" s="91">
        <v>2011</v>
      </c>
      <c r="B215" s="92" t="s">
        <v>59</v>
      </c>
      <c r="C215" s="93">
        <f t="shared" si="22"/>
        <v>3393.0899999999956</v>
      </c>
      <c r="D215" s="94">
        <v>0.72013132155674953</v>
      </c>
      <c r="E215" s="93">
        <f t="shared" si="24"/>
        <v>2.8907500849060908</v>
      </c>
      <c r="F215" s="154">
        <f t="shared" si="25"/>
        <v>6.2964819397888006</v>
      </c>
      <c r="G215" s="96">
        <f t="shared" si="21"/>
        <v>2.3061545670760251</v>
      </c>
    </row>
    <row r="216" spans="1:7">
      <c r="A216" s="91">
        <v>2011</v>
      </c>
      <c r="B216" s="92" t="s">
        <v>60</v>
      </c>
      <c r="C216" s="93">
        <f t="shared" si="22"/>
        <v>3412.4299999999953</v>
      </c>
      <c r="D216" s="94">
        <v>0.56998193387147733</v>
      </c>
      <c r="E216" s="93">
        <f t="shared" si="24"/>
        <v>3.477208772014917</v>
      </c>
      <c r="F216" s="154">
        <f t="shared" si="25"/>
        <v>6.4445089103289499</v>
      </c>
      <c r="G216" s="96">
        <f t="shared" si="21"/>
        <v>2.2930844002660833</v>
      </c>
    </row>
    <row r="217" spans="1:7">
      <c r="A217" s="91">
        <v>2011</v>
      </c>
      <c r="B217" s="92" t="s">
        <v>61</v>
      </c>
      <c r="C217" s="93">
        <f t="shared" si="22"/>
        <v>3419.9399999999955</v>
      </c>
      <c r="D217" s="94">
        <v>0.220077774489158</v>
      </c>
      <c r="E217" s="93">
        <f t="shared" si="24"/>
        <v>3.704939110183858</v>
      </c>
      <c r="F217" s="154">
        <f t="shared" si="25"/>
        <v>6.7963651125752866</v>
      </c>
      <c r="G217" s="96">
        <f t="shared" si="21"/>
        <v>2.288048913138824</v>
      </c>
    </row>
    <row r="218" spans="1:7">
      <c r="A218" s="91">
        <v>2011</v>
      </c>
      <c r="B218" s="92" t="s">
        <v>62</v>
      </c>
      <c r="C218" s="93">
        <f t="shared" si="22"/>
        <v>3419.9399999999955</v>
      </c>
      <c r="D218" s="94">
        <v>0</v>
      </c>
      <c r="E218" s="93">
        <f t="shared" si="24"/>
        <v>3.704939110183858</v>
      </c>
      <c r="F218" s="154">
        <f t="shared" si="25"/>
        <v>6.871121166478078</v>
      </c>
      <c r="G218" s="96">
        <f t="shared" si="21"/>
        <v>2.288048913138824</v>
      </c>
    </row>
    <row r="219" spans="1:7">
      <c r="A219" s="91">
        <v>2011</v>
      </c>
      <c r="B219" s="92" t="s">
        <v>63</v>
      </c>
      <c r="C219" s="93">
        <f t="shared" si="22"/>
        <v>3434.2999999999952</v>
      </c>
      <c r="D219" s="94">
        <v>0.4198904074340426</v>
      </c>
      <c r="E219" s="93">
        <f t="shared" si="24"/>
        <v>4.1403862015428228</v>
      </c>
      <c r="F219" s="154">
        <f t="shared" si="25"/>
        <v>7.3950378695485597</v>
      </c>
      <c r="G219" s="96">
        <f t="shared" si="21"/>
        <v>2.2784817866814171</v>
      </c>
    </row>
    <row r="220" spans="1:7">
      <c r="A220" s="91">
        <v>2011</v>
      </c>
      <c r="B220" s="92" t="s">
        <v>64</v>
      </c>
      <c r="C220" s="93">
        <f t="shared" si="22"/>
        <v>3449.7599999999957</v>
      </c>
      <c r="D220" s="94">
        <v>0.45016451678654423</v>
      </c>
      <c r="E220" s="93">
        <f t="shared" si="24"/>
        <v>4.6091892678666424</v>
      </c>
      <c r="F220" s="154">
        <f t="shared" si="25"/>
        <v>7.2990180679233907</v>
      </c>
      <c r="G220" s="96">
        <f t="shared" si="21"/>
        <v>2.2682708362320825</v>
      </c>
    </row>
    <row r="221" spans="1:7">
      <c r="A221" s="91">
        <v>2011</v>
      </c>
      <c r="B221" s="92" t="s">
        <v>65</v>
      </c>
      <c r="C221" s="93">
        <f t="shared" si="22"/>
        <v>3460.7999999999956</v>
      </c>
      <c r="D221" s="94">
        <v>0.32002226241825138</v>
      </c>
      <c r="E221" s="93">
        <f t="shared" si="24"/>
        <v>4.9439619620590625</v>
      </c>
      <c r="F221" s="154">
        <f t="shared" si="25"/>
        <v>6.6610780140969439</v>
      </c>
      <c r="G221" s="96">
        <f t="shared" si="21"/>
        <v>2.2610350208044352</v>
      </c>
    </row>
    <row r="222" spans="1:7">
      <c r="A222" s="91">
        <v>2011</v>
      </c>
      <c r="B222" s="92" t="s">
        <v>66</v>
      </c>
      <c r="C222" s="93">
        <f t="shared" si="22"/>
        <v>3480.519999999995</v>
      </c>
      <c r="D222" s="94">
        <v>0.56981044845121342</v>
      </c>
      <c r="E222" s="93">
        <f t="shared" si="24"/>
        <v>5.5419436223375529</v>
      </c>
      <c r="F222" s="154">
        <f t="shared" si="25"/>
        <v>6.1752422904800763</v>
      </c>
      <c r="G222" s="96">
        <f t="shared" si="21"/>
        <v>2.2482244032500867</v>
      </c>
    </row>
    <row r="223" spans="1:7">
      <c r="A223" s="91">
        <v>2011</v>
      </c>
      <c r="B223" s="92" t="s">
        <v>55</v>
      </c>
      <c r="C223" s="93">
        <f t="shared" si="22"/>
        <v>3498.269999999995</v>
      </c>
      <c r="D223" s="94">
        <v>0.50998126716697012</v>
      </c>
      <c r="E223" s="93">
        <f t="shared" si="24"/>
        <v>6.0801877638154034</v>
      </c>
      <c r="F223" s="154">
        <f t="shared" si="25"/>
        <v>6.0801877638154034</v>
      </c>
      <c r="G223" s="96">
        <f t="shared" si="21"/>
        <v>2.2368170552873252</v>
      </c>
    </row>
    <row r="224" spans="1:7">
      <c r="A224" s="91">
        <f>2012</f>
        <v>2012</v>
      </c>
      <c r="B224" s="92" t="s">
        <v>56</v>
      </c>
      <c r="C224" s="93">
        <f t="shared" si="22"/>
        <v>3516.1099999999951</v>
      </c>
      <c r="D224" s="94">
        <v>0.50996635479823027</v>
      </c>
      <c r="E224" s="93">
        <f t="shared" ref="E224:E235" si="26">+((C224/$C$223)-1)*100</f>
        <v>0.50996635479823027</v>
      </c>
      <c r="F224" s="154">
        <f t="shared" si="25"/>
        <v>5.628221920474874</v>
      </c>
      <c r="G224" s="96">
        <f t="shared" si="21"/>
        <v>2.2254679176703775</v>
      </c>
    </row>
    <row r="225" spans="1:7">
      <c r="A225" s="91">
        <f>2012</f>
        <v>2012</v>
      </c>
      <c r="B225" s="92" t="s">
        <v>57</v>
      </c>
      <c r="C225" s="93">
        <f t="shared" si="22"/>
        <v>3529.8199999999952</v>
      </c>
      <c r="D225" s="94">
        <v>0.38991954176632593</v>
      </c>
      <c r="E225" s="93">
        <f t="shared" si="26"/>
        <v>0.90187435503834568</v>
      </c>
      <c r="F225" s="154">
        <f>100*((C225/C213)-1)</f>
        <v>5.470398059006687</v>
      </c>
      <c r="G225" s="96">
        <f t="shared" si="21"/>
        <v>2.2168240873472276</v>
      </c>
    </row>
    <row r="226" spans="1:7">
      <c r="A226" s="91">
        <f>2012</f>
        <v>2012</v>
      </c>
      <c r="B226" s="92" t="s">
        <v>58</v>
      </c>
      <c r="C226" s="93">
        <f t="shared" si="22"/>
        <v>3536.1699999999951</v>
      </c>
      <c r="D226" s="94">
        <v>0.17989585871234226</v>
      </c>
      <c r="E226" s="93">
        <f t="shared" si="26"/>
        <v>1.0833926483661882</v>
      </c>
      <c r="F226" s="154">
        <f>100*((C226/C214)-1)</f>
        <v>4.9673031883472829</v>
      </c>
      <c r="G226" s="96">
        <f t="shared" si="21"/>
        <v>2.2128432739376191</v>
      </c>
    </row>
    <row r="227" spans="1:7">
      <c r="A227" s="91">
        <f>2012</f>
        <v>2012</v>
      </c>
      <c r="B227" s="92" t="s">
        <v>59</v>
      </c>
      <c r="C227" s="93">
        <f t="shared" si="22"/>
        <v>3558.7999999999956</v>
      </c>
      <c r="D227" s="94">
        <v>0.63995792057509604</v>
      </c>
      <c r="E227" s="93">
        <f t="shared" si="26"/>
        <v>1.730283826005441</v>
      </c>
      <c r="F227" s="154">
        <f t="shared" ref="F227:F290" si="27">100*((C227/C215)-1)</f>
        <v>4.8837490311191445</v>
      </c>
      <c r="G227" s="96">
        <f t="shared" si="21"/>
        <v>2.1987720579970746</v>
      </c>
    </row>
    <row r="228" spans="1:7">
      <c r="A228" s="91">
        <f>2012</f>
        <v>2012</v>
      </c>
      <c r="B228" s="92" t="s">
        <v>60</v>
      </c>
      <c r="C228" s="93">
        <f t="shared" si="22"/>
        <v>3578.3699999999958</v>
      </c>
      <c r="D228" s="94">
        <v>0.54990446217826339</v>
      </c>
      <c r="E228" s="93">
        <f t="shared" si="26"/>
        <v>2.2897031961512715</v>
      </c>
      <c r="F228" s="154">
        <f t="shared" si="27"/>
        <v>4.8628103726670036</v>
      </c>
      <c r="G228" s="96">
        <f t="shared" si="21"/>
        <v>2.1867470384560539</v>
      </c>
    </row>
    <row r="229" spans="1:7">
      <c r="A229" s="91">
        <f>2012</f>
        <v>2012</v>
      </c>
      <c r="B229" s="92" t="s">
        <v>61</v>
      </c>
      <c r="C229" s="93">
        <f t="shared" si="22"/>
        <v>3587.669999999996</v>
      </c>
      <c r="D229" s="94">
        <v>0.25989486833390973</v>
      </c>
      <c r="E229" s="93">
        <f t="shared" si="26"/>
        <v>2.5555488855920627</v>
      </c>
      <c r="F229" s="154">
        <f t="shared" si="27"/>
        <v>4.9044720082808579</v>
      </c>
      <c r="G229" s="96">
        <f t="shared" si="21"/>
        <v>2.1810785272892961</v>
      </c>
    </row>
    <row r="230" spans="1:7">
      <c r="A230" s="91">
        <f>2012</f>
        <v>2012</v>
      </c>
      <c r="B230" s="92" t="s">
        <v>62</v>
      </c>
      <c r="C230" s="93">
        <f t="shared" si="22"/>
        <v>3603.0999999999954</v>
      </c>
      <c r="D230" s="94">
        <v>0.43008414932252936</v>
      </c>
      <c r="E230" s="93">
        <f t="shared" si="26"/>
        <v>2.9966240455997051</v>
      </c>
      <c r="F230" s="154">
        <f t="shared" si="27"/>
        <v>5.355649514318972</v>
      </c>
      <c r="G230" s="96">
        <f t="shared" si="21"/>
        <v>2.1717382254169992</v>
      </c>
    </row>
    <row r="231" spans="1:7">
      <c r="A231" s="91">
        <f>2012</f>
        <v>2012</v>
      </c>
      <c r="B231" s="92" t="s">
        <v>63</v>
      </c>
      <c r="C231" s="93">
        <f t="shared" si="22"/>
        <v>3619.3099999999949</v>
      </c>
      <c r="D231" s="94">
        <v>0.44989037217950667</v>
      </c>
      <c r="E231" s="93">
        <f t="shared" si="26"/>
        <v>3.4599959408507575</v>
      </c>
      <c r="F231" s="154">
        <f t="shared" si="27"/>
        <v>5.3871240136272425</v>
      </c>
      <c r="G231" s="96">
        <f t="shared" si="21"/>
        <v>2.1620115436367682</v>
      </c>
    </row>
    <row r="232" spans="1:7">
      <c r="A232" s="91">
        <f>2012</f>
        <v>2012</v>
      </c>
      <c r="B232" s="92" t="s">
        <v>64</v>
      </c>
      <c r="C232" s="93">
        <f t="shared" si="22"/>
        <v>3642.1199999999944</v>
      </c>
      <c r="D232" s="94">
        <v>0.63023062406921682</v>
      </c>
      <c r="E232" s="93">
        <f t="shared" si="26"/>
        <v>4.1120325189307749</v>
      </c>
      <c r="F232" s="154">
        <f t="shared" si="27"/>
        <v>5.5760400723528392</v>
      </c>
      <c r="G232" s="96">
        <f t="shared" si="21"/>
        <v>2.1484712200586449</v>
      </c>
    </row>
    <row r="233" spans="1:7">
      <c r="A233" s="91">
        <f>2012</f>
        <v>2012</v>
      </c>
      <c r="B233" s="92" t="s">
        <v>65</v>
      </c>
      <c r="C233" s="93">
        <f t="shared" si="22"/>
        <v>3667.9699999999939</v>
      </c>
      <c r="D233" s="94">
        <v>0.70975146343337236</v>
      </c>
      <c r="E233" s="93">
        <f t="shared" si="26"/>
        <v>4.8509691933441124</v>
      </c>
      <c r="F233" s="154">
        <f t="shared" si="27"/>
        <v>5.9861881645861814</v>
      </c>
      <c r="G233" s="96">
        <f t="shared" si="21"/>
        <v>2.1333298800153746</v>
      </c>
    </row>
    <row r="234" spans="1:7">
      <c r="A234" s="91">
        <f>2012</f>
        <v>2012</v>
      </c>
      <c r="B234" s="92" t="s">
        <v>66</v>
      </c>
      <c r="C234" s="93">
        <f t="shared" si="22"/>
        <v>3687.7799999999943</v>
      </c>
      <c r="D234" s="94">
        <v>0.54008075311413606</v>
      </c>
      <c r="E234" s="93">
        <f t="shared" si="26"/>
        <v>5.4172490974109921</v>
      </c>
      <c r="F234" s="154">
        <f t="shared" si="27"/>
        <v>5.9548573201705368</v>
      </c>
      <c r="G234" s="96">
        <f t="shared" si="21"/>
        <v>2.1218700681710927</v>
      </c>
    </row>
    <row r="235" spans="1:7">
      <c r="A235" s="91">
        <f>2012</f>
        <v>2012</v>
      </c>
      <c r="B235" s="92" t="s">
        <v>55</v>
      </c>
      <c r="C235" s="93">
        <f t="shared" si="22"/>
        <v>3715.0699999999943</v>
      </c>
      <c r="D235" s="94">
        <v>0.7400116058984052</v>
      </c>
      <c r="E235" s="93">
        <f t="shared" si="26"/>
        <v>6.1973489753506694</v>
      </c>
      <c r="F235" s="154">
        <f t="shared" si="27"/>
        <v>6.1973489753506694</v>
      </c>
      <c r="G235" s="96">
        <f t="shared" si="21"/>
        <v>2.1062833270974686</v>
      </c>
    </row>
    <row r="236" spans="1:7">
      <c r="A236" s="91">
        <f>2013</f>
        <v>2013</v>
      </c>
      <c r="B236" s="92" t="s">
        <v>56</v>
      </c>
      <c r="C236" s="93">
        <f t="shared" si="22"/>
        <v>3749.2499999999945</v>
      </c>
      <c r="D236" s="94">
        <v>0.92003649998519954</v>
      </c>
      <c r="E236" s="93">
        <f t="shared" ref="E236:E247" si="28">+((C236/$C$235)-1)*100</f>
        <v>0.92003649998519954</v>
      </c>
      <c r="F236" s="154">
        <f t="shared" si="27"/>
        <v>6.6306230464917126</v>
      </c>
      <c r="G236" s="96">
        <f t="shared" si="21"/>
        <v>2.0870814162832545</v>
      </c>
    </row>
    <row r="237" spans="1:7">
      <c r="A237" s="91">
        <f>2013</f>
        <v>2013</v>
      </c>
      <c r="B237" s="92" t="s">
        <v>57</v>
      </c>
      <c r="C237" s="93">
        <f t="shared" si="22"/>
        <v>3768.7499999999945</v>
      </c>
      <c r="D237" s="94">
        <v>0.52010402080415741</v>
      </c>
      <c r="E237" s="93">
        <f t="shared" si="28"/>
        <v>1.4449256676186462</v>
      </c>
      <c r="F237" s="154">
        <f t="shared" si="27"/>
        <v>6.7689003971873829</v>
      </c>
      <c r="G237" s="96">
        <f t="shared" si="21"/>
        <v>2.0762825870646742</v>
      </c>
    </row>
    <row r="238" spans="1:7">
      <c r="A238" s="91">
        <f>2013</f>
        <v>2013</v>
      </c>
      <c r="B238" s="92" t="s">
        <v>58</v>
      </c>
      <c r="C238" s="93">
        <f t="shared" si="22"/>
        <v>3791.3599999999947</v>
      </c>
      <c r="D238" s="94">
        <v>0.59993366500830092</v>
      </c>
      <c r="E238" s="93">
        <f t="shared" si="28"/>
        <v>2.0535279281413521</v>
      </c>
      <c r="F238" s="154">
        <f t="shared" si="27"/>
        <v>7.2165648144744132</v>
      </c>
      <c r="G238" s="96">
        <f t="shared" si="21"/>
        <v>2.0639005528359191</v>
      </c>
    </row>
    <row r="239" spans="1:7">
      <c r="A239" s="91">
        <f>2013</f>
        <v>2013</v>
      </c>
      <c r="B239" s="92" t="s">
        <v>59</v>
      </c>
      <c r="C239" s="93">
        <f t="shared" si="22"/>
        <v>3813.7299999999946</v>
      </c>
      <c r="D239" s="94">
        <v>0.59002574274138464</v>
      </c>
      <c r="E239" s="93">
        <f t="shared" si="28"/>
        <v>2.6556700142931433</v>
      </c>
      <c r="F239" s="154">
        <f t="shared" si="27"/>
        <v>7.1633696751713938</v>
      </c>
      <c r="G239" s="96">
        <f t="shared" si="21"/>
        <v>2.0517944374667296</v>
      </c>
    </row>
    <row r="240" spans="1:7">
      <c r="A240" s="91">
        <f>2013</f>
        <v>2013</v>
      </c>
      <c r="B240" s="92" t="s">
        <v>60</v>
      </c>
      <c r="C240" s="93">
        <f t="shared" si="22"/>
        <v>3827.0799999999949</v>
      </c>
      <c r="D240" s="94">
        <v>0.35005099993969946</v>
      </c>
      <c r="E240" s="93">
        <f t="shared" si="28"/>
        <v>3.015017213672988</v>
      </c>
      <c r="F240" s="154">
        <f t="shared" si="27"/>
        <v>6.9503712584221056</v>
      </c>
      <c r="G240" s="96">
        <f t="shared" si="21"/>
        <v>2.0446371646268147</v>
      </c>
    </row>
    <row r="241" spans="1:7">
      <c r="A241" s="91">
        <f>2013</f>
        <v>2013</v>
      </c>
      <c r="B241" s="92" t="s">
        <v>61</v>
      </c>
      <c r="C241" s="93">
        <f t="shared" si="22"/>
        <v>3837.7999999999952</v>
      </c>
      <c r="D241" s="94">
        <v>0.28010911713369779</v>
      </c>
      <c r="E241" s="93">
        <f t="shared" si="28"/>
        <v>3.3035716689053363</v>
      </c>
      <c r="F241" s="154">
        <f t="shared" si="27"/>
        <v>6.9719344309816522</v>
      </c>
      <c r="G241" s="96">
        <f t="shared" si="21"/>
        <v>2.0389259471572228</v>
      </c>
    </row>
    <row r="242" spans="1:7">
      <c r="A242" s="91">
        <f>2013</f>
        <v>2013</v>
      </c>
      <c r="B242" s="92" t="s">
        <v>62</v>
      </c>
      <c r="C242" s="93">
        <f t="shared" si="22"/>
        <v>3832.8099999999949</v>
      </c>
      <c r="D242" s="94">
        <v>-0.13002240867163728</v>
      </c>
      <c r="E242" s="93">
        <f t="shared" si="28"/>
        <v>3.169253876777578</v>
      </c>
      <c r="F242" s="154">
        <f t="shared" si="27"/>
        <v>6.3753434542477283</v>
      </c>
      <c r="G242" s="96">
        <f t="shared" si="21"/>
        <v>2.0415804592453033</v>
      </c>
    </row>
    <row r="243" spans="1:7">
      <c r="A243" s="91">
        <f>2013</f>
        <v>2013</v>
      </c>
      <c r="B243" s="92" t="s">
        <v>63</v>
      </c>
      <c r="C243" s="93">
        <f t="shared" si="22"/>
        <v>3838.9399999999951</v>
      </c>
      <c r="D243" s="94">
        <v>0.1599348780659593</v>
      </c>
      <c r="E243" s="93">
        <f t="shared" si="28"/>
        <v>3.3342574971669814</v>
      </c>
      <c r="F243" s="154">
        <f t="shared" si="27"/>
        <v>6.0682837336398565</v>
      </c>
      <c r="G243" s="96">
        <f t="shared" si="21"/>
        <v>2.0383204738808081</v>
      </c>
    </row>
    <row r="244" spans="1:7">
      <c r="A244" s="91">
        <f>2013</f>
        <v>2013</v>
      </c>
      <c r="B244" s="92" t="s">
        <v>64</v>
      </c>
      <c r="C244" s="93">
        <f t="shared" si="22"/>
        <v>3849.3099999999954</v>
      </c>
      <c r="D244" s="94">
        <v>0.27012664954388921</v>
      </c>
      <c r="E244" s="93">
        <f t="shared" si="28"/>
        <v>3.6133908647751234</v>
      </c>
      <c r="F244" s="154">
        <f t="shared" si="27"/>
        <v>5.6887197566253045</v>
      </c>
      <c r="G244" s="96">
        <f t="shared" si="21"/>
        <v>2.0328292603089877</v>
      </c>
    </row>
    <row r="245" spans="1:7">
      <c r="A245" s="91">
        <f>2013</f>
        <v>2013</v>
      </c>
      <c r="B245" s="92" t="s">
        <v>65</v>
      </c>
      <c r="C245" s="93">
        <f t="shared" si="22"/>
        <v>3872.7899999999959</v>
      </c>
      <c r="D245" s="94">
        <v>0.60997945086262995</v>
      </c>
      <c r="E245" s="93">
        <f t="shared" si="28"/>
        <v>4.2454112573922398</v>
      </c>
      <c r="F245" s="154">
        <f t="shared" si="27"/>
        <v>5.5840151364379365</v>
      </c>
      <c r="G245" s="96">
        <f t="shared" si="21"/>
        <v>2.0205045974607421</v>
      </c>
    </row>
    <row r="246" spans="1:7">
      <c r="A246" s="91">
        <f>2013</f>
        <v>2013</v>
      </c>
      <c r="B246" s="92" t="s">
        <v>66</v>
      </c>
      <c r="C246" s="93">
        <f t="shared" si="22"/>
        <v>3893.6999999999962</v>
      </c>
      <c r="D246" s="94">
        <v>0.53992083226821475</v>
      </c>
      <c r="E246" s="93">
        <f t="shared" si="28"/>
        <v>4.8082539494545884</v>
      </c>
      <c r="F246" s="154">
        <f t="shared" si="27"/>
        <v>5.5838471926200173</v>
      </c>
      <c r="G246" s="96">
        <f t="shared" si="21"/>
        <v>2.0096540565528898</v>
      </c>
    </row>
    <row r="247" spans="1:7">
      <c r="A247" s="91">
        <f>2013</f>
        <v>2013</v>
      </c>
      <c r="B247" s="92" t="s">
        <v>55</v>
      </c>
      <c r="C247" s="93">
        <f t="shared" si="22"/>
        <v>3921.7299999999964</v>
      </c>
      <c r="D247" s="94">
        <v>0.71988083314071805</v>
      </c>
      <c r="E247" s="93">
        <f t="shared" si="28"/>
        <v>5.5627484811861638</v>
      </c>
      <c r="F247" s="154">
        <f t="shared" si="27"/>
        <v>5.5627484811861638</v>
      </c>
      <c r="G247" s="96">
        <f t="shared" si="21"/>
        <v>1.9952903438023493</v>
      </c>
    </row>
    <row r="248" spans="1:7">
      <c r="A248" s="91">
        <f>2014</f>
        <v>2014</v>
      </c>
      <c r="B248" s="92" t="s">
        <v>56</v>
      </c>
      <c r="C248" s="93">
        <f t="shared" si="22"/>
        <v>3946.439999999996</v>
      </c>
      <c r="D248" s="94">
        <v>0.63007907224617021</v>
      </c>
      <c r="E248" s="93">
        <f t="shared" ref="E248:E259" si="29">+((C248/$C$247)-1)*100</f>
        <v>0.63007907224617021</v>
      </c>
      <c r="F248" s="154">
        <f t="shared" si="27"/>
        <v>5.2594518903781307</v>
      </c>
      <c r="G248" s="96">
        <f t="shared" si="21"/>
        <v>1.982797153890592</v>
      </c>
    </row>
    <row r="249" spans="1:7">
      <c r="A249" s="91">
        <f>2014</f>
        <v>2014</v>
      </c>
      <c r="B249" s="92" t="s">
        <v>57</v>
      </c>
      <c r="C249" s="93">
        <f t="shared" si="22"/>
        <v>3971.6999999999953</v>
      </c>
      <c r="D249" s="94">
        <v>0.64007054459207513</v>
      </c>
      <c r="E249" s="93">
        <f t="shared" si="29"/>
        <v>1.2741825673873164</v>
      </c>
      <c r="F249" s="154">
        <f t="shared" si="27"/>
        <v>5.3850746268657046</v>
      </c>
      <c r="G249" s="96">
        <f t="shared" si="21"/>
        <v>1.9701865699826244</v>
      </c>
    </row>
    <row r="250" spans="1:7">
      <c r="A250" s="91">
        <f>2014</f>
        <v>2014</v>
      </c>
      <c r="B250" s="92" t="s">
        <v>58</v>
      </c>
      <c r="C250" s="93">
        <f t="shared" si="22"/>
        <v>4004.269999999995</v>
      </c>
      <c r="D250" s="94">
        <v>0.82005186695872645</v>
      </c>
      <c r="E250" s="93">
        <f t="shared" si="29"/>
        <v>2.1046833922783836</v>
      </c>
      <c r="F250" s="154">
        <f t="shared" si="27"/>
        <v>5.6156629810938608</v>
      </c>
      <c r="G250" s="96">
        <f t="shared" si="21"/>
        <v>1.9541614326706216</v>
      </c>
    </row>
    <row r="251" spans="1:7">
      <c r="A251" s="91">
        <f>2014</f>
        <v>2014</v>
      </c>
      <c r="B251" s="92" t="s">
        <v>59</v>
      </c>
      <c r="C251" s="93">
        <f t="shared" si="22"/>
        <v>4035.499999999995</v>
      </c>
      <c r="D251" s="94">
        <v>0.77991743813479175</v>
      </c>
      <c r="E251" s="93">
        <f t="shared" si="29"/>
        <v>2.9010156232070816</v>
      </c>
      <c r="F251" s="154">
        <f t="shared" si="27"/>
        <v>5.8150419667884368</v>
      </c>
      <c r="G251" s="96">
        <f t="shared" si="21"/>
        <v>1.9390385330194497</v>
      </c>
    </row>
    <row r="252" spans="1:7">
      <c r="A252" s="91">
        <f>2014</f>
        <v>2014</v>
      </c>
      <c r="B252" s="92" t="s">
        <v>60</v>
      </c>
      <c r="C252" s="93">
        <f t="shared" si="22"/>
        <v>4059.7099999999946</v>
      </c>
      <c r="D252" s="94">
        <v>0.59992565976954015</v>
      </c>
      <c r="E252" s="93">
        <f t="shared" si="29"/>
        <v>3.5183452200941545</v>
      </c>
      <c r="F252" s="154">
        <f t="shared" si="27"/>
        <v>6.0785246192919917</v>
      </c>
      <c r="G252" s="96">
        <f t="shared" si="21"/>
        <v>1.9274751152175871</v>
      </c>
    </row>
    <row r="253" spans="1:7">
      <c r="A253" s="91">
        <f>2014</f>
        <v>2014</v>
      </c>
      <c r="B253" s="92" t="s">
        <v>61</v>
      </c>
      <c r="C253" s="93">
        <f t="shared" si="22"/>
        <v>4070.2699999999941</v>
      </c>
      <c r="D253" s="94">
        <v>0.26011710196047755</v>
      </c>
      <c r="E253" s="93">
        <f t="shared" si="29"/>
        <v>3.7876141396780971</v>
      </c>
      <c r="F253" s="154">
        <f t="shared" si="27"/>
        <v>6.0573766220230141</v>
      </c>
      <c r="G253" s="96">
        <f t="shared" si="21"/>
        <v>1.9224744304431871</v>
      </c>
    </row>
    <row r="254" spans="1:7">
      <c r="A254" s="91">
        <f>2014</f>
        <v>2014</v>
      </c>
      <c r="B254" s="92" t="s">
        <v>62</v>
      </c>
      <c r="C254" s="93">
        <f t="shared" si="22"/>
        <v>4075.5599999999936</v>
      </c>
      <c r="D254" s="94">
        <v>0.12996680809871375</v>
      </c>
      <c r="E254" s="93">
        <f t="shared" si="29"/>
        <v>3.9225035889772553</v>
      </c>
      <c r="F254" s="154">
        <f t="shared" si="27"/>
        <v>6.3334733524489595</v>
      </c>
      <c r="G254" s="96">
        <f t="shared" si="21"/>
        <v>1.9199790948973865</v>
      </c>
    </row>
    <row r="255" spans="1:7">
      <c r="A255" s="91">
        <f>2014</f>
        <v>2014</v>
      </c>
      <c r="B255" s="92" t="s">
        <v>63</v>
      </c>
      <c r="C255" s="93">
        <f t="shared" si="22"/>
        <v>4082.8999999999942</v>
      </c>
      <c r="D255" s="94">
        <v>0.18009794972961846</v>
      </c>
      <c r="E255" s="93">
        <f t="shared" si="29"/>
        <v>4.1096658872486813</v>
      </c>
      <c r="F255" s="154">
        <f t="shared" si="27"/>
        <v>6.3548792114489716</v>
      </c>
      <c r="G255" s="96">
        <f t="shared" si="21"/>
        <v>1.9165274682211151</v>
      </c>
    </row>
    <row r="256" spans="1:7">
      <c r="A256" s="91">
        <f>2014</f>
        <v>2014</v>
      </c>
      <c r="B256" s="92" t="s">
        <v>64</v>
      </c>
      <c r="C256" s="93">
        <f t="shared" si="22"/>
        <v>4102.8999999999933</v>
      </c>
      <c r="D256" s="94">
        <v>0.489847902226348</v>
      </c>
      <c r="E256" s="93">
        <f t="shared" si="29"/>
        <v>4.6196449016122187</v>
      </c>
      <c r="F256" s="154">
        <f t="shared" si="27"/>
        <v>6.5879339414076421</v>
      </c>
      <c r="G256" s="96">
        <f t="shared" si="21"/>
        <v>1.9071851617148827</v>
      </c>
    </row>
    <row r="257" spans="1:7">
      <c r="A257" s="91">
        <f>2014</f>
        <v>2014</v>
      </c>
      <c r="B257" s="92" t="s">
        <v>65</v>
      </c>
      <c r="C257" s="93">
        <f t="shared" si="22"/>
        <v>4118.4899999999934</v>
      </c>
      <c r="D257" s="94">
        <v>0.37997513953544892</v>
      </c>
      <c r="E257" s="93">
        <f t="shared" si="29"/>
        <v>5.0171735433086173</v>
      </c>
      <c r="F257" s="154">
        <f t="shared" si="27"/>
        <v>6.3442634379865082</v>
      </c>
      <c r="G257" s="96">
        <f t="shared" si="21"/>
        <v>1.8999657641514225</v>
      </c>
    </row>
    <row r="258" spans="1:7">
      <c r="A258" s="91">
        <f>2014</f>
        <v>2014</v>
      </c>
      <c r="B258" s="92" t="s">
        <v>66</v>
      </c>
      <c r="C258" s="93">
        <f t="shared" si="22"/>
        <v>4140.3199999999933</v>
      </c>
      <c r="D258" s="94">
        <v>0.53004863432957183</v>
      </c>
      <c r="E258" s="93">
        <f t="shared" si="29"/>
        <v>5.5738156374864456</v>
      </c>
      <c r="F258" s="154">
        <f t="shared" si="27"/>
        <v>6.3338213010760258</v>
      </c>
      <c r="G258" s="96">
        <f t="shared" si="21"/>
        <v>1.8899481199520791</v>
      </c>
    </row>
    <row r="259" spans="1:7">
      <c r="A259" s="91">
        <f>2014</f>
        <v>2014</v>
      </c>
      <c r="B259" s="92" t="s">
        <v>55</v>
      </c>
      <c r="C259" s="93">
        <f t="shared" si="22"/>
        <v>4165.9899999999934</v>
      </c>
      <c r="D259" s="94">
        <v>0.62000038644356437</v>
      </c>
      <c r="E259" s="93">
        <f t="shared" si="29"/>
        <v>6.2283737024220853</v>
      </c>
      <c r="F259" s="154">
        <f t="shared" si="27"/>
        <v>6.2283737024220853</v>
      </c>
      <c r="G259" s="96">
        <f t="shared" si="21"/>
        <v>1.878302636348141</v>
      </c>
    </row>
    <row r="260" spans="1:7">
      <c r="A260" s="91">
        <f>2015</f>
        <v>2015</v>
      </c>
      <c r="B260" s="92" t="s">
        <v>56</v>
      </c>
      <c r="C260" s="93">
        <f t="shared" si="22"/>
        <v>4227.639999999994</v>
      </c>
      <c r="D260" s="94">
        <v>1.4798403260689597</v>
      </c>
      <c r="E260" s="93">
        <f t="shared" ref="E260:E271" si="30">+((C260/$C$259)-1)*100</f>
        <v>1.4798403260689597</v>
      </c>
      <c r="F260" s="154">
        <f t="shared" si="27"/>
        <v>7.1254092295840898</v>
      </c>
      <c r="G260" s="96">
        <f t="shared" si="21"/>
        <v>1.850912092798817</v>
      </c>
    </row>
    <row r="261" spans="1:7">
      <c r="A261" s="91">
        <f>2015</f>
        <v>2015</v>
      </c>
      <c r="B261" s="92" t="s">
        <v>57</v>
      </c>
      <c r="C261" s="93">
        <f t="shared" si="22"/>
        <v>4276.6899999999932</v>
      </c>
      <c r="D261" s="94">
        <v>1.1602217785809499</v>
      </c>
      <c r="E261" s="93">
        <f t="shared" si="30"/>
        <v>2.6572315344011832</v>
      </c>
      <c r="F261" s="154">
        <f t="shared" si="27"/>
        <v>7.6790794873731194</v>
      </c>
      <c r="G261" s="96">
        <f t="shared" si="21"/>
        <v>1.8296837039860248</v>
      </c>
    </row>
    <row r="262" spans="1:7">
      <c r="A262" s="91">
        <f>2015</f>
        <v>2015</v>
      </c>
      <c r="B262" s="92" t="s">
        <v>58</v>
      </c>
      <c r="C262" s="93">
        <f t="shared" si="22"/>
        <v>4341.2599999999939</v>
      </c>
      <c r="D262" s="94">
        <v>1.509812495177365</v>
      </c>
      <c r="E262" s="93">
        <f t="shared" si="30"/>
        <v>4.2071632433107409</v>
      </c>
      <c r="F262" s="154">
        <f t="shared" si="27"/>
        <v>8.4157661696139243</v>
      </c>
      <c r="G262" s="96">
        <f t="shared" si="21"/>
        <v>1.8024697898766697</v>
      </c>
    </row>
    <row r="263" spans="1:7">
      <c r="A263" s="91">
        <f>2015</f>
        <v>2015</v>
      </c>
      <c r="B263" s="92" t="s">
        <v>59</v>
      </c>
      <c r="C263" s="93">
        <f t="shared" si="22"/>
        <v>4372.0799999999936</v>
      </c>
      <c r="D263" s="94">
        <v>0.70993213951708878</v>
      </c>
      <c r="E263" s="93">
        <f t="shared" si="30"/>
        <v>4.9469633868540308</v>
      </c>
      <c r="F263" s="154">
        <f t="shared" si="27"/>
        <v>8.3404782554825641</v>
      </c>
      <c r="G263" s="96">
        <f t="shared" ref="G263:G326" si="31">$C$396/C263</f>
        <v>1.7897636822747962</v>
      </c>
    </row>
    <row r="264" spans="1:7">
      <c r="A264" s="91">
        <f>2015</f>
        <v>2015</v>
      </c>
      <c r="B264" s="92" t="s">
        <v>60</v>
      </c>
      <c r="C264" s="93">
        <f t="shared" ref="C264:C327" si="32">+C263*(1+D264/100)</f>
        <v>4415.3699999999935</v>
      </c>
      <c r="D264" s="94">
        <v>0.99014656639402343</v>
      </c>
      <c r="E264" s="93">
        <f t="shared" si="30"/>
        <v>5.9860921413637636</v>
      </c>
      <c r="F264" s="154">
        <f t="shared" si="27"/>
        <v>8.7607242881880598</v>
      </c>
      <c r="G264" s="96">
        <f t="shared" si="31"/>
        <v>1.7722161449663316</v>
      </c>
    </row>
    <row r="265" spans="1:7">
      <c r="A265" s="91">
        <f>2015</f>
        <v>2015</v>
      </c>
      <c r="B265" s="92" t="s">
        <v>61</v>
      </c>
      <c r="C265" s="93">
        <f t="shared" si="32"/>
        <v>4449.3599999999924</v>
      </c>
      <c r="D265" s="94">
        <v>0.76981091052390482</v>
      </c>
      <c r="E265" s="93">
        <f t="shared" si="30"/>
        <v>6.8019846423059027</v>
      </c>
      <c r="F265" s="154">
        <f t="shared" si="27"/>
        <v>9.3136327565492838</v>
      </c>
      <c r="G265" s="96">
        <f t="shared" si="31"/>
        <v>1.7586776525163155</v>
      </c>
    </row>
    <row r="266" spans="1:7">
      <c r="A266" s="91">
        <f>2015</f>
        <v>2015</v>
      </c>
      <c r="B266" s="92" t="s">
        <v>62</v>
      </c>
      <c r="C266" s="93">
        <f t="shared" si="32"/>
        <v>4475.1699999999928</v>
      </c>
      <c r="D266" s="94">
        <v>0.58008342772895016</v>
      </c>
      <c r="E266" s="93">
        <f t="shared" si="30"/>
        <v>7.4215252557015221</v>
      </c>
      <c r="F266" s="154">
        <f t="shared" si="27"/>
        <v>9.8050329279902648</v>
      </c>
      <c r="G266" s="96">
        <f t="shared" si="31"/>
        <v>1.7485346925368181</v>
      </c>
    </row>
    <row r="267" spans="1:7">
      <c r="A267" s="91">
        <f>2015</f>
        <v>2015</v>
      </c>
      <c r="B267" s="92" t="s">
        <v>63</v>
      </c>
      <c r="C267" s="93">
        <f t="shared" si="32"/>
        <v>4486.3599999999924</v>
      </c>
      <c r="D267" s="94">
        <v>0.25004636695364901</v>
      </c>
      <c r="E267" s="93">
        <f t="shared" si="30"/>
        <v>7.6901288769295917</v>
      </c>
      <c r="F267" s="154">
        <f t="shared" si="27"/>
        <v>9.8817017316123135</v>
      </c>
      <c r="G267" s="96">
        <f t="shared" si="31"/>
        <v>1.7441734501912447</v>
      </c>
    </row>
    <row r="268" spans="1:7">
      <c r="A268" s="91">
        <f>2015</f>
        <v>2015</v>
      </c>
      <c r="B268" s="92" t="s">
        <v>64</v>
      </c>
      <c r="C268" s="93">
        <f t="shared" si="32"/>
        <v>4509.2399999999925</v>
      </c>
      <c r="D268" s="94">
        <v>0.50999028165372717</v>
      </c>
      <c r="E268" s="93">
        <f t="shared" si="30"/>
        <v>8.2393380685023221</v>
      </c>
      <c r="F268" s="154">
        <f t="shared" si="27"/>
        <v>9.9037266323819715</v>
      </c>
      <c r="G268" s="96">
        <f t="shared" si="31"/>
        <v>1.7353234691433574</v>
      </c>
    </row>
    <row r="269" spans="1:7">
      <c r="A269" s="91">
        <f>2015</f>
        <v>2015</v>
      </c>
      <c r="B269" s="92" t="s">
        <v>65</v>
      </c>
      <c r="C269" s="93">
        <f t="shared" si="32"/>
        <v>4543.9599999999928</v>
      </c>
      <c r="D269" s="94">
        <v>0.76997454116436437</v>
      </c>
      <c r="E269" s="93">
        <f t="shared" si="30"/>
        <v>9.0727534151546116</v>
      </c>
      <c r="F269" s="154">
        <f t="shared" si="27"/>
        <v>10.33072800953747</v>
      </c>
      <c r="G269" s="96">
        <f t="shared" si="31"/>
        <v>1.7220640146480146</v>
      </c>
    </row>
    <row r="270" spans="1:7">
      <c r="A270" s="91">
        <f>2015</f>
        <v>2015</v>
      </c>
      <c r="B270" s="92" t="s">
        <v>66</v>
      </c>
      <c r="C270" s="93">
        <f t="shared" si="32"/>
        <v>4594.3999999999924</v>
      </c>
      <c r="D270" s="94">
        <v>1.1100449827903258</v>
      </c>
      <c r="E270" s="93">
        <f t="shared" si="30"/>
        <v>10.283510042030809</v>
      </c>
      <c r="F270" s="154">
        <f t="shared" si="27"/>
        <v>10.967268230474936</v>
      </c>
      <c r="G270" s="96">
        <f t="shared" si="31"/>
        <v>1.7031581925822725</v>
      </c>
    </row>
    <row r="271" spans="1:7">
      <c r="A271" s="91">
        <f>2015</f>
        <v>2015</v>
      </c>
      <c r="B271" s="92" t="s">
        <v>55</v>
      </c>
      <c r="C271" s="93">
        <f t="shared" si="32"/>
        <v>4635.7499999999918</v>
      </c>
      <c r="D271" s="94">
        <v>0.90000870625108753</v>
      </c>
      <c r="E271" s="93">
        <f t="shared" si="30"/>
        <v>11.276071233968366</v>
      </c>
      <c r="F271" s="154">
        <f t="shared" si="27"/>
        <v>11.276071233968366</v>
      </c>
      <c r="G271" s="96">
        <f t="shared" si="31"/>
        <v>1.6879663484872984</v>
      </c>
    </row>
    <row r="272" spans="1:7">
      <c r="A272" s="91">
        <f>2016</f>
        <v>2016</v>
      </c>
      <c r="B272" s="92" t="s">
        <v>56</v>
      </c>
      <c r="C272" s="93">
        <f t="shared" si="32"/>
        <v>4705.7499999999909</v>
      </c>
      <c r="D272" s="94">
        <v>1.5100037750094275</v>
      </c>
      <c r="E272" s="93">
        <f t="shared" ref="E272:E283" si="33">+((C272/$C$271)-1)*100</f>
        <v>1.5100037750094275</v>
      </c>
      <c r="F272" s="154">
        <f t="shared" si="27"/>
        <v>11.309146474155728</v>
      </c>
      <c r="G272" s="96">
        <f t="shared" si="31"/>
        <v>1.6628571428571417</v>
      </c>
    </row>
    <row r="273" spans="1:7">
      <c r="A273" s="91">
        <f>2016</f>
        <v>2016</v>
      </c>
      <c r="B273" s="92" t="s">
        <v>57</v>
      </c>
      <c r="C273" s="93">
        <f t="shared" si="32"/>
        <v>4750.4499999999907</v>
      </c>
      <c r="D273" s="94">
        <v>0.94990171598576811</v>
      </c>
      <c r="E273" s="93">
        <f t="shared" si="33"/>
        <v>2.4742490427654529</v>
      </c>
      <c r="F273" s="154">
        <f t="shared" si="27"/>
        <v>11.077725998377218</v>
      </c>
      <c r="G273" s="96">
        <f t="shared" si="31"/>
        <v>1.6472102642907505</v>
      </c>
    </row>
    <row r="274" spans="1:7">
      <c r="A274" s="91">
        <f>2016</f>
        <v>2016</v>
      </c>
      <c r="B274" s="92" t="s">
        <v>58</v>
      </c>
      <c r="C274" s="93">
        <f t="shared" si="32"/>
        <v>4771.3599999999897</v>
      </c>
      <c r="D274" s="94">
        <v>0.44016882611119801</v>
      </c>
      <c r="E274" s="93">
        <f t="shared" si="33"/>
        <v>2.9253087418432466</v>
      </c>
      <c r="F274" s="154">
        <f t="shared" si="27"/>
        <v>9.9072619469922749</v>
      </c>
      <c r="G274" s="96">
        <f t="shared" si="31"/>
        <v>1.6399915328124468</v>
      </c>
    </row>
    <row r="275" spans="1:7">
      <c r="A275" s="91">
        <f>2016</f>
        <v>2016</v>
      </c>
      <c r="B275" s="92" t="s">
        <v>59</v>
      </c>
      <c r="C275" s="93">
        <f t="shared" si="32"/>
        <v>4801.8899999999903</v>
      </c>
      <c r="D275" s="94">
        <v>0.63985949498677197</v>
      </c>
      <c r="E275" s="93">
        <f t="shared" si="33"/>
        <v>3.5838861025723645</v>
      </c>
      <c r="F275" s="154">
        <f t="shared" si="27"/>
        <v>9.8307899215018359</v>
      </c>
      <c r="G275" s="96">
        <f t="shared" si="31"/>
        <v>1.6295646089352309</v>
      </c>
    </row>
    <row r="276" spans="1:7">
      <c r="A276" s="91">
        <f>2016</f>
        <v>2016</v>
      </c>
      <c r="B276" s="92" t="s">
        <v>60</v>
      </c>
      <c r="C276" s="93">
        <f t="shared" si="32"/>
        <v>4848.9499999999898</v>
      </c>
      <c r="D276" s="94">
        <v>0.98003077954720297</v>
      </c>
      <c r="E276" s="93">
        <f t="shared" si="33"/>
        <v>4.5990400690287148</v>
      </c>
      <c r="F276" s="154">
        <f t="shared" si="27"/>
        <v>9.8197886020876304</v>
      </c>
      <c r="G276" s="96">
        <f t="shared" si="31"/>
        <v>1.6137493684199664</v>
      </c>
    </row>
    <row r="277" spans="1:7">
      <c r="A277" s="91">
        <f>2016</f>
        <v>2016</v>
      </c>
      <c r="B277" s="92" t="s">
        <v>61</v>
      </c>
      <c r="C277" s="93">
        <f t="shared" si="32"/>
        <v>4871.7399999999898</v>
      </c>
      <c r="D277" s="94">
        <v>0.46999865950361208</v>
      </c>
      <c r="E277" s="93">
        <f t="shared" si="33"/>
        <v>5.0906541552067752</v>
      </c>
      <c r="F277" s="154">
        <f t="shared" si="27"/>
        <v>9.4930506859413057</v>
      </c>
      <c r="G277" s="96">
        <f t="shared" si="31"/>
        <v>1.6062002487817486</v>
      </c>
    </row>
    <row r="278" spans="1:7">
      <c r="A278" s="91">
        <f>2016</f>
        <v>2016</v>
      </c>
      <c r="B278" s="92" t="s">
        <v>62</v>
      </c>
      <c r="C278" s="93">
        <f t="shared" si="32"/>
        <v>4902.9199999999901</v>
      </c>
      <c r="D278" s="94">
        <v>0.6400177349366043</v>
      </c>
      <c r="E278" s="93">
        <f t="shared" si="33"/>
        <v>5.7632529795609955</v>
      </c>
      <c r="F278" s="154">
        <f t="shared" si="27"/>
        <v>9.5582961094214944</v>
      </c>
      <c r="G278" s="96">
        <f t="shared" si="31"/>
        <v>1.5959856575265343</v>
      </c>
    </row>
    <row r="279" spans="1:7">
      <c r="A279" s="91">
        <f>2016</f>
        <v>2016</v>
      </c>
      <c r="B279" s="92" t="s">
        <v>63</v>
      </c>
      <c r="C279" s="93">
        <f t="shared" si="32"/>
        <v>4918.1199999999899</v>
      </c>
      <c r="D279" s="94">
        <v>0.31001933541643378</v>
      </c>
      <c r="E279" s="93">
        <f t="shared" si="33"/>
        <v>6.0911395135630375</v>
      </c>
      <c r="F279" s="154">
        <f t="shared" si="27"/>
        <v>9.6238375877102591</v>
      </c>
      <c r="G279" s="96">
        <f t="shared" si="31"/>
        <v>1.591053085325286</v>
      </c>
    </row>
    <row r="280" spans="1:7">
      <c r="A280" s="91">
        <f>2016</f>
        <v>2016</v>
      </c>
      <c r="B280" s="92" t="s">
        <v>64</v>
      </c>
      <c r="C280" s="93">
        <f t="shared" si="32"/>
        <v>4922.0499999999893</v>
      </c>
      <c r="D280" s="94">
        <v>7.9908582954457685E-2</v>
      </c>
      <c r="E280" s="93">
        <f t="shared" si="33"/>
        <v>6.1759154397885485</v>
      </c>
      <c r="F280" s="154">
        <f t="shared" si="27"/>
        <v>9.1547577862344234</v>
      </c>
      <c r="G280" s="96">
        <f t="shared" si="31"/>
        <v>1.5897827124876824</v>
      </c>
    </row>
    <row r="281" spans="1:7">
      <c r="A281" s="91">
        <f>2016</f>
        <v>2016</v>
      </c>
      <c r="B281" s="92" t="s">
        <v>65</v>
      </c>
      <c r="C281" s="93">
        <f t="shared" si="32"/>
        <v>4930.4199999999892</v>
      </c>
      <c r="D281" s="94">
        <v>0.17005109659593565</v>
      </c>
      <c r="E281" s="93">
        <f t="shared" si="33"/>
        <v>6.3564687483146809</v>
      </c>
      <c r="F281" s="154">
        <f t="shared" si="27"/>
        <v>8.5049164165176947</v>
      </c>
      <c r="G281" s="96">
        <f t="shared" si="31"/>
        <v>1.5870838589815872</v>
      </c>
    </row>
    <row r="282" spans="1:7">
      <c r="A282" s="91">
        <f>2016</f>
        <v>2016</v>
      </c>
      <c r="B282" s="92" t="s">
        <v>66</v>
      </c>
      <c r="C282" s="93">
        <f t="shared" si="32"/>
        <v>4933.869999999989</v>
      </c>
      <c r="D282" s="94">
        <v>6.9973754771401886E-2</v>
      </c>
      <c r="E282" s="93">
        <f t="shared" si="33"/>
        <v>6.4308903629401337</v>
      </c>
      <c r="F282" s="154">
        <f t="shared" si="27"/>
        <v>7.388777642347133</v>
      </c>
      <c r="G282" s="96">
        <f t="shared" si="31"/>
        <v>1.5859740933587625</v>
      </c>
    </row>
    <row r="283" spans="1:7">
      <c r="A283" s="91">
        <f>2016</f>
        <v>2016</v>
      </c>
      <c r="B283" s="92" t="s">
        <v>55</v>
      </c>
      <c r="C283" s="93">
        <f t="shared" si="32"/>
        <v>4940.7799999999879</v>
      </c>
      <c r="D283" s="94">
        <v>0.1400523321449354</v>
      </c>
      <c r="E283" s="93">
        <f t="shared" si="33"/>
        <v>6.579949307016042</v>
      </c>
      <c r="F283" s="154">
        <f t="shared" si="27"/>
        <v>6.579949307016042</v>
      </c>
      <c r="G283" s="96">
        <f t="shared" si="31"/>
        <v>1.5837560061366827</v>
      </c>
    </row>
    <row r="284" spans="1:7">
      <c r="A284" s="91">
        <f>2017</f>
        <v>2017</v>
      </c>
      <c r="B284" s="92" t="s">
        <v>56</v>
      </c>
      <c r="C284" s="93">
        <f t="shared" si="32"/>
        <v>4961.5299999999879</v>
      </c>
      <c r="D284" s="94">
        <v>0.41997417411825388</v>
      </c>
      <c r="E284" s="93">
        <f t="shared" ref="E284:E295" si="34">+((C284/$C$283)-1)*100</f>
        <v>0.41997417411825388</v>
      </c>
      <c r="F284" s="154">
        <f t="shared" si="27"/>
        <v>5.435477872815131</v>
      </c>
      <c r="G284" s="96">
        <f t="shared" si="31"/>
        <v>1.5771324571251204</v>
      </c>
    </row>
    <row r="285" spans="1:7">
      <c r="A285" s="91">
        <f>2017</f>
        <v>2017</v>
      </c>
      <c r="B285" s="92" t="s">
        <v>57</v>
      </c>
      <c r="C285" s="93">
        <f t="shared" si="32"/>
        <v>4973.4399999999878</v>
      </c>
      <c r="D285" s="94">
        <v>0.24004692101025071</v>
      </c>
      <c r="E285" s="93">
        <f t="shared" si="34"/>
        <v>0.66102923020252558</v>
      </c>
      <c r="F285" s="154">
        <f t="shared" si="27"/>
        <v>4.6940816133207885</v>
      </c>
      <c r="G285" s="96">
        <f t="shared" si="31"/>
        <v>1.5733556652940417</v>
      </c>
    </row>
    <row r="286" spans="1:7">
      <c r="A286" s="91">
        <f>2017</f>
        <v>2017</v>
      </c>
      <c r="B286" s="92" t="s">
        <v>58</v>
      </c>
      <c r="C286" s="93">
        <f t="shared" si="32"/>
        <v>4989.3599999999878</v>
      </c>
      <c r="D286" s="94">
        <v>0.32010037318235263</v>
      </c>
      <c r="E286" s="93">
        <f t="shared" si="34"/>
        <v>0.98324556041757827</v>
      </c>
      <c r="F286" s="154">
        <f t="shared" si="27"/>
        <v>4.5689279366888824</v>
      </c>
      <c r="G286" s="96">
        <f t="shared" si="31"/>
        <v>1.5683354177690123</v>
      </c>
    </row>
    <row r="287" spans="1:7">
      <c r="A287" s="91">
        <f>2017</f>
        <v>2017</v>
      </c>
      <c r="B287" s="92" t="s">
        <v>59</v>
      </c>
      <c r="C287" s="93">
        <f t="shared" si="32"/>
        <v>4993.3499999999876</v>
      </c>
      <c r="D287" s="94">
        <v>7.9970176535670845E-2</v>
      </c>
      <c r="E287" s="93">
        <f t="shared" si="34"/>
        <v>1.0640020401637029</v>
      </c>
      <c r="F287" s="154">
        <f t="shared" si="27"/>
        <v>3.9871800478560981</v>
      </c>
      <c r="G287" s="96">
        <f t="shared" si="31"/>
        <v>1.5670822193517377</v>
      </c>
    </row>
    <row r="288" spans="1:7">
      <c r="A288" s="91">
        <f>2017</f>
        <v>2017</v>
      </c>
      <c r="B288" s="92" t="s">
        <v>60</v>
      </c>
      <c r="C288" s="93">
        <f t="shared" si="32"/>
        <v>5011.3299999999872</v>
      </c>
      <c r="D288" s="94">
        <v>0.36007890494356154</v>
      </c>
      <c r="E288" s="93">
        <f t="shared" si="34"/>
        <v>1.4279121920020676</v>
      </c>
      <c r="F288" s="154">
        <f t="shared" si="27"/>
        <v>3.3487662277399854</v>
      </c>
      <c r="G288" s="96">
        <f t="shared" si="31"/>
        <v>1.561459732246729</v>
      </c>
    </row>
    <row r="289" spans="1:7">
      <c r="A289" s="91">
        <f>2017</f>
        <v>2017</v>
      </c>
      <c r="B289" s="92" t="s">
        <v>61</v>
      </c>
      <c r="C289" s="93">
        <f t="shared" si="32"/>
        <v>4996.2999999999874</v>
      </c>
      <c r="D289" s="94">
        <v>-0.29992038041797286</v>
      </c>
      <c r="E289" s="93">
        <f t="shared" si="34"/>
        <v>1.1237092119058101</v>
      </c>
      <c r="F289" s="154">
        <f t="shared" si="27"/>
        <v>2.5567866922290072</v>
      </c>
      <c r="G289" s="96">
        <f t="shared" si="31"/>
        <v>1.566156956147549</v>
      </c>
    </row>
    <row r="290" spans="1:7">
      <c r="A290" s="91">
        <f>2017</f>
        <v>2017</v>
      </c>
      <c r="B290" s="92" t="s">
        <v>62</v>
      </c>
      <c r="C290" s="93">
        <f t="shared" si="32"/>
        <v>5004.7899999999863</v>
      </c>
      <c r="D290" s="94">
        <v>0.16992574505132474</v>
      </c>
      <c r="E290" s="93">
        <f t="shared" si="34"/>
        <v>1.2955444282076733</v>
      </c>
      <c r="F290" s="154">
        <f t="shared" si="27"/>
        <v>2.0777414275573891</v>
      </c>
      <c r="G290" s="96">
        <f t="shared" si="31"/>
        <v>1.5635001668401673</v>
      </c>
    </row>
    <row r="291" spans="1:7">
      <c r="A291" s="91">
        <f>2017</f>
        <v>2017</v>
      </c>
      <c r="B291" s="92" t="s">
        <v>63</v>
      </c>
      <c r="C291" s="93">
        <f t="shared" si="32"/>
        <v>5003.2899999999863</v>
      </c>
      <c r="D291" s="94">
        <v>-2.9971287506569411E-2</v>
      </c>
      <c r="E291" s="93">
        <f t="shared" si="34"/>
        <v>1.2651848493557383</v>
      </c>
      <c r="F291" s="154">
        <f t="shared" ref="F291:F354" si="35">100*((C291/C279)-1)</f>
        <v>1.7317592901351819</v>
      </c>
      <c r="G291" s="96">
        <f t="shared" si="31"/>
        <v>1.5639689084582347</v>
      </c>
    </row>
    <row r="292" spans="1:7">
      <c r="A292" s="91">
        <f>2017</f>
        <v>2017</v>
      </c>
      <c r="B292" s="92" t="s">
        <v>64</v>
      </c>
      <c r="C292" s="93">
        <f t="shared" si="32"/>
        <v>5002.2899999999863</v>
      </c>
      <c r="D292" s="94">
        <v>-1.9986848653585909E-2</v>
      </c>
      <c r="E292" s="93">
        <f t="shared" si="34"/>
        <v>1.2449451301211223</v>
      </c>
      <c r="F292" s="154">
        <f t="shared" si="35"/>
        <v>1.6302150526710912</v>
      </c>
      <c r="G292" s="96">
        <f t="shared" si="31"/>
        <v>1.5642815590459571</v>
      </c>
    </row>
    <row r="293" spans="1:7">
      <c r="A293" s="91">
        <f>2017</f>
        <v>2017</v>
      </c>
      <c r="B293" s="92" t="s">
        <v>65</v>
      </c>
      <c r="C293" s="93">
        <f t="shared" si="32"/>
        <v>5020.7999999999865</v>
      </c>
      <c r="D293" s="94">
        <v>0.37003052601909392</v>
      </c>
      <c r="E293" s="93">
        <f t="shared" si="34"/>
        <v>1.6195823331538461</v>
      </c>
      <c r="F293" s="154">
        <f t="shared" si="35"/>
        <v>1.8331095525329966</v>
      </c>
      <c r="G293" s="96">
        <f t="shared" si="31"/>
        <v>1.5585145793499044</v>
      </c>
    </row>
    <row r="294" spans="1:7">
      <c r="A294" s="91">
        <f>2017</f>
        <v>2017</v>
      </c>
      <c r="B294" s="92" t="s">
        <v>66</v>
      </c>
      <c r="C294" s="93">
        <f t="shared" si="32"/>
        <v>5029.8399999999865</v>
      </c>
      <c r="D294" s="94">
        <v>0.18005098789037888</v>
      </c>
      <c r="E294" s="93">
        <f t="shared" si="34"/>
        <v>1.8025493950347693</v>
      </c>
      <c r="F294" s="154">
        <f t="shared" si="35"/>
        <v>1.9451262396455116</v>
      </c>
      <c r="G294" s="96">
        <f t="shared" si="31"/>
        <v>1.5557135018211317</v>
      </c>
    </row>
    <row r="295" spans="1:7">
      <c r="A295" s="91">
        <f>2017</f>
        <v>2017</v>
      </c>
      <c r="B295" s="92" t="s">
        <v>55</v>
      </c>
      <c r="C295" s="93">
        <f t="shared" si="32"/>
        <v>5042.9199999999864</v>
      </c>
      <c r="D295" s="94">
        <v>0.26004803333703475</v>
      </c>
      <c r="E295" s="93">
        <f t="shared" si="34"/>
        <v>2.0672849226235357</v>
      </c>
      <c r="F295" s="154">
        <f t="shared" si="35"/>
        <v>2.0672849226235357</v>
      </c>
      <c r="G295" s="96">
        <f t="shared" si="31"/>
        <v>1.5516783926772586</v>
      </c>
    </row>
    <row r="296" spans="1:7">
      <c r="A296" s="91">
        <f>2018</f>
        <v>2018</v>
      </c>
      <c r="B296" s="92" t="s">
        <v>56</v>
      </c>
      <c r="C296" s="93">
        <f t="shared" si="32"/>
        <v>5054.5199999999868</v>
      </c>
      <c r="D296" s="94">
        <v>0.2300254614390207</v>
      </c>
      <c r="E296" s="93">
        <f t="shared" ref="E296:E307" si="36">+((C296/$C$295)-1)*100</f>
        <v>0.2300254614390207</v>
      </c>
      <c r="F296" s="154">
        <f t="shared" si="35"/>
        <v>1.8742202506081718</v>
      </c>
      <c r="G296" s="96">
        <f t="shared" si="31"/>
        <v>1.5481173286484178</v>
      </c>
    </row>
    <row r="297" spans="1:7">
      <c r="A297" s="91">
        <f>2018</f>
        <v>2018</v>
      </c>
      <c r="B297" s="92" t="s">
        <v>57</v>
      </c>
      <c r="C297" s="93">
        <f t="shared" si="32"/>
        <v>5063.6199999999862</v>
      </c>
      <c r="D297" s="94">
        <v>0.18003687788354927</v>
      </c>
      <c r="E297" s="93">
        <f t="shared" si="36"/>
        <v>0.41047646998166876</v>
      </c>
      <c r="F297" s="154">
        <f t="shared" si="35"/>
        <v>1.8132318877879028</v>
      </c>
      <c r="G297" s="96">
        <f t="shared" si="31"/>
        <v>1.5453351554816517</v>
      </c>
    </row>
    <row r="298" spans="1:7">
      <c r="A298" s="91">
        <f>2018</f>
        <v>2018</v>
      </c>
      <c r="B298" s="92" t="s">
        <v>58</v>
      </c>
      <c r="C298" s="93">
        <f t="shared" si="32"/>
        <v>5067.1599999999862</v>
      </c>
      <c r="D298" s="94">
        <v>6.9910459315658535E-2</v>
      </c>
      <c r="E298" s="93">
        <f t="shared" si="36"/>
        <v>0.48067389528287929</v>
      </c>
      <c r="F298" s="154">
        <f t="shared" si="35"/>
        <v>1.5593182291916863</v>
      </c>
      <c r="G298" s="96">
        <f t="shared" si="31"/>
        <v>1.5442555593271183</v>
      </c>
    </row>
    <row r="299" spans="1:7">
      <c r="A299" s="91">
        <f>2018</f>
        <v>2018</v>
      </c>
      <c r="B299" s="92" t="s">
        <v>59</v>
      </c>
      <c r="C299" s="93">
        <f t="shared" si="32"/>
        <v>5077.7999999999865</v>
      </c>
      <c r="D299" s="94">
        <v>0.20997955462231932</v>
      </c>
      <c r="E299" s="93">
        <f t="shared" si="36"/>
        <v>0.69166276680971972</v>
      </c>
      <c r="F299" s="154">
        <f t="shared" si="35"/>
        <v>1.6912493616509705</v>
      </c>
      <c r="G299" s="96">
        <f t="shared" si="31"/>
        <v>1.5410197329552169</v>
      </c>
    </row>
    <row r="300" spans="1:7">
      <c r="A300" s="91">
        <f>2018</f>
        <v>2018</v>
      </c>
      <c r="B300" s="92" t="s">
        <v>60</v>
      </c>
      <c r="C300" s="93">
        <f t="shared" si="32"/>
        <v>5099.6299999999865</v>
      </c>
      <c r="D300" s="94">
        <v>0.42991059120092157</v>
      </c>
      <c r="E300" s="93">
        <f t="shared" si="36"/>
        <v>1.1245468895005217</v>
      </c>
      <c r="F300" s="154">
        <f t="shared" si="35"/>
        <v>1.7620072914775076</v>
      </c>
      <c r="G300" s="96">
        <f t="shared" si="31"/>
        <v>1.5344230855964061</v>
      </c>
    </row>
    <row r="301" spans="1:7">
      <c r="A301" s="91">
        <f>2018</f>
        <v>2018</v>
      </c>
      <c r="B301" s="92" t="s">
        <v>61</v>
      </c>
      <c r="C301" s="93">
        <f t="shared" si="32"/>
        <v>5172.5499999999865</v>
      </c>
      <c r="D301" s="94">
        <v>1.4299076599674887</v>
      </c>
      <c r="E301" s="93">
        <f t="shared" si="36"/>
        <v>2.5705345315809147</v>
      </c>
      <c r="F301" s="154">
        <f t="shared" si="35"/>
        <v>3.5276104317194523</v>
      </c>
      <c r="G301" s="96">
        <f t="shared" si="31"/>
        <v>1.5127915631555036</v>
      </c>
    </row>
    <row r="302" spans="1:7">
      <c r="A302" s="91">
        <f>2018</f>
        <v>2018</v>
      </c>
      <c r="B302" s="92" t="s">
        <v>62</v>
      </c>
      <c r="C302" s="93">
        <f t="shared" si="32"/>
        <v>5185.479999999985</v>
      </c>
      <c r="D302" s="94">
        <v>0.24997341736665568</v>
      </c>
      <c r="E302" s="93">
        <f t="shared" si="36"/>
        <v>2.8269336019607572</v>
      </c>
      <c r="F302" s="154">
        <f t="shared" si="35"/>
        <v>3.6103412930412526</v>
      </c>
      <c r="G302" s="96">
        <f t="shared" si="31"/>
        <v>1.5090194157532191</v>
      </c>
    </row>
    <row r="303" spans="1:7">
      <c r="A303" s="91">
        <f>2018</f>
        <v>2018</v>
      </c>
      <c r="B303" s="92" t="s">
        <v>63</v>
      </c>
      <c r="C303" s="93">
        <f t="shared" si="32"/>
        <v>5185.479999999985</v>
      </c>
      <c r="D303" s="94">
        <v>0</v>
      </c>
      <c r="E303" s="93">
        <f t="shared" si="36"/>
        <v>2.8269336019607572</v>
      </c>
      <c r="F303" s="154">
        <f t="shared" si="35"/>
        <v>3.6414039561968092</v>
      </c>
      <c r="G303" s="96">
        <f t="shared" si="31"/>
        <v>1.5090194157532191</v>
      </c>
    </row>
    <row r="304" spans="1:7">
      <c r="A304" s="91">
        <f>2018</f>
        <v>2018</v>
      </c>
      <c r="B304" s="92" t="s">
        <v>64</v>
      </c>
      <c r="C304" s="93">
        <f t="shared" si="32"/>
        <v>5201.0399999999854</v>
      </c>
      <c r="D304" s="94">
        <v>0.3000686532394381</v>
      </c>
      <c r="E304" s="93">
        <f t="shared" si="36"/>
        <v>3.1354849967875742</v>
      </c>
      <c r="F304" s="154">
        <f t="shared" si="35"/>
        <v>3.9731802834301888</v>
      </c>
      <c r="G304" s="96">
        <f t="shared" si="31"/>
        <v>1.504504868257118</v>
      </c>
    </row>
    <row r="305" spans="1:7">
      <c r="A305" s="91">
        <f>2018</f>
        <v>2018</v>
      </c>
      <c r="B305" s="92" t="s">
        <v>65</v>
      </c>
      <c r="C305" s="93">
        <f t="shared" si="32"/>
        <v>5221.8399999999856</v>
      </c>
      <c r="D305" s="94">
        <v>0.39992001599680194</v>
      </c>
      <c r="E305" s="93">
        <f t="shared" si="36"/>
        <v>3.5479444448851094</v>
      </c>
      <c r="F305" s="154">
        <f t="shared" si="35"/>
        <v>4.004142766093044</v>
      </c>
      <c r="G305" s="96">
        <f t="shared" si="31"/>
        <v>1.4985120187520111</v>
      </c>
    </row>
    <row r="306" spans="1:7">
      <c r="A306" s="91">
        <f>2018</f>
        <v>2018</v>
      </c>
      <c r="B306" s="92" t="s">
        <v>66</v>
      </c>
      <c r="C306" s="93">
        <f t="shared" si="32"/>
        <v>5208.7899999999854</v>
      </c>
      <c r="D306" s="94">
        <v>-0.24991190844606548</v>
      </c>
      <c r="E306" s="93">
        <f t="shared" si="36"/>
        <v>3.2891658007662139</v>
      </c>
      <c r="F306" s="154">
        <f t="shared" si="35"/>
        <v>3.5577672450813447</v>
      </c>
      <c r="G306" s="96">
        <f t="shared" si="31"/>
        <v>1.5022663612854428</v>
      </c>
    </row>
    <row r="307" spans="1:7">
      <c r="A307" s="91">
        <f>2018</f>
        <v>2018</v>
      </c>
      <c r="B307" s="92" t="s">
        <v>55</v>
      </c>
      <c r="C307" s="93">
        <f t="shared" si="32"/>
        <v>5216.0799999999854</v>
      </c>
      <c r="D307" s="94">
        <v>0.13995572868170658</v>
      </c>
      <c r="E307" s="93">
        <f t="shared" si="36"/>
        <v>3.433724905411939</v>
      </c>
      <c r="F307" s="154">
        <f t="shared" si="35"/>
        <v>3.433724905411939</v>
      </c>
      <c r="G307" s="96">
        <f t="shared" si="31"/>
        <v>1.5001667919203696</v>
      </c>
    </row>
    <row r="308" spans="1:7">
      <c r="A308" s="91">
        <f>2019</f>
        <v>2019</v>
      </c>
      <c r="B308" s="92" t="s">
        <v>56</v>
      </c>
      <c r="C308" s="93">
        <f t="shared" si="32"/>
        <v>5234.8599999999851</v>
      </c>
      <c r="D308" s="94">
        <v>0.36004049017652751</v>
      </c>
      <c r="E308" s="93">
        <f t="shared" ref="E308:E319" si="37">+((C308/$C$307)-1)*100</f>
        <v>0.36004049017652751</v>
      </c>
      <c r="F308" s="154">
        <f t="shared" si="35"/>
        <v>3.5678956656616023</v>
      </c>
      <c r="G308" s="96">
        <f t="shared" si="31"/>
        <v>1.494784960820347</v>
      </c>
    </row>
    <row r="309" spans="1:7">
      <c r="A309" s="97">
        <f>2019</f>
        <v>2019</v>
      </c>
      <c r="B309" s="98" t="s">
        <v>57</v>
      </c>
      <c r="C309" s="99">
        <f t="shared" si="32"/>
        <v>5263.1299999999856</v>
      </c>
      <c r="D309" s="100">
        <v>0.54003354435459006</v>
      </c>
      <c r="E309" s="99">
        <f t="shared" si="37"/>
        <v>0.90201837395131879</v>
      </c>
      <c r="F309" s="155">
        <f t="shared" si="35"/>
        <v>3.9400665926748069</v>
      </c>
      <c r="G309" s="96">
        <f t="shared" si="31"/>
        <v>1.4867559798066932</v>
      </c>
    </row>
    <row r="310" spans="1:7">
      <c r="A310" s="97">
        <f>2019</f>
        <v>2019</v>
      </c>
      <c r="B310" s="98" t="s">
        <v>58</v>
      </c>
      <c r="C310" s="99">
        <f t="shared" si="32"/>
        <v>5303.6599999999853</v>
      </c>
      <c r="D310" s="100">
        <v>0.77007408139262434</v>
      </c>
      <c r="E310" s="99">
        <f t="shared" si="37"/>
        <v>1.6790386650511469</v>
      </c>
      <c r="F310" s="155">
        <f t="shared" si="35"/>
        <v>4.6673087094151411</v>
      </c>
      <c r="G310" s="96">
        <f t="shared" si="31"/>
        <v>1.4753943503165741</v>
      </c>
    </row>
    <row r="311" spans="1:7">
      <c r="A311" s="97">
        <f>2019</f>
        <v>2019</v>
      </c>
      <c r="B311" s="98" t="s">
        <v>59</v>
      </c>
      <c r="C311" s="99">
        <f t="shared" si="32"/>
        <v>5335.479999999985</v>
      </c>
      <c r="D311" s="100">
        <v>0.59996304438820758</v>
      </c>
      <c r="E311" s="99">
        <f t="shared" si="37"/>
        <v>2.2890753209306558</v>
      </c>
      <c r="F311" s="155">
        <f t="shared" si="35"/>
        <v>5.0746386230257068</v>
      </c>
      <c r="G311" s="96">
        <f t="shared" si="31"/>
        <v>1.466595320383546</v>
      </c>
    </row>
    <row r="312" spans="1:7">
      <c r="A312" s="97">
        <f>2019</f>
        <v>2019</v>
      </c>
      <c r="B312" s="98" t="s">
        <v>60</v>
      </c>
      <c r="C312" s="99">
        <f t="shared" si="32"/>
        <v>5343.479999999985</v>
      </c>
      <c r="D312" s="100">
        <v>0.14993964929115311</v>
      </c>
      <c r="E312" s="99">
        <f t="shared" si="37"/>
        <v>2.4424472017300358</v>
      </c>
      <c r="F312" s="155">
        <f t="shared" si="35"/>
        <v>4.7817194580783262</v>
      </c>
      <c r="G312" s="96">
        <f t="shared" si="31"/>
        <v>1.4643996047519596</v>
      </c>
    </row>
    <row r="313" spans="1:7">
      <c r="A313" s="97">
        <f>2019</f>
        <v>2019</v>
      </c>
      <c r="B313" s="98" t="s">
        <v>61</v>
      </c>
      <c r="C313" s="99">
        <f t="shared" si="32"/>
        <v>5344.0099999999866</v>
      </c>
      <c r="D313" s="100">
        <v>9.9186298068154599E-3</v>
      </c>
      <c r="E313" s="99">
        <f t="shared" si="37"/>
        <v>2.4526080888330304</v>
      </c>
      <c r="F313" s="155">
        <f t="shared" si="35"/>
        <v>3.3148060434408544</v>
      </c>
      <c r="G313" s="96">
        <f t="shared" si="31"/>
        <v>1.4642543707814917</v>
      </c>
    </row>
    <row r="314" spans="1:7">
      <c r="A314" s="97">
        <f>2019</f>
        <v>2019</v>
      </c>
      <c r="B314" s="98" t="s">
        <v>62</v>
      </c>
      <c r="C314" s="99">
        <f t="shared" si="32"/>
        <v>5349.3499999999867</v>
      </c>
      <c r="D314" s="100">
        <v>9.9924962715269849E-2</v>
      </c>
      <c r="E314" s="99">
        <f t="shared" si="37"/>
        <v>2.5549838192665986</v>
      </c>
      <c r="F314" s="155">
        <f t="shared" si="35"/>
        <v>3.1601703217446042</v>
      </c>
      <c r="G314" s="96">
        <f t="shared" si="31"/>
        <v>1.4627926757456511</v>
      </c>
    </row>
    <row r="315" spans="1:7">
      <c r="A315" s="97">
        <f>2019</f>
        <v>2019</v>
      </c>
      <c r="B315" s="98" t="s">
        <v>63</v>
      </c>
      <c r="C315" s="99">
        <f t="shared" si="32"/>
        <v>5355.7699999999868</v>
      </c>
      <c r="D315" s="100">
        <v>0.12001458121080333</v>
      </c>
      <c r="E315" s="99">
        <f t="shared" si="37"/>
        <v>2.6780647536081004</v>
      </c>
      <c r="F315" s="155">
        <f t="shared" si="35"/>
        <v>3.28397756813259</v>
      </c>
      <c r="G315" s="96">
        <f t="shared" si="31"/>
        <v>1.4610392156496637</v>
      </c>
    </row>
    <row r="316" spans="1:7">
      <c r="A316" s="97">
        <f>2019</f>
        <v>2019</v>
      </c>
      <c r="B316" s="98" t="s">
        <v>64</v>
      </c>
      <c r="C316" s="99">
        <f t="shared" si="32"/>
        <v>5353.0899999999865</v>
      </c>
      <c r="D316" s="100">
        <v>-5.0039490120001862E-2</v>
      </c>
      <c r="E316" s="99">
        <f t="shared" si="37"/>
        <v>2.6266851735403218</v>
      </c>
      <c r="F316" s="155">
        <f t="shared" si="35"/>
        <v>2.9234537707843344</v>
      </c>
      <c r="G316" s="96">
        <f t="shared" si="31"/>
        <v>1.4617706782437807</v>
      </c>
    </row>
    <row r="317" spans="1:7">
      <c r="A317" s="97">
        <f>2019</f>
        <v>2019</v>
      </c>
      <c r="B317" s="98" t="s">
        <v>65</v>
      </c>
      <c r="C317" s="99">
        <f t="shared" si="32"/>
        <v>5355.2299999999859</v>
      </c>
      <c r="D317" s="100">
        <v>3.9976910532035781E-2</v>
      </c>
      <c r="E317" s="99">
        <f t="shared" si="37"/>
        <v>2.6677121516541336</v>
      </c>
      <c r="F317" s="155">
        <f t="shared" si="35"/>
        <v>2.5544635607372301</v>
      </c>
      <c r="G317" s="96">
        <f t="shared" si="31"/>
        <v>1.4611865410075759</v>
      </c>
    </row>
    <row r="318" spans="1:7">
      <c r="A318" s="97">
        <f>2019</f>
        <v>2019</v>
      </c>
      <c r="B318" s="98" t="s">
        <v>66</v>
      </c>
      <c r="C318" s="99">
        <f t="shared" si="32"/>
        <v>5384.149999999986</v>
      </c>
      <c r="D318" s="100">
        <v>0.54003282772168149</v>
      </c>
      <c r="E318" s="99">
        <f t="shared" si="37"/>
        <v>3.222151500743875</v>
      </c>
      <c r="F318" s="155">
        <f t="shared" si="35"/>
        <v>3.3666168150376707</v>
      </c>
      <c r="G318" s="96">
        <f t="shared" si="31"/>
        <v>1.453338038501899</v>
      </c>
    </row>
    <row r="319" spans="1:7">
      <c r="A319" s="97">
        <f>2019</f>
        <v>2019</v>
      </c>
      <c r="B319" s="98" t="s">
        <v>55</v>
      </c>
      <c r="C319" s="99">
        <f t="shared" si="32"/>
        <v>5449.8399999999856</v>
      </c>
      <c r="D319" s="100">
        <v>1.2200625911239493</v>
      </c>
      <c r="E319" s="99">
        <f t="shared" si="37"/>
        <v>4.4815263569577324</v>
      </c>
      <c r="F319" s="155">
        <f t="shared" si="35"/>
        <v>4.4815263569577324</v>
      </c>
      <c r="G319" s="96">
        <f t="shared" si="31"/>
        <v>1.4358201341690766</v>
      </c>
    </row>
    <row r="320" spans="1:7">
      <c r="A320" s="97">
        <f>2020</f>
        <v>2020</v>
      </c>
      <c r="B320" s="98" t="s">
        <v>56</v>
      </c>
      <c r="C320" s="99">
        <f t="shared" si="32"/>
        <v>5460.189999999985</v>
      </c>
      <c r="D320" s="100">
        <v>0.18991383233268877</v>
      </c>
      <c r="E320" s="99">
        <f t="shared" ref="E320:E331" si="38">+((C320/$C$319)-1)*100</f>
        <v>0.18991383233268877</v>
      </c>
      <c r="F320" s="155">
        <f t="shared" si="35"/>
        <v>4.3044131075138603</v>
      </c>
      <c r="G320" s="96">
        <f t="shared" si="31"/>
        <v>1.4330984819209591</v>
      </c>
    </row>
    <row r="321" spans="1:7">
      <c r="A321" s="97">
        <f>2020</f>
        <v>2020</v>
      </c>
      <c r="B321" s="98" t="s">
        <v>57</v>
      </c>
      <c r="C321" s="99">
        <f t="shared" si="32"/>
        <v>5469.4699999999857</v>
      </c>
      <c r="D321" s="100">
        <v>0.1699574556929484</v>
      </c>
      <c r="E321" s="99">
        <f t="shared" si="38"/>
        <v>0.3601940607430798</v>
      </c>
      <c r="F321" s="155">
        <f t="shared" si="35"/>
        <v>3.920480778548141</v>
      </c>
      <c r="G321" s="96">
        <f t="shared" si="31"/>
        <v>1.4306669567618069</v>
      </c>
    </row>
    <row r="322" spans="1:7">
      <c r="A322" s="97">
        <f>2020</f>
        <v>2020</v>
      </c>
      <c r="B322" s="98" t="s">
        <v>58</v>
      </c>
      <c r="C322" s="99">
        <f t="shared" si="32"/>
        <v>5479.3199999999852</v>
      </c>
      <c r="D322" s="100">
        <v>0.18009057550365526</v>
      </c>
      <c r="E322" s="99">
        <f t="shared" si="38"/>
        <v>0.54093331180364856</v>
      </c>
      <c r="F322" s="155">
        <f t="shared" si="35"/>
        <v>3.3120524317169719</v>
      </c>
      <c r="G322" s="96">
        <f t="shared" si="31"/>
        <v>1.4280950920917197</v>
      </c>
    </row>
    <row r="323" spans="1:7">
      <c r="A323" s="97">
        <f>2020</f>
        <v>2020</v>
      </c>
      <c r="B323" s="98" t="s">
        <v>59</v>
      </c>
      <c r="C323" s="99">
        <f t="shared" si="32"/>
        <v>5466.7199999999857</v>
      </c>
      <c r="D323" s="100">
        <v>-0.22995554192855039</v>
      </c>
      <c r="E323" s="99">
        <f t="shared" si="38"/>
        <v>0.30973386374646417</v>
      </c>
      <c r="F323" s="155">
        <f t="shared" si="35"/>
        <v>2.4597599466215092</v>
      </c>
      <c r="G323" s="96">
        <f t="shared" si="31"/>
        <v>1.4313866450083415</v>
      </c>
    </row>
    <row r="324" spans="1:7">
      <c r="A324" s="97">
        <f>2020</f>
        <v>2020</v>
      </c>
      <c r="B324" s="98" t="s">
        <v>60</v>
      </c>
      <c r="C324" s="99">
        <f t="shared" si="32"/>
        <v>5453.0499999999856</v>
      </c>
      <c r="D324" s="100">
        <v>-0.25005853601428596</v>
      </c>
      <c r="E324" s="99">
        <f t="shared" si="38"/>
        <v>5.8900811766959826E-2</v>
      </c>
      <c r="F324" s="155">
        <f t="shared" si="35"/>
        <v>2.0505363545854083</v>
      </c>
      <c r="G324" s="96">
        <f t="shared" si="31"/>
        <v>1.4349749222911949</v>
      </c>
    </row>
    <row r="325" spans="1:7">
      <c r="A325" s="97">
        <f>2020</f>
        <v>2020</v>
      </c>
      <c r="B325" s="98" t="s">
        <v>61</v>
      </c>
      <c r="C325" s="99">
        <f t="shared" si="32"/>
        <v>5469.4099999999853</v>
      </c>
      <c r="D325" s="100">
        <v>0.3000155876069277</v>
      </c>
      <c r="E325" s="99">
        <f t="shared" si="38"/>
        <v>0.35909311099040497</v>
      </c>
      <c r="F325" s="155">
        <f t="shared" si="35"/>
        <v>2.3465524952235972</v>
      </c>
      <c r="G325" s="96">
        <f t="shared" si="31"/>
        <v>1.4306826513280226</v>
      </c>
    </row>
    <row r="326" spans="1:7">
      <c r="A326" s="97">
        <f>2020</f>
        <v>2020</v>
      </c>
      <c r="B326" s="98" t="s">
        <v>62</v>
      </c>
      <c r="C326" s="99">
        <f t="shared" si="32"/>
        <v>5493.479999999985</v>
      </c>
      <c r="D326" s="100">
        <v>0.44008403100150861</v>
      </c>
      <c r="E326" s="99">
        <f t="shared" si="38"/>
        <v>0.80075745342982341</v>
      </c>
      <c r="F326" s="155">
        <f t="shared" si="35"/>
        <v>2.6943460420424614</v>
      </c>
      <c r="G326" s="96">
        <f t="shared" si="31"/>
        <v>1.4244140326350512</v>
      </c>
    </row>
    <row r="327" spans="1:7">
      <c r="A327" s="97">
        <f>2020</f>
        <v>2020</v>
      </c>
      <c r="B327" s="98" t="s">
        <v>63</v>
      </c>
      <c r="C327" s="99">
        <f t="shared" si="32"/>
        <v>5513.2599999999848</v>
      </c>
      <c r="D327" s="100">
        <v>0.36006320219605925</v>
      </c>
      <c r="E327" s="99">
        <f t="shared" si="38"/>
        <v>1.1637038885545126</v>
      </c>
      <c r="F327" s="155">
        <f t="shared" si="35"/>
        <v>2.9405669026115522</v>
      </c>
      <c r="G327" s="96">
        <f t="shared" ref="G327:G394" si="39">$C$396/C327</f>
        <v>1.4193036424910128</v>
      </c>
    </row>
    <row r="328" spans="1:7">
      <c r="A328" s="97">
        <f>2020</f>
        <v>2020</v>
      </c>
      <c r="B328" s="98" t="s">
        <v>64</v>
      </c>
      <c r="C328" s="99">
        <f t="shared" ref="C328:C380" si="40">+C327*(1+D328/100)</f>
        <v>5561.2299999999841</v>
      </c>
      <c r="D328" s="100">
        <v>0.87008412445630512</v>
      </c>
      <c r="E328" s="99">
        <f t="shared" si="38"/>
        <v>2.0439132158008189</v>
      </c>
      <c r="F328" s="155">
        <f t="shared" si="35"/>
        <v>3.8882215692244593</v>
      </c>
      <c r="G328" s="96">
        <f t="shared" si="39"/>
        <v>1.407061027866138</v>
      </c>
    </row>
    <row r="329" spans="1:7">
      <c r="A329" s="97">
        <f>2020</f>
        <v>2020</v>
      </c>
      <c r="B329" s="98" t="s">
        <v>65</v>
      </c>
      <c r="C329" s="99">
        <f t="shared" si="40"/>
        <v>5610.7199999999848</v>
      </c>
      <c r="D329" s="100">
        <v>0.88991104485880435</v>
      </c>
      <c r="E329" s="99">
        <f t="shared" si="38"/>
        <v>2.9520132701143398</v>
      </c>
      <c r="F329" s="155">
        <f t="shared" si="35"/>
        <v>4.7708501782369739</v>
      </c>
      <c r="G329" s="96">
        <f t="shared" si="39"/>
        <v>1.3946498845068014</v>
      </c>
    </row>
    <row r="330" spans="1:7">
      <c r="A330" s="97">
        <f>2020</f>
        <v>2020</v>
      </c>
      <c r="B330" s="98" t="s">
        <v>66</v>
      </c>
      <c r="C330" s="99">
        <f t="shared" si="40"/>
        <v>5664.019999999985</v>
      </c>
      <c r="D330" s="100">
        <v>0.94996720563493842</v>
      </c>
      <c r="E330" s="99">
        <f t="shared" si="38"/>
        <v>3.9300236337213468</v>
      </c>
      <c r="F330" s="155">
        <f t="shared" si="35"/>
        <v>5.1980349730226694</v>
      </c>
      <c r="G330" s="96">
        <f t="shared" si="39"/>
        <v>1.3815258420697667</v>
      </c>
    </row>
    <row r="331" spans="1:7">
      <c r="A331" s="97">
        <f>2020</f>
        <v>2020</v>
      </c>
      <c r="B331" s="98" t="s">
        <v>55</v>
      </c>
      <c r="C331" s="99">
        <f t="shared" si="40"/>
        <v>5746.7099999999837</v>
      </c>
      <c r="D331" s="100">
        <v>1.459917161309443</v>
      </c>
      <c r="E331" s="99">
        <f t="shared" si="38"/>
        <v>5.4473158845030012</v>
      </c>
      <c r="F331" s="155">
        <f t="shared" si="35"/>
        <v>5.4473158845030012</v>
      </c>
      <c r="G331" s="96">
        <f t="shared" si="39"/>
        <v>1.3616469249361813</v>
      </c>
    </row>
    <row r="332" spans="1:7">
      <c r="A332" s="97">
        <f>2021</f>
        <v>2021</v>
      </c>
      <c r="B332" s="98" t="s">
        <v>56</v>
      </c>
      <c r="C332" s="99">
        <f t="shared" si="40"/>
        <v>5762.2299999999832</v>
      </c>
      <c r="D332" s="100">
        <v>0.27006756909604412</v>
      </c>
      <c r="E332" s="99">
        <f t="shared" ref="E332:E343" si="41">+((C332/$C$331)-1)*100</f>
        <v>0.27006756909604412</v>
      </c>
      <c r="F332" s="155">
        <f t="shared" si="35"/>
        <v>5.5316756376609488</v>
      </c>
      <c r="G332" s="96">
        <f t="shared" si="39"/>
        <v>1.3579794628121409</v>
      </c>
    </row>
    <row r="333" spans="1:7">
      <c r="A333" s="97">
        <f>2021</f>
        <v>2021</v>
      </c>
      <c r="B333" s="98" t="s">
        <v>57</v>
      </c>
      <c r="C333" s="99">
        <f t="shared" si="40"/>
        <v>5809.4799999999832</v>
      </c>
      <c r="D333" s="100">
        <v>0.8199950366438058</v>
      </c>
      <c r="E333" s="99">
        <f t="shared" si="41"/>
        <v>1.092277146402032</v>
      </c>
      <c r="F333" s="155">
        <f t="shared" si="35"/>
        <v>6.2165072667003995</v>
      </c>
      <c r="G333" s="96">
        <f t="shared" si="39"/>
        <v>1.3469346654089527</v>
      </c>
    </row>
    <row r="334" spans="1:7">
      <c r="A334" s="97">
        <f>2021</f>
        <v>2021</v>
      </c>
      <c r="B334" s="98" t="s">
        <v>58</v>
      </c>
      <c r="C334" s="99">
        <f t="shared" si="40"/>
        <v>5859.4399999999823</v>
      </c>
      <c r="D334" s="100">
        <v>0.85997369816230851</v>
      </c>
      <c r="E334" s="99">
        <f t="shared" si="41"/>
        <v>1.9616441407344087</v>
      </c>
      <c r="F334" s="155">
        <f t="shared" si="35"/>
        <v>6.9373571903082576</v>
      </c>
      <c r="G334" s="96">
        <f t="shared" si="39"/>
        <v>1.3354501454063876</v>
      </c>
    </row>
    <row r="335" spans="1:7">
      <c r="A335" s="97">
        <f>2021</f>
        <v>2021</v>
      </c>
      <c r="B335" s="98" t="s">
        <v>59</v>
      </c>
      <c r="C335" s="99">
        <f t="shared" si="40"/>
        <v>5881.7099999999828</v>
      </c>
      <c r="D335" s="100">
        <v>0.38007045041847931</v>
      </c>
      <c r="E335" s="99">
        <f t="shared" si="41"/>
        <v>2.3491702208741971</v>
      </c>
      <c r="F335" s="155">
        <f t="shared" si="35"/>
        <v>7.5912064272543267</v>
      </c>
      <c r="G335" s="96">
        <f t="shared" si="39"/>
        <v>1.3303937120327256</v>
      </c>
    </row>
    <row r="336" spans="1:7">
      <c r="A336" s="97">
        <f>2021</f>
        <v>2021</v>
      </c>
      <c r="B336" s="98" t="s">
        <v>60</v>
      </c>
      <c r="C336" s="99">
        <f t="shared" si="40"/>
        <v>5938.1699999999828</v>
      </c>
      <c r="D336" s="100">
        <v>0.95992491979373096</v>
      </c>
      <c r="E336" s="99">
        <f t="shared" si="41"/>
        <v>3.3316454110264848</v>
      </c>
      <c r="F336" s="155">
        <f t="shared" si="35"/>
        <v>8.8963057371562506</v>
      </c>
      <c r="G336" s="96">
        <f t="shared" si="39"/>
        <v>1.3177443555842965</v>
      </c>
    </row>
    <row r="337" spans="1:7">
      <c r="A337" s="97">
        <f>2021</f>
        <v>2021</v>
      </c>
      <c r="B337" s="98" t="s">
        <v>61</v>
      </c>
      <c r="C337" s="99">
        <f t="shared" si="40"/>
        <v>5973.7999999999838</v>
      </c>
      <c r="D337" s="100">
        <v>0.60001650340089085</v>
      </c>
      <c r="E337" s="99">
        <f t="shared" si="41"/>
        <v>3.9516523367283396</v>
      </c>
      <c r="F337" s="155">
        <f t="shared" si="35"/>
        <v>9.2220184626861101</v>
      </c>
      <c r="G337" s="96">
        <f t="shared" si="39"/>
        <v>1.3098848304261945</v>
      </c>
    </row>
    <row r="338" spans="1:7">
      <c r="A338" s="97">
        <f>2021</f>
        <v>2021</v>
      </c>
      <c r="B338" s="98" t="s">
        <v>62</v>
      </c>
      <c r="C338" s="99">
        <f t="shared" si="40"/>
        <v>6034.7299999999823</v>
      </c>
      <c r="D338" s="100">
        <v>1.0199537982523488</v>
      </c>
      <c r="E338" s="99">
        <f t="shared" si="41"/>
        <v>5.0119111630828606</v>
      </c>
      <c r="F338" s="155">
        <f t="shared" si="35"/>
        <v>9.8525888871898726</v>
      </c>
      <c r="G338" s="96">
        <f t="shared" si="39"/>
        <v>1.2966595025792376</v>
      </c>
    </row>
    <row r="339" spans="1:7">
      <c r="A339" s="97">
        <f>2021</f>
        <v>2021</v>
      </c>
      <c r="B339" s="98" t="s">
        <v>63</v>
      </c>
      <c r="C339" s="99">
        <f t="shared" si="40"/>
        <v>6087.8399999999829</v>
      </c>
      <c r="D339" s="100">
        <v>0.88007251360044947</v>
      </c>
      <c r="E339" s="99">
        <f t="shared" si="41"/>
        <v>5.9360921292356927</v>
      </c>
      <c r="F339" s="155">
        <f t="shared" si="35"/>
        <v>10.421783119243422</v>
      </c>
      <c r="G339" s="96">
        <f t="shared" si="39"/>
        <v>1.2853475124181979</v>
      </c>
    </row>
    <row r="340" spans="1:7">
      <c r="A340" s="97">
        <f>2021</f>
        <v>2021</v>
      </c>
      <c r="B340" s="98" t="s">
        <v>64</v>
      </c>
      <c r="C340" s="99">
        <f t="shared" si="40"/>
        <v>6160.889999999983</v>
      </c>
      <c r="D340" s="100">
        <v>1.1999329811558823</v>
      </c>
      <c r="E340" s="99">
        <f t="shared" si="41"/>
        <v>7.2072542376420801</v>
      </c>
      <c r="F340" s="155">
        <f t="shared" si="35"/>
        <v>10.782866380279188</v>
      </c>
      <c r="G340" s="96">
        <f t="shared" si="39"/>
        <v>1.2701070786850603</v>
      </c>
    </row>
    <row r="341" spans="1:7">
      <c r="A341" s="97">
        <f>2021</f>
        <v>2021</v>
      </c>
      <c r="B341" s="98" t="s">
        <v>65</v>
      </c>
      <c r="C341" s="99">
        <f t="shared" si="40"/>
        <v>6232.3599999999815</v>
      </c>
      <c r="D341" s="100">
        <v>1.1600596667039831</v>
      </c>
      <c r="E341" s="99">
        <f t="shared" si="41"/>
        <v>8.4509223538337341</v>
      </c>
      <c r="F341" s="155">
        <f t="shared" si="35"/>
        <v>11.07950494767158</v>
      </c>
      <c r="G341" s="96">
        <f t="shared" si="39"/>
        <v>1.2555420418589431</v>
      </c>
    </row>
    <row r="342" spans="1:7">
      <c r="A342" s="97">
        <f>2021</f>
        <v>2021</v>
      </c>
      <c r="B342" s="98" t="s">
        <v>66</v>
      </c>
      <c r="C342" s="99">
        <f t="shared" si="40"/>
        <v>6284.7099999999809</v>
      </c>
      <c r="D342" s="100">
        <v>0.83997073339794337</v>
      </c>
      <c r="E342" s="99">
        <f t="shared" si="41"/>
        <v>9.3618783617060775</v>
      </c>
      <c r="F342" s="155">
        <f t="shared" si="35"/>
        <v>10.958471191838971</v>
      </c>
      <c r="G342" s="96">
        <f t="shared" si="39"/>
        <v>1.2450837031462079</v>
      </c>
    </row>
    <row r="343" spans="1:7">
      <c r="A343" s="97">
        <f>2021</f>
        <v>2021</v>
      </c>
      <c r="B343" s="98" t="s">
        <v>55</v>
      </c>
      <c r="C343" s="99">
        <f t="shared" si="40"/>
        <v>6330.5899999999801</v>
      </c>
      <c r="D343" s="100">
        <v>0.73002572911080588</v>
      </c>
      <c r="E343" s="99">
        <f t="shared" si="41"/>
        <v>10.160248211585387</v>
      </c>
      <c r="F343" s="155">
        <f t="shared" si="35"/>
        <v>10.160248211585387</v>
      </c>
      <c r="G343" s="96">
        <f t="shared" si="39"/>
        <v>1.2360601460527383</v>
      </c>
    </row>
    <row r="344" spans="1:7">
      <c r="A344" s="97">
        <f>2022</f>
        <v>2022</v>
      </c>
      <c r="B344" s="98" t="s">
        <v>56</v>
      </c>
      <c r="C344" s="99">
        <f t="shared" si="40"/>
        <v>6372.9999999999791</v>
      </c>
      <c r="D344" s="100">
        <v>0.66992176084692545</v>
      </c>
      <c r="E344" s="99">
        <f t="shared" ref="E344:E355" si="42">+((C344/$C$343)-1)*100</f>
        <v>0.66992176084692545</v>
      </c>
      <c r="F344" s="155">
        <f t="shared" si="35"/>
        <v>10.599542191130817</v>
      </c>
      <c r="G344" s="96">
        <f t="shared" si="39"/>
        <v>1.2278346147811086</v>
      </c>
    </row>
    <row r="345" spans="1:7">
      <c r="A345" s="97">
        <f>2022</f>
        <v>2022</v>
      </c>
      <c r="B345" s="98" t="s">
        <v>57</v>
      </c>
      <c r="C345" s="99">
        <f t="shared" si="40"/>
        <v>6436.7299999999786</v>
      </c>
      <c r="D345" s="100">
        <v>1.0000000000000009</v>
      </c>
      <c r="E345" s="99">
        <f t="shared" si="42"/>
        <v>1.6766209784553787</v>
      </c>
      <c r="F345" s="155">
        <f t="shared" si="35"/>
        <v>10.797007649565838</v>
      </c>
      <c r="G345" s="96">
        <f t="shared" si="39"/>
        <v>1.2156778364169394</v>
      </c>
    </row>
    <row r="346" spans="1:7">
      <c r="A346" s="97">
        <f>2022</f>
        <v>2022</v>
      </c>
      <c r="B346" s="98" t="s">
        <v>58</v>
      </c>
      <c r="C346" s="99">
        <f t="shared" si="40"/>
        <v>6546.7999999999793</v>
      </c>
      <c r="D346" s="100">
        <v>1.710029782203093</v>
      </c>
      <c r="E346" s="99">
        <f t="shared" si="42"/>
        <v>3.4153214787247199</v>
      </c>
      <c r="F346" s="155">
        <f t="shared" si="35"/>
        <v>11.730813866171497</v>
      </c>
      <c r="G346" s="96">
        <f t="shared" si="39"/>
        <v>1.1952388953381812</v>
      </c>
    </row>
    <row r="347" spans="1:7">
      <c r="A347" s="97">
        <f>2022</f>
        <v>2022</v>
      </c>
      <c r="B347" s="98" t="s">
        <v>59</v>
      </c>
      <c r="C347" s="99">
        <f t="shared" si="40"/>
        <v>6614.8899999999785</v>
      </c>
      <c r="D347" s="100">
        <v>1.0400501008126062</v>
      </c>
      <c r="E347" s="99">
        <f t="shared" si="42"/>
        <v>4.4908926340198718</v>
      </c>
      <c r="F347" s="155">
        <f t="shared" si="35"/>
        <v>12.465422470676014</v>
      </c>
      <c r="G347" s="96">
        <f t="shared" si="39"/>
        <v>1.1829357706628538</v>
      </c>
    </row>
    <row r="348" spans="1:7">
      <c r="A348" s="97">
        <f>2022</f>
        <v>2022</v>
      </c>
      <c r="B348" s="98" t="s">
        <v>60</v>
      </c>
      <c r="C348" s="99">
        <f t="shared" si="40"/>
        <v>6644.659999999978</v>
      </c>
      <c r="D348" s="100">
        <v>0.45004527664103122</v>
      </c>
      <c r="E348" s="99">
        <f t="shared" si="42"/>
        <v>4.9611489608393455</v>
      </c>
      <c r="F348" s="155">
        <f t="shared" si="35"/>
        <v>11.897436415595998</v>
      </c>
      <c r="G348" s="96">
        <f t="shared" si="39"/>
        <v>1.1776358760267651</v>
      </c>
    </row>
    <row r="349" spans="1:7">
      <c r="A349" s="97">
        <f>2022</f>
        <v>2022</v>
      </c>
      <c r="B349" s="98" t="s">
        <v>61</v>
      </c>
      <c r="C349" s="99">
        <f t="shared" si="40"/>
        <v>6685.8599999999778</v>
      </c>
      <c r="D349" s="100">
        <v>0.62004677440230527</v>
      </c>
      <c r="E349" s="99">
        <f t="shared" si="42"/>
        <v>5.6119571793466161</v>
      </c>
      <c r="F349" s="155">
        <f t="shared" si="35"/>
        <v>11.91971609360869</v>
      </c>
      <c r="G349" s="96">
        <f t="shared" si="39"/>
        <v>1.170378978919691</v>
      </c>
    </row>
    <row r="350" spans="1:7">
      <c r="A350" s="97">
        <f>2022</f>
        <v>2022</v>
      </c>
      <c r="B350" s="98" t="s">
        <v>62</v>
      </c>
      <c r="C350" s="99">
        <f t="shared" si="40"/>
        <v>6645.739999999978</v>
      </c>
      <c r="D350" s="100">
        <v>-0.60007239158462733</v>
      </c>
      <c r="E350" s="99">
        <f t="shared" si="42"/>
        <v>4.9782089821011732</v>
      </c>
      <c r="F350" s="155">
        <f t="shared" si="35"/>
        <v>10.124893740067865</v>
      </c>
      <c r="G350" s="96">
        <f t="shared" si="39"/>
        <v>1.177444498280102</v>
      </c>
    </row>
    <row r="351" spans="1:7">
      <c r="A351" s="97">
        <f>2022</f>
        <v>2022</v>
      </c>
      <c r="B351" s="98" t="s">
        <v>63</v>
      </c>
      <c r="C351" s="99">
        <f t="shared" si="40"/>
        <v>6625.1399999999785</v>
      </c>
      <c r="D351" s="100">
        <v>-0.30997300526350857</v>
      </c>
      <c r="E351" s="99">
        <f t="shared" si="42"/>
        <v>4.652804872847538</v>
      </c>
      <c r="F351" s="155">
        <f t="shared" si="35"/>
        <v>8.8257904281320965</v>
      </c>
      <c r="G351" s="96">
        <f t="shared" si="39"/>
        <v>1.1811056068249131</v>
      </c>
    </row>
    <row r="352" spans="1:7">
      <c r="A352" s="97">
        <f>2022</f>
        <v>2022</v>
      </c>
      <c r="B352" s="98" t="s">
        <v>64</v>
      </c>
      <c r="C352" s="99">
        <f t="shared" si="40"/>
        <v>6603.9399999999778</v>
      </c>
      <c r="D352" s="100">
        <v>-0.31999323787875733</v>
      </c>
      <c r="E352" s="99">
        <f t="shared" si="42"/>
        <v>4.3179229740039737</v>
      </c>
      <c r="F352" s="155">
        <f t="shared" si="35"/>
        <v>7.19133112261372</v>
      </c>
      <c r="G352" s="96">
        <f t="shared" si="39"/>
        <v>1.1848971977334752</v>
      </c>
    </row>
    <row r="353" spans="1:7">
      <c r="A353" s="97">
        <f>2022</f>
        <v>2022</v>
      </c>
      <c r="B353" s="98" t="s">
        <v>65</v>
      </c>
      <c r="C353" s="99">
        <f t="shared" si="40"/>
        <v>6634.9799999999777</v>
      </c>
      <c r="D353" s="100">
        <v>0.47002244114877634</v>
      </c>
      <c r="E353" s="99">
        <f t="shared" si="42"/>
        <v>4.8082406221220841</v>
      </c>
      <c r="F353" s="155">
        <f t="shared" si="35"/>
        <v>6.4601531362115994</v>
      </c>
      <c r="G353" s="96">
        <f t="shared" si="39"/>
        <v>1.1793539694166382</v>
      </c>
    </row>
    <row r="354" spans="1:7">
      <c r="A354" s="97">
        <f>2022</f>
        <v>2022</v>
      </c>
      <c r="B354" s="98" t="s">
        <v>66</v>
      </c>
      <c r="C354" s="99">
        <f t="shared" si="40"/>
        <v>6660.1899999999787</v>
      </c>
      <c r="D354" s="100">
        <v>0.37995593053785637</v>
      </c>
      <c r="E354" s="99">
        <f t="shared" si="42"/>
        <v>5.206465748058231</v>
      </c>
      <c r="F354" s="155">
        <f t="shared" si="35"/>
        <v>5.9745000167072071</v>
      </c>
      <c r="G354" s="96">
        <f t="shared" si="39"/>
        <v>1.174889905543236</v>
      </c>
    </row>
    <row r="355" spans="1:7">
      <c r="A355" s="97">
        <f>2022</f>
        <v>2022</v>
      </c>
      <c r="B355" s="98" t="s">
        <v>55</v>
      </c>
      <c r="C355" s="99">
        <f t="shared" si="40"/>
        <v>6706.1499999999787</v>
      </c>
      <c r="D355" s="100">
        <v>0.69007040339690295</v>
      </c>
      <c r="E355" s="99">
        <f t="shared" si="42"/>
        <v>5.9324644306454788</v>
      </c>
      <c r="F355" s="155">
        <f t="shared" ref="F355:F380" si="43">100*((C355/C343)-1)</f>
        <v>5.9324644306454788</v>
      </c>
      <c r="G355" s="96">
        <f t="shared" si="39"/>
        <v>1.1668379025223123</v>
      </c>
    </row>
    <row r="356" spans="1:7">
      <c r="A356" s="97">
        <f>2023</f>
        <v>2023</v>
      </c>
      <c r="B356" s="98" t="s">
        <v>56</v>
      </c>
      <c r="C356" s="99">
        <f t="shared" si="40"/>
        <v>6736.9999999999782</v>
      </c>
      <c r="D356" s="100">
        <v>0.46002549898227496</v>
      </c>
      <c r="E356" s="99">
        <f t="shared" ref="E356:E367" si="44">+((C356/$C$355)-1)*100</f>
        <v>0.46002549898227496</v>
      </c>
      <c r="F356" s="155">
        <f t="shared" si="43"/>
        <v>5.71159579475915</v>
      </c>
      <c r="G356" s="96">
        <f t="shared" si="39"/>
        <v>1.1614947305922525</v>
      </c>
    </row>
    <row r="357" spans="1:7">
      <c r="A357" s="97">
        <f>2023</f>
        <v>2023</v>
      </c>
      <c r="B357" s="98" t="s">
        <v>57</v>
      </c>
      <c r="C357" s="99">
        <f t="shared" si="40"/>
        <v>6788.8699999999781</v>
      </c>
      <c r="D357" s="100">
        <v>0.76992726732967309</v>
      </c>
      <c r="E357" s="99">
        <f t="shared" si="44"/>
        <v>1.2334946280652792</v>
      </c>
      <c r="F357" s="155">
        <f t="shared" si="43"/>
        <v>5.4707902925864582</v>
      </c>
      <c r="G357" s="96">
        <f t="shared" si="39"/>
        <v>1.1526203919061648</v>
      </c>
    </row>
    <row r="358" spans="1:7">
      <c r="A358" s="97">
        <f>2023</f>
        <v>2023</v>
      </c>
      <c r="B358" s="98" t="s">
        <v>58</v>
      </c>
      <c r="C358" s="99">
        <f t="shared" si="40"/>
        <v>6832.3199999999779</v>
      </c>
      <c r="D358" s="100">
        <v>0.64001814734999662</v>
      </c>
      <c r="E358" s="99">
        <f t="shared" si="44"/>
        <v>1.8814073648814933</v>
      </c>
      <c r="F358" s="155">
        <f t="shared" si="43"/>
        <v>4.3612146392130402</v>
      </c>
      <c r="G358" s="96">
        <f t="shared" si="39"/>
        <v>1.1452903259800484</v>
      </c>
    </row>
    <row r="359" spans="1:7">
      <c r="A359" s="97">
        <f>2023</f>
        <v>2023</v>
      </c>
      <c r="B359" s="98" t="s">
        <v>59</v>
      </c>
      <c r="C359" s="99">
        <f t="shared" si="40"/>
        <v>6868.5299999999788</v>
      </c>
      <c r="D359" s="100">
        <v>0.52998103133343744</v>
      </c>
      <c r="E359" s="99">
        <f t="shared" si="44"/>
        <v>2.4213594983709008</v>
      </c>
      <c r="F359" s="155">
        <f t="shared" si="43"/>
        <v>3.8343797100178767</v>
      </c>
      <c r="G359" s="96">
        <f t="shared" si="39"/>
        <v>1.1392525038108596</v>
      </c>
    </row>
    <row r="360" spans="1:7">
      <c r="A360" s="97">
        <f>2023</f>
        <v>2023</v>
      </c>
      <c r="B360" s="98" t="s">
        <v>60</v>
      </c>
      <c r="C360" s="99">
        <f t="shared" si="40"/>
        <v>6893.2599999999793</v>
      </c>
      <c r="D360" s="100">
        <v>0.36004792874166913</v>
      </c>
      <c r="E360" s="99">
        <f t="shared" si="44"/>
        <v>2.7901254818338606</v>
      </c>
      <c r="F360" s="155">
        <f t="shared" si="43"/>
        <v>3.741350197000326</v>
      </c>
      <c r="G360" s="96">
        <f t="shared" si="39"/>
        <v>1.1351653644284421</v>
      </c>
    </row>
    <row r="361" spans="1:7">
      <c r="A361" s="97">
        <f>2023</f>
        <v>2023</v>
      </c>
      <c r="B361" s="98" t="s">
        <v>61</v>
      </c>
      <c r="C361" s="99">
        <f t="shared" si="40"/>
        <v>6886.369999999979</v>
      </c>
      <c r="D361" s="100">
        <v>-9.9952707427264365E-2</v>
      </c>
      <c r="E361" s="99">
        <f t="shared" si="44"/>
        <v>2.687383968446877</v>
      </c>
      <c r="F361" s="155">
        <f t="shared" si="43"/>
        <v>2.9990158334156192</v>
      </c>
      <c r="G361" s="96">
        <f t="shared" si="39"/>
        <v>1.1363011281705753</v>
      </c>
    </row>
    <row r="362" spans="1:7">
      <c r="A362" s="97">
        <f>2023</f>
        <v>2023</v>
      </c>
      <c r="B362" s="98" t="s">
        <v>62</v>
      </c>
      <c r="C362" s="99">
        <f t="shared" si="40"/>
        <v>6880.1699999999792</v>
      </c>
      <c r="D362" s="100">
        <v>-9.0032920101590364E-2</v>
      </c>
      <c r="E362" s="99">
        <f t="shared" si="44"/>
        <v>2.5949315180841648</v>
      </c>
      <c r="F362" s="155">
        <f t="shared" si="43"/>
        <v>3.5275228943654424</v>
      </c>
      <c r="G362" s="96">
        <f t="shared" si="39"/>
        <v>1.1373250951648002</v>
      </c>
    </row>
    <row r="363" spans="1:7">
      <c r="A363" s="97">
        <f>2023</f>
        <v>2023</v>
      </c>
      <c r="B363" s="98" t="s">
        <v>63</v>
      </c>
      <c r="C363" s="99">
        <f t="shared" si="40"/>
        <v>6893.9299999999794</v>
      </c>
      <c r="D363" s="100">
        <v>0.19999505826164832</v>
      </c>
      <c r="E363" s="99">
        <f t="shared" si="44"/>
        <v>2.8001163111472493</v>
      </c>
      <c r="F363" s="155">
        <f t="shared" si="43"/>
        <v>4.0571218117655183</v>
      </c>
      <c r="G363" s="96">
        <f t="shared" si="39"/>
        <v>1.1350550411739027</v>
      </c>
    </row>
    <row r="364" spans="1:7">
      <c r="A364" s="97">
        <f>2023</f>
        <v>2023</v>
      </c>
      <c r="B364" s="98" t="s">
        <v>64</v>
      </c>
      <c r="C364" s="99">
        <f t="shared" si="40"/>
        <v>6901.5099999999793</v>
      </c>
      <c r="D364" s="100">
        <v>0.10995179817607781</v>
      </c>
      <c r="E364" s="99">
        <f t="shared" si="44"/>
        <v>2.9131468875584599</v>
      </c>
      <c r="F364" s="155">
        <f t="shared" si="43"/>
        <v>4.5059464501495006</v>
      </c>
      <c r="G364" s="96">
        <f t="shared" si="39"/>
        <v>1.1338083984519334</v>
      </c>
    </row>
    <row r="365" spans="1:7">
      <c r="A365" s="97">
        <f>2023</f>
        <v>2023</v>
      </c>
      <c r="B365" s="98" t="s">
        <v>65</v>
      </c>
      <c r="C365" s="99">
        <f t="shared" si="40"/>
        <v>6909.789999999979</v>
      </c>
      <c r="D365" s="100">
        <v>0.11997374487611179</v>
      </c>
      <c r="E365" s="99">
        <f t="shared" si="44"/>
        <v>3.0366156438493164</v>
      </c>
      <c r="F365" s="155">
        <f t="shared" si="43"/>
        <v>4.1418361472077114</v>
      </c>
      <c r="G365" s="96">
        <f t="shared" si="39"/>
        <v>1.1324497560707349</v>
      </c>
    </row>
    <row r="366" spans="1:7">
      <c r="A366" s="97">
        <f>2023</f>
        <v>2023</v>
      </c>
      <c r="B366" s="98" t="s">
        <v>66</v>
      </c>
      <c r="C366" s="99">
        <f t="shared" si="40"/>
        <v>6916.6999999999798</v>
      </c>
      <c r="D366" s="100">
        <v>0.10000303916617437</v>
      </c>
      <c r="E366" s="99">
        <f t="shared" si="44"/>
        <v>3.1396553909471381</v>
      </c>
      <c r="F366" s="155">
        <f t="shared" si="43"/>
        <v>3.8513916269656168</v>
      </c>
      <c r="G366" s="96">
        <f t="shared" si="39"/>
        <v>1.1313184032848038</v>
      </c>
    </row>
    <row r="367" spans="1:7">
      <c r="A367" s="97">
        <f>2023</f>
        <v>2023</v>
      </c>
      <c r="B367" s="98" t="s">
        <v>55</v>
      </c>
      <c r="C367" s="99">
        <f t="shared" si="40"/>
        <v>6954.7399999999798</v>
      </c>
      <c r="D367" s="100">
        <v>0.54997325314094514</v>
      </c>
      <c r="E367" s="99">
        <f t="shared" si="44"/>
        <v>3.706895908979102</v>
      </c>
      <c r="F367" s="155">
        <f t="shared" si="43"/>
        <v>3.706895908979102</v>
      </c>
      <c r="G367" s="96">
        <f t="shared" si="39"/>
        <v>1.1251304865458669</v>
      </c>
    </row>
    <row r="368" spans="1:7">
      <c r="A368" s="97">
        <f>2024</f>
        <v>2024</v>
      </c>
      <c r="B368" s="98" t="s">
        <v>56</v>
      </c>
      <c r="C368" s="99">
        <f t="shared" si="40"/>
        <v>6994.3799999999801</v>
      </c>
      <c r="D368" s="100">
        <v>0.56997098381823541</v>
      </c>
      <c r="E368" s="99">
        <f t="shared" ref="E368:E379" si="45">+((C368/$C$367)-1)*100</f>
        <v>0.56997098381823541</v>
      </c>
      <c r="F368" s="155">
        <f t="shared" si="43"/>
        <v>3.8203948344960992</v>
      </c>
      <c r="G368" s="96">
        <f t="shared" si="39"/>
        <v>1.1187539138565537</v>
      </c>
    </row>
    <row r="369" spans="1:7">
      <c r="A369" s="97">
        <f>2024</f>
        <v>2024</v>
      </c>
      <c r="B369" s="98" t="s">
        <v>57</v>
      </c>
      <c r="C369" s="99">
        <f t="shared" si="40"/>
        <v>7051.0299999999788</v>
      </c>
      <c r="D369" s="100">
        <v>0.80993597717022858</v>
      </c>
      <c r="E369" s="99">
        <f t="shared" si="45"/>
        <v>1.3845233610458418</v>
      </c>
      <c r="F369" s="155">
        <f t="shared" si="43"/>
        <v>3.8616146722503464</v>
      </c>
      <c r="G369" s="96">
        <f t="shared" si="39"/>
        <v>1.1097655236185355</v>
      </c>
    </row>
    <row r="370" spans="1:7">
      <c r="A370" s="97">
        <f>2024</f>
        <v>2024</v>
      </c>
      <c r="B370" s="98" t="s">
        <v>58</v>
      </c>
      <c r="C370" s="99">
        <f t="shared" si="40"/>
        <v>7064.4299999999794</v>
      </c>
      <c r="D370" s="100">
        <v>0.1900431568153893</v>
      </c>
      <c r="E370" s="99">
        <f t="shared" si="45"/>
        <v>1.5771977097634116</v>
      </c>
      <c r="F370" s="155">
        <f t="shared" si="43"/>
        <v>3.3972354924828307</v>
      </c>
      <c r="G370" s="96">
        <f t="shared" si="39"/>
        <v>1.1076604906552974</v>
      </c>
    </row>
    <row r="371" spans="1:7">
      <c r="A371" s="97">
        <f>2024</f>
        <v>2024</v>
      </c>
      <c r="B371" s="98" t="s">
        <v>59</v>
      </c>
      <c r="C371" s="99">
        <f t="shared" si="40"/>
        <v>7090.5699999999788</v>
      </c>
      <c r="D371" s="100">
        <v>0.37002277607676159</v>
      </c>
      <c r="E371" s="99">
        <f t="shared" si="45"/>
        <v>1.9530564765900538</v>
      </c>
      <c r="F371" s="155">
        <f t="shared" si="43"/>
        <v>3.2327150059765497</v>
      </c>
      <c r="G371" s="96">
        <f t="shared" si="39"/>
        <v>1.1035770043875179</v>
      </c>
    </row>
    <row r="372" spans="1:7">
      <c r="A372" s="97">
        <f>2024</f>
        <v>2024</v>
      </c>
      <c r="B372" s="98" t="s">
        <v>60</v>
      </c>
      <c r="C372" s="99">
        <f t="shared" si="40"/>
        <v>7123.1899999999787</v>
      </c>
      <c r="D372" s="100">
        <v>0.46004764073974691</v>
      </c>
      <c r="E372" s="99">
        <f t="shared" si="45"/>
        <v>2.4220891075726669</v>
      </c>
      <c r="F372" s="155">
        <f t="shared" si="43"/>
        <v>3.3355770709359689</v>
      </c>
      <c r="G372" s="96">
        <f t="shared" si="39"/>
        <v>1.0985232739825841</v>
      </c>
    </row>
    <row r="373" spans="1:7">
      <c r="A373" s="97">
        <f>2024</f>
        <v>2024</v>
      </c>
      <c r="B373" s="98" t="s">
        <v>61</v>
      </c>
      <c r="C373" s="99">
        <f t="shared" si="40"/>
        <v>7140.9999999999791</v>
      </c>
      <c r="D373" s="100">
        <v>0.25002842827441807</v>
      </c>
      <c r="E373" s="99">
        <f t="shared" si="45"/>
        <v>2.6781734471741592</v>
      </c>
      <c r="F373" s="155">
        <f t="shared" si="43"/>
        <v>3.6975939428175009</v>
      </c>
      <c r="G373" s="96">
        <f t="shared" si="39"/>
        <v>1.0957835037109653</v>
      </c>
    </row>
    <row r="374" spans="1:7">
      <c r="A374" s="97">
        <f>2024</f>
        <v>2024</v>
      </c>
      <c r="B374" s="98" t="s">
        <v>62</v>
      </c>
      <c r="C374" s="99">
        <f t="shared" si="40"/>
        <v>7159.5699999999788</v>
      </c>
      <c r="D374" s="100">
        <v>0.26004761237921059</v>
      </c>
      <c r="E374" s="99">
        <f t="shared" si="45"/>
        <v>2.9451855856581277</v>
      </c>
      <c r="F374" s="155">
        <f t="shared" si="43"/>
        <v>4.0609461684813164</v>
      </c>
      <c r="G374" s="96">
        <f t="shared" si="39"/>
        <v>1.0929413358623496</v>
      </c>
    </row>
    <row r="375" spans="1:7">
      <c r="A375" s="97">
        <f>2024</f>
        <v>2024</v>
      </c>
      <c r="B375" s="98" t="s">
        <v>63</v>
      </c>
      <c r="C375" s="99">
        <f t="shared" si="40"/>
        <v>7149.5499999999793</v>
      </c>
      <c r="D375" s="100">
        <v>-0.1399525390491263</v>
      </c>
      <c r="E375" s="99">
        <f t="shared" si="45"/>
        <v>2.8011111846021564</v>
      </c>
      <c r="F375" s="155">
        <f t="shared" si="43"/>
        <v>3.7078995580169805</v>
      </c>
      <c r="G375" s="96">
        <f t="shared" si="39"/>
        <v>1.0944730787252348</v>
      </c>
    </row>
    <row r="376" spans="1:7">
      <c r="A376" s="97">
        <f>2024</f>
        <v>2024</v>
      </c>
      <c r="B376" s="98" t="s">
        <v>64</v>
      </c>
      <c r="C376" s="99">
        <f t="shared" si="40"/>
        <v>7183.8699999999799</v>
      </c>
      <c r="D376" s="100">
        <v>0.48003021169165105</v>
      </c>
      <c r="E376" s="99">
        <f t="shared" si="45"/>
        <v>3.2945875762429688</v>
      </c>
      <c r="F376" s="155">
        <f t="shared" si="43"/>
        <v>4.0912785752683423</v>
      </c>
      <c r="G376" s="96">
        <f t="shared" si="39"/>
        <v>1.0892443766382189</v>
      </c>
    </row>
    <row r="377" spans="1:7">
      <c r="A377" s="97">
        <f>2024</f>
        <v>2024</v>
      </c>
      <c r="B377" s="98" t="s">
        <v>65</v>
      </c>
      <c r="C377" s="99">
        <f t="shared" si="40"/>
        <v>7227.6899999999796</v>
      </c>
      <c r="D377" s="100">
        <v>0.6099776304415272</v>
      </c>
      <c r="E377" s="99">
        <f t="shared" si="45"/>
        <v>3.9246614539149016</v>
      </c>
      <c r="F377" s="155">
        <f t="shared" si="43"/>
        <v>4.6007186904377884</v>
      </c>
      <c r="G377" s="96">
        <f t="shared" si="39"/>
        <v>1.0826405116987587</v>
      </c>
    </row>
    <row r="378" spans="1:7">
      <c r="A378" s="97">
        <f>2024</f>
        <v>2024</v>
      </c>
      <c r="B378" s="98" t="s">
        <v>66</v>
      </c>
      <c r="C378" s="99">
        <f t="shared" si="40"/>
        <v>7251.5399999999809</v>
      </c>
      <c r="D378" s="100">
        <v>0.32998094826979241</v>
      </c>
      <c r="E378" s="99">
        <f t="shared" si="45"/>
        <v>4.2675930372666926</v>
      </c>
      <c r="F378" s="155">
        <f t="shared" si="43"/>
        <v>4.8410369106655304</v>
      </c>
      <c r="G378" s="96">
        <f t="shared" si="39"/>
        <v>1.0790797540936132</v>
      </c>
    </row>
    <row r="379" spans="1:7">
      <c r="A379" s="97">
        <f>2024</f>
        <v>2024</v>
      </c>
      <c r="B379" s="98" t="s">
        <v>55</v>
      </c>
      <c r="C379" s="99">
        <f t="shared" si="40"/>
        <v>7286.3499999999822</v>
      </c>
      <c r="D379" s="100">
        <v>0.48003596477439459</v>
      </c>
      <c r="E379" s="99">
        <f t="shared" si="45"/>
        <v>4.7681149834501779</v>
      </c>
      <c r="F379" s="155">
        <f t="shared" si="43"/>
        <v>4.7681149834501779</v>
      </c>
      <c r="G379" s="96">
        <f t="shared" si="39"/>
        <v>1.073924530114529</v>
      </c>
    </row>
    <row r="380" spans="1:7">
      <c r="A380" s="97">
        <f>2025</f>
        <v>2025</v>
      </c>
      <c r="B380" s="98" t="s">
        <v>56</v>
      </c>
      <c r="C380" s="99">
        <f t="shared" si="40"/>
        <v>7286.3499999999822</v>
      </c>
      <c r="D380" s="100">
        <v>0</v>
      </c>
      <c r="E380" s="99">
        <f t="shared" ref="E380:E385" si="46">+((C380/$C$379)-1)*100</f>
        <v>0</v>
      </c>
      <c r="F380" s="155">
        <f t="shared" si="43"/>
        <v>4.1743514078446342</v>
      </c>
      <c r="G380" s="96">
        <f t="shared" si="39"/>
        <v>1.073924530114529</v>
      </c>
    </row>
    <row r="381" spans="1:7">
      <c r="A381" s="97">
        <f>2025</f>
        <v>2025</v>
      </c>
      <c r="B381" s="98" t="s">
        <v>57</v>
      </c>
      <c r="C381" s="99">
        <f t="shared" ref="C381:C386" si="47">+C380*(1+D381/100)</f>
        <v>7394.1899999999805</v>
      </c>
      <c r="D381" s="100">
        <v>1.4800277230712089</v>
      </c>
      <c r="E381" s="99">
        <f t="shared" si="46"/>
        <v>1.4800277230712089</v>
      </c>
      <c r="F381" s="155">
        <f t="shared" ref="F381:F386" si="48">100*((C381/C369)-1)</f>
        <v>4.8668066934901999</v>
      </c>
      <c r="G381" s="96">
        <f t="shared" si="39"/>
        <v>1.0582619597278404</v>
      </c>
    </row>
    <row r="382" spans="1:7">
      <c r="A382" s="97">
        <f>2025</f>
        <v>2025</v>
      </c>
      <c r="B382" s="98" t="s">
        <v>58</v>
      </c>
      <c r="C382" s="99">
        <f t="shared" si="47"/>
        <v>7431.8999999999796</v>
      </c>
      <c r="D382" s="100">
        <v>0.50999500959536537</v>
      </c>
      <c r="E382" s="99">
        <f t="shared" si="46"/>
        <v>1.9975708001948478</v>
      </c>
      <c r="F382" s="155">
        <f t="shared" si="48"/>
        <v>5.201693554894038</v>
      </c>
      <c r="G382" s="96">
        <f t="shared" si="39"/>
        <v>1.0528922617365681</v>
      </c>
    </row>
    <row r="383" spans="1:7">
      <c r="A383" s="97">
        <f>2025</f>
        <v>2025</v>
      </c>
      <c r="B383" s="98" t="s">
        <v>59</v>
      </c>
      <c r="C383" s="99">
        <f t="shared" si="47"/>
        <v>7467.5699999999797</v>
      </c>
      <c r="D383" s="100">
        <v>0.47995801881079991</v>
      </c>
      <c r="E383" s="99">
        <f t="shared" si="46"/>
        <v>2.4871163202426105</v>
      </c>
      <c r="F383" s="155">
        <f t="shared" si="48"/>
        <v>5.3169209245519378</v>
      </c>
      <c r="G383" s="96">
        <f t="shared" si="39"/>
        <v>1.047862959436604</v>
      </c>
    </row>
    <row r="384" spans="1:7">
      <c r="A384" s="97">
        <f>2025</f>
        <v>2025</v>
      </c>
      <c r="B384" s="98" t="s">
        <v>60</v>
      </c>
      <c r="C384" s="99">
        <f t="shared" si="47"/>
        <v>7493.70999999998</v>
      </c>
      <c r="D384" s="100">
        <v>0.3500469362858416</v>
      </c>
      <c r="E384" s="99">
        <f t="shared" si="46"/>
        <v>2.8458693310093208</v>
      </c>
      <c r="F384" s="155">
        <f t="shared" si="48"/>
        <v>5.2016020911979322</v>
      </c>
      <c r="G384" s="96">
        <f t="shared" si="39"/>
        <v>1.0442077422264806</v>
      </c>
    </row>
    <row r="385" spans="1:8">
      <c r="A385" s="97">
        <f>2025</f>
        <v>2025</v>
      </c>
      <c r="B385" s="98" t="s">
        <v>61</v>
      </c>
      <c r="C385" s="99">
        <f t="shared" si="47"/>
        <v>7510.9499999999798</v>
      </c>
      <c r="D385" s="100">
        <v>0.23005960999291641</v>
      </c>
      <c r="E385" s="99">
        <f t="shared" si="46"/>
        <v>3.0824761368860809</v>
      </c>
      <c r="F385" s="155">
        <f t="shared" si="48"/>
        <v>5.1806469682117662</v>
      </c>
      <c r="G385" s="96">
        <f t="shared" si="39"/>
        <v>1.0418109560042339</v>
      </c>
    </row>
    <row r="386" spans="1:8">
      <c r="A386" s="97">
        <f>2025</f>
        <v>2025</v>
      </c>
      <c r="B386" s="98" t="s">
        <v>62</v>
      </c>
      <c r="C386" s="99">
        <f t="shared" si="47"/>
        <v>7526.7199999999802</v>
      </c>
      <c r="D386" s="100">
        <v>0.20996012488434523</v>
      </c>
      <c r="E386" s="99">
        <f t="shared" ref="E386" si="49">+((C386/$C$379)-1)*100</f>
        <v>3.2989082325169505</v>
      </c>
      <c r="F386" s="155">
        <f t="shared" si="48"/>
        <v>5.1281012686516414</v>
      </c>
      <c r="G386" s="96">
        <f t="shared" si="39"/>
        <v>1.0396281514391394</v>
      </c>
    </row>
    <row r="387" spans="1:8">
      <c r="A387" s="91">
        <f>2025</f>
        <v>2025</v>
      </c>
      <c r="B387" s="92" t="s">
        <v>63</v>
      </c>
      <c r="C387" s="93">
        <f t="shared" ref="C387" si="50">+C386*(1+D387/100)</f>
        <v>7510.9099999999798</v>
      </c>
      <c r="D387" s="94">
        <v>-0.21005165596701403</v>
      </c>
      <c r="E387" s="93">
        <f t="shared" ref="E387" si="51">+((C387/$C$379)-1)*100</f>
        <v>3.0819271651786995</v>
      </c>
      <c r="F387" s="154">
        <f t="shared" ref="F387" si="52">100*((C387/C375)-1)</f>
        <v>5.0543041170423519</v>
      </c>
      <c r="G387" s="96">
        <f t="shared" si="39"/>
        <v>1.0418165042584722</v>
      </c>
    </row>
    <row r="388" spans="1:8">
      <c r="A388" s="91">
        <f>2025</f>
        <v>2025</v>
      </c>
      <c r="B388" s="92" t="s">
        <v>64</v>
      </c>
      <c r="C388" s="93">
        <f t="shared" ref="C388" si="53">+C387*(1+D388/100)</f>
        <v>7549.9699999999802</v>
      </c>
      <c r="D388" s="94">
        <v>0.52004351004073524</v>
      </c>
      <c r="E388" s="93">
        <f t="shared" ref="E388" si="54">+((C388/$C$379)-1)*100</f>
        <v>3.6179980374261289</v>
      </c>
      <c r="F388" s="154">
        <f t="shared" ref="F388" si="55">100*((C388/C376)-1)</f>
        <v>5.0961389891521103</v>
      </c>
      <c r="G388" s="96">
        <f t="shared" si="39"/>
        <v>1.0364266348078204</v>
      </c>
    </row>
    <row r="389" spans="1:8">
      <c r="A389" s="91">
        <f>2025</f>
        <v>2025</v>
      </c>
      <c r="B389" s="92" t="s">
        <v>65</v>
      </c>
      <c r="C389" s="93">
        <f t="shared" ref="C389:C390" si="56">+C388*(1+D389/100)</f>
        <v>7552.2299999999796</v>
      </c>
      <c r="D389" s="94">
        <v>2.9933893777056575E-2</v>
      </c>
      <c r="E389" s="93">
        <f t="shared" ref="E389:E390" si="57">+((C389/$C$379)-1)*100</f>
        <v>3.6490149388925586</v>
      </c>
      <c r="F389" s="154">
        <f t="shared" ref="F389:F390" si="58">100*((C389/C377)-1)</f>
        <v>4.4902313187201059</v>
      </c>
      <c r="G389" s="96">
        <f t="shared" si="39"/>
        <v>1.0361164847998539</v>
      </c>
    </row>
    <row r="390" spans="1:8">
      <c r="A390" s="97">
        <f>2025</f>
        <v>2025</v>
      </c>
      <c r="B390" s="98" t="s">
        <v>66</v>
      </c>
      <c r="C390" s="99">
        <f t="shared" si="56"/>
        <v>7554.4999999999809</v>
      </c>
      <c r="D390" s="100">
        <v>3.0057347300083137E-2</v>
      </c>
      <c r="E390" s="99">
        <f t="shared" si="57"/>
        <v>3.6801690832858558</v>
      </c>
      <c r="F390" s="155">
        <f t="shared" si="58"/>
        <v>4.1778711832245463</v>
      </c>
      <c r="G390" s="96">
        <f t="shared" si="39"/>
        <v>1.0358051492487921</v>
      </c>
    </row>
    <row r="391" spans="1:8">
      <c r="A391" s="97">
        <f>2025</f>
        <v>2025</v>
      </c>
      <c r="B391" s="98" t="s">
        <v>55</v>
      </c>
      <c r="C391" s="99">
        <f t="shared" ref="C391" si="59">+C390*(1+D391/100)</f>
        <v>7570.3599999999806</v>
      </c>
      <c r="D391" s="100">
        <v>0.20994109471175193</v>
      </c>
      <c r="E391" s="99">
        <f t="shared" ref="E391" si="60">+((C391/$C$379)-1)*100</f>
        <v>3.8978363652583115</v>
      </c>
      <c r="F391" s="155">
        <f t="shared" ref="F391" si="61">100*((C391/C379)-1)</f>
        <v>3.8978363652583115</v>
      </c>
      <c r="G391" s="96">
        <f t="shared" si="39"/>
        <v>1.0336351243533992</v>
      </c>
    </row>
    <row r="392" spans="1:8">
      <c r="A392" s="91">
        <f>2025</f>
        <v>2025</v>
      </c>
      <c r="B392" s="92" t="s">
        <v>56</v>
      </c>
      <c r="C392" s="93">
        <f t="shared" ref="C392" si="62">+C391*(1+D392/100)</f>
        <v>7599.8799999999819</v>
      </c>
      <c r="D392" s="94">
        <v>0.38994182575202707</v>
      </c>
      <c r="E392" s="93">
        <f>+((C392/$C$391)-1)*100</f>
        <v>0.38994182575202707</v>
      </c>
      <c r="F392" s="154">
        <f t="shared" ref="F392" si="63">100*((C392/C380)-1)</f>
        <v>4.3029774852978653</v>
      </c>
      <c r="G392" s="96">
        <f t="shared" si="39"/>
        <v>1.0296202045295451</v>
      </c>
      <c r="H392" s="161"/>
    </row>
    <row r="393" spans="1:8">
      <c r="A393" s="91">
        <f>2025</f>
        <v>2025</v>
      </c>
      <c r="B393" s="92" t="s">
        <v>57</v>
      </c>
      <c r="C393" s="93">
        <f t="shared" ref="C393" si="64">+C392*(1+D393/100)</f>
        <v>7642.4399999999814</v>
      </c>
      <c r="D393" s="94">
        <v>0.56000884224487457</v>
      </c>
      <c r="E393" s="93">
        <f>+((C393/$C$391)-1)*100</f>
        <v>0.95213437670071954</v>
      </c>
      <c r="F393" s="154">
        <f t="shared" ref="F393" si="65">100*((C393/C381)-1)</f>
        <v>3.3573657155145042</v>
      </c>
      <c r="G393" s="96">
        <f t="shared" si="39"/>
        <v>1.0238863504325841</v>
      </c>
    </row>
    <row r="394" spans="1:8">
      <c r="A394" s="91">
        <f>2025</f>
        <v>2025</v>
      </c>
      <c r="B394" s="92" t="s">
        <v>58</v>
      </c>
      <c r="C394" s="93">
        <f t="shared" ref="C394" si="66">+C393*(1+D394/100)</f>
        <v>7711.9899999999807</v>
      </c>
      <c r="D394" s="94">
        <v>0.91004967000067882</v>
      </c>
      <c r="E394" s="93">
        <f>+((C394/$C$391)-1)*100</f>
        <v>1.8708489424545283</v>
      </c>
      <c r="F394" s="154">
        <f t="shared" ref="F394" si="67">100*((C394/C382)-1)</f>
        <v>3.7687536161681745</v>
      </c>
      <c r="G394" s="96">
        <f t="shared" si="39"/>
        <v>1.0146525086261782</v>
      </c>
    </row>
    <row r="395" spans="1:8">
      <c r="A395" s="91">
        <f>2025</f>
        <v>2025</v>
      </c>
      <c r="B395" s="92" t="s">
        <v>59</v>
      </c>
      <c r="C395" s="93">
        <f t="shared" ref="C395" si="68">+C394*(1+D395/100)</f>
        <v>7774.45999999998</v>
      </c>
      <c r="D395" s="94">
        <v>0.8100373574135844</v>
      </c>
      <c r="E395" s="93">
        <f>+((C395/$C$391)-1)*100</f>
        <v>2.6960408752027654</v>
      </c>
      <c r="F395" s="154">
        <f t="shared" ref="F395" si="69">100*((C395/C383)-1)</f>
        <v>4.1096367359127584</v>
      </c>
      <c r="G395" s="96">
        <f t="shared" ref="G395:G396" si="70">$C$396/C395</f>
        <v>1.0064994867810755</v>
      </c>
    </row>
    <row r="396" spans="1:8" ht="16.5" thickBot="1">
      <c r="A396" s="103">
        <f>2025</f>
        <v>2025</v>
      </c>
      <c r="B396" s="104" t="s">
        <v>60</v>
      </c>
      <c r="C396" s="105">
        <f t="shared" ref="C396" si="71">+C395*(1+D396/100)</f>
        <v>7824.9899999999798</v>
      </c>
      <c r="D396" s="106">
        <v>0.64994867810754797</v>
      </c>
      <c r="E396" s="105">
        <f>+((C396/$C$391)-1)*100</f>
        <v>3.3635124353399215</v>
      </c>
      <c r="F396" s="156">
        <f t="shared" ref="F396" si="72">100*((C396/C384)-1)</f>
        <v>4.4207742226480606</v>
      </c>
      <c r="G396" s="108">
        <f t="shared" si="70"/>
        <v>1</v>
      </c>
    </row>
    <row r="397" spans="1:8" s="158" customFormat="1">
      <c r="A397" s="169" t="s">
        <v>104</v>
      </c>
      <c r="G397" s="180"/>
    </row>
    <row r="398" spans="1:8">
      <c r="B398" s="181"/>
      <c r="F398" s="161"/>
      <c r="G398" s="163"/>
    </row>
    <row r="399" spans="1:8">
      <c r="A399" s="111" t="s">
        <v>88</v>
      </c>
      <c r="B399" s="181"/>
      <c r="D399" s="161"/>
      <c r="E399" s="161"/>
      <c r="F399" s="161"/>
      <c r="G399" s="163"/>
    </row>
    <row r="400" spans="1:8">
      <c r="A400" s="111" t="s">
        <v>105</v>
      </c>
      <c r="B400" s="182"/>
      <c r="D400" s="161"/>
      <c r="E400" s="161"/>
      <c r="F400" s="161"/>
      <c r="G400" s="163"/>
    </row>
    <row r="401" spans="1:7">
      <c r="A401" s="111" t="s">
        <v>90</v>
      </c>
      <c r="D401" s="161"/>
      <c r="E401" s="161"/>
      <c r="F401" s="161"/>
      <c r="G401" s="163"/>
    </row>
    <row r="402" spans="1:7">
      <c r="A402" s="111"/>
      <c r="D402" s="161"/>
      <c r="E402" s="161"/>
      <c r="F402" s="161"/>
      <c r="G402" s="163"/>
    </row>
    <row r="403" spans="1:7">
      <c r="A403" s="111" t="s">
        <v>110</v>
      </c>
      <c r="D403" s="161"/>
      <c r="E403" s="161"/>
      <c r="F403" s="161"/>
    </row>
    <row r="404" spans="1:7">
      <c r="D404" s="161"/>
      <c r="E404" s="161"/>
      <c r="F404" s="161"/>
    </row>
  </sheetData>
  <mergeCells count="6"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F144F-12A7-4756-85F7-79BB5F99AC19}">
  <dimension ref="A1:J330"/>
  <sheetViews>
    <sheetView showGridLines="0" topLeftCell="A302" workbookViewId="0">
      <selection activeCell="E322" sqref="E322"/>
    </sheetView>
  </sheetViews>
  <sheetFormatPr defaultColWidth="12.42578125" defaultRowHeight="15.7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0" width="21.42578125" style="55" customWidth="1"/>
    <col min="11" max="16384" width="12.42578125" style="55"/>
  </cols>
  <sheetData>
    <row r="1" spans="1:10" ht="21" customHeight="1">
      <c r="A1" s="738" t="s">
        <v>111</v>
      </c>
      <c r="B1" s="738"/>
      <c r="C1" s="738"/>
      <c r="D1" s="738"/>
      <c r="E1" s="738"/>
      <c r="F1" s="738"/>
      <c r="G1" s="738"/>
      <c r="H1" s="183"/>
    </row>
    <row r="2" spans="1:10" ht="15.75" customHeight="1">
      <c r="A2" s="738"/>
      <c r="B2" s="738"/>
      <c r="C2" s="738"/>
      <c r="D2" s="738"/>
      <c r="E2" s="738"/>
      <c r="F2" s="738"/>
      <c r="G2" s="738"/>
      <c r="H2" s="183"/>
    </row>
    <row r="3" spans="1:10" ht="18" customHeight="1" thickBot="1">
      <c r="A3" s="739"/>
      <c r="B3" s="739"/>
      <c r="C3" s="739"/>
      <c r="D3" s="739"/>
      <c r="E3" s="739"/>
      <c r="F3" s="739"/>
      <c r="G3" s="739"/>
      <c r="H3" s="183"/>
    </row>
    <row r="4" spans="1:10" ht="17.25" customHeight="1" thickBot="1">
      <c r="A4" s="708" t="s">
        <v>112</v>
      </c>
      <c r="B4" s="709"/>
      <c r="C4" s="710"/>
      <c r="D4" s="711" t="s">
        <v>95</v>
      </c>
      <c r="E4" s="712"/>
      <c r="F4" s="712"/>
      <c r="G4" s="712"/>
      <c r="H4" s="184"/>
    </row>
    <row r="5" spans="1:10" ht="15" customHeight="1" thickBot="1">
      <c r="A5" s="713" t="s">
        <v>46</v>
      </c>
      <c r="B5" s="714"/>
      <c r="C5" s="715"/>
      <c r="D5" s="716" t="s">
        <v>47</v>
      </c>
      <c r="E5" s="717"/>
      <c r="F5" s="718"/>
      <c r="G5" s="719" t="s">
        <v>48</v>
      </c>
    </row>
    <row r="6" spans="1:10" ht="15.75" customHeight="1" thickBot="1">
      <c r="A6" s="65" t="s">
        <v>49</v>
      </c>
      <c r="B6" s="66" t="s">
        <v>50</v>
      </c>
      <c r="C6" s="66" t="s">
        <v>51</v>
      </c>
      <c r="D6" s="66" t="s">
        <v>52</v>
      </c>
      <c r="E6" s="66" t="s">
        <v>53</v>
      </c>
      <c r="F6" s="66" t="s">
        <v>54</v>
      </c>
      <c r="G6" s="720"/>
    </row>
    <row r="7" spans="1:10" ht="16.5" hidden="1" thickBot="1">
      <c r="A7" s="67">
        <v>1993</v>
      </c>
      <c r="B7" s="68" t="s">
        <v>55</v>
      </c>
      <c r="C7" s="69">
        <v>9.32</v>
      </c>
      <c r="D7" s="69">
        <v>38.505800000000001</v>
      </c>
      <c r="E7" s="146">
        <v>2477.15</v>
      </c>
      <c r="F7" s="147">
        <v>2477.15</v>
      </c>
      <c r="G7" s="72">
        <f t="shared" ref="G7:G70" si="0">+$C$322/C7</f>
        <v>80.644987221157891</v>
      </c>
    </row>
    <row r="8" spans="1:10" ht="16.5" hidden="1" thickBot="1">
      <c r="A8" s="73">
        <v>1994</v>
      </c>
      <c r="B8" s="74" t="s">
        <v>56</v>
      </c>
      <c r="C8" s="75">
        <f>C9/(1+D8/100)</f>
        <v>11.599725697464509</v>
      </c>
      <c r="D8" s="75">
        <v>41.497</v>
      </c>
      <c r="E8" s="79"/>
      <c r="F8" s="148"/>
      <c r="G8" s="78">
        <f t="shared" si="0"/>
        <v>64.795608146620253</v>
      </c>
    </row>
    <row r="9" spans="1:10" ht="16.5" hidden="1" thickBot="1">
      <c r="A9" s="73">
        <v>1994</v>
      </c>
      <c r="B9" s="74" t="s">
        <v>57</v>
      </c>
      <c r="C9" s="75">
        <f>C10/(1+D9/100)</f>
        <v>16.413263870141357</v>
      </c>
      <c r="D9" s="75">
        <v>39.2776</v>
      </c>
      <c r="E9" s="79"/>
      <c r="F9" s="148"/>
      <c r="G9" s="78">
        <f t="shared" si="0"/>
        <v>45.792920094857308</v>
      </c>
    </row>
    <row r="10" spans="1:10" ht="16.5" hidden="1" thickBot="1">
      <c r="A10" s="73">
        <v>1994</v>
      </c>
      <c r="B10" s="74" t="s">
        <v>58</v>
      </c>
      <c r="C10" s="75">
        <v>22.86</v>
      </c>
      <c r="D10" s="75">
        <v>41.300800000000002</v>
      </c>
      <c r="E10" s="79"/>
      <c r="F10" s="148"/>
      <c r="G10" s="78">
        <f t="shared" si="0"/>
        <v>32.878883678967263</v>
      </c>
    </row>
    <row r="11" spans="1:10" ht="16.5" hidden="1" thickBot="1">
      <c r="A11" s="73">
        <v>1994</v>
      </c>
      <c r="B11" s="74" t="s">
        <v>59</v>
      </c>
      <c r="C11" s="75">
        <v>33.893000000000001</v>
      </c>
      <c r="D11" s="75">
        <v>48.082299999999996</v>
      </c>
      <c r="E11" s="79"/>
      <c r="F11" s="148"/>
      <c r="G11" s="78">
        <f t="shared" si="0"/>
        <v>22.176003331106468</v>
      </c>
    </row>
    <row r="12" spans="1:10" ht="16.5" hidden="1" thickBot="1">
      <c r="A12" s="73">
        <v>1994</v>
      </c>
      <c r="B12" s="74" t="s">
        <v>60</v>
      </c>
      <c r="C12" s="75">
        <v>49.274000000000001</v>
      </c>
      <c r="D12" s="75">
        <v>43.738</v>
      </c>
      <c r="E12" s="79"/>
      <c r="F12" s="148"/>
      <c r="G12" s="78">
        <f t="shared" si="0"/>
        <v>15.253709479668618</v>
      </c>
    </row>
    <row r="13" spans="1:10" ht="16.5" hidden="1" thickBot="1">
      <c r="A13" s="73">
        <v>1994</v>
      </c>
      <c r="B13" s="74" t="s">
        <v>61</v>
      </c>
      <c r="C13" s="75">
        <v>74.262</v>
      </c>
      <c r="D13" s="75">
        <v>49.149799999999999</v>
      </c>
      <c r="E13" s="79"/>
      <c r="F13" s="148"/>
      <c r="G13" s="78">
        <f t="shared" si="0"/>
        <v>10.121075124575039</v>
      </c>
    </row>
    <row r="14" spans="1:10" ht="16.5" hidden="1" thickBot="1">
      <c r="A14" s="73">
        <v>1994</v>
      </c>
      <c r="B14" s="74" t="s">
        <v>62</v>
      </c>
      <c r="C14" s="75">
        <v>97.22</v>
      </c>
      <c r="D14" s="75">
        <v>4.5176999999999996</v>
      </c>
      <c r="E14" s="79"/>
      <c r="F14" s="148"/>
      <c r="G14" s="78">
        <f t="shared" si="0"/>
        <v>7.7310355986545112</v>
      </c>
    </row>
    <row r="15" spans="1:10" ht="16.5" hidden="1" thickBot="1">
      <c r="A15" s="73">
        <v>1994</v>
      </c>
      <c r="B15" s="74" t="s">
        <v>63</v>
      </c>
      <c r="C15" s="75">
        <v>100</v>
      </c>
      <c r="D15" s="75">
        <v>2.2139000000000002</v>
      </c>
      <c r="E15" s="79"/>
      <c r="F15" s="148"/>
      <c r="G15" s="78">
        <f t="shared" si="0"/>
        <v>7.5161128090119158</v>
      </c>
    </row>
    <row r="16" spans="1:10" ht="16.5" hidden="1" thickBot="1">
      <c r="A16" s="73">
        <v>1994</v>
      </c>
      <c r="B16" s="74" t="s">
        <v>64</v>
      </c>
      <c r="C16" s="75">
        <v>100.959</v>
      </c>
      <c r="D16" s="75">
        <v>0.65890000000000004</v>
      </c>
      <c r="E16" s="79"/>
      <c r="F16" s="148"/>
      <c r="G16" s="78">
        <f t="shared" si="0"/>
        <v>7.4447179637396523</v>
      </c>
      <c r="H16" s="185"/>
      <c r="I16" s="185"/>
      <c r="J16" s="185"/>
    </row>
    <row r="17" spans="1:10" ht="16.5" hidden="1" thickBot="1">
      <c r="A17" s="73">
        <v>1994</v>
      </c>
      <c r="B17" s="74" t="s">
        <v>65</v>
      </c>
      <c r="C17" s="75">
        <v>104.538</v>
      </c>
      <c r="D17" s="75">
        <v>2.9849999999999999</v>
      </c>
      <c r="E17" s="79"/>
      <c r="F17" s="148"/>
      <c r="G17" s="78">
        <f t="shared" si="0"/>
        <v>7.1898379622834909</v>
      </c>
      <c r="H17" s="185"/>
      <c r="I17" s="185"/>
      <c r="J17" s="185"/>
    </row>
    <row r="18" spans="1:10" ht="16.5" hidden="1" thickBot="1">
      <c r="A18" s="73">
        <v>1994</v>
      </c>
      <c r="B18" s="74" t="s">
        <v>66</v>
      </c>
      <c r="C18" s="75">
        <v>107.69</v>
      </c>
      <c r="D18" s="75">
        <v>2.7368000000000001</v>
      </c>
      <c r="E18" s="79"/>
      <c r="F18" s="148"/>
      <c r="G18" s="78">
        <f t="shared" si="0"/>
        <v>6.9793971668789263</v>
      </c>
      <c r="H18" s="185"/>
      <c r="I18" s="185"/>
      <c r="J18" s="185"/>
    </row>
    <row r="19" spans="1:10" ht="16.5" hidden="1" thickBot="1">
      <c r="A19" s="73">
        <v>1994</v>
      </c>
      <c r="B19" s="74" t="s">
        <v>55</v>
      </c>
      <c r="C19" s="75">
        <v>110.23</v>
      </c>
      <c r="D19" s="75">
        <v>0.5272</v>
      </c>
      <c r="E19" s="75">
        <v>1082.94</v>
      </c>
      <c r="F19" s="149">
        <v>1082.94</v>
      </c>
      <c r="G19" s="78">
        <f t="shared" si="0"/>
        <v>6.8185728104979724</v>
      </c>
      <c r="H19" s="185"/>
      <c r="I19" s="185"/>
      <c r="J19" s="185"/>
    </row>
    <row r="20" spans="1:10" ht="16.5" hidden="1" thickBot="1">
      <c r="A20" s="73">
        <v>1995</v>
      </c>
      <c r="B20" s="74" t="s">
        <v>56</v>
      </c>
      <c r="C20" s="75">
        <v>113.833</v>
      </c>
      <c r="D20" s="75">
        <v>0.92149999999999999</v>
      </c>
      <c r="E20" s="75">
        <f>100*((C20/110.23)-1)</f>
        <v>3.2686201578517649</v>
      </c>
      <c r="F20" s="149"/>
      <c r="G20" s="78">
        <f t="shared" si="0"/>
        <v>6.6027538666396524</v>
      </c>
      <c r="H20" s="185"/>
      <c r="I20" s="185"/>
      <c r="J20" s="185"/>
    </row>
    <row r="21" spans="1:10" ht="16.5" hidden="1" thickBot="1">
      <c r="A21" s="73">
        <v>1995</v>
      </c>
      <c r="B21" s="74" t="s">
        <v>57</v>
      </c>
      <c r="C21" s="75">
        <v>117.19889999999999</v>
      </c>
      <c r="D21" s="75">
        <v>1.4965999999999999</v>
      </c>
      <c r="E21" s="75">
        <f t="shared" ref="E21:E30" si="1">100*((C21/110.23)-1)</f>
        <v>6.3221446067313725</v>
      </c>
      <c r="F21" s="149"/>
      <c r="G21" s="78">
        <f t="shared" si="0"/>
        <v>6.413125728152667</v>
      </c>
      <c r="H21" s="185"/>
      <c r="I21" s="185"/>
      <c r="J21" s="185"/>
    </row>
    <row r="22" spans="1:10" ht="16.5" hidden="1" thickBot="1">
      <c r="A22" s="73">
        <v>1995</v>
      </c>
      <c r="B22" s="74" t="s">
        <v>58</v>
      </c>
      <c r="C22" s="75">
        <v>122.9299</v>
      </c>
      <c r="D22" s="75">
        <v>3.2355</v>
      </c>
      <c r="E22" s="75">
        <f t="shared" si="1"/>
        <v>11.521273700444535</v>
      </c>
      <c r="F22" s="149">
        <f t="shared" ref="F22:F85" si="2">100*((C22/C10)-1)</f>
        <v>437.75109361329834</v>
      </c>
      <c r="G22" s="78">
        <f t="shared" si="0"/>
        <v>6.1141453861199881</v>
      </c>
      <c r="H22" s="185"/>
      <c r="I22" s="185"/>
      <c r="J22" s="185"/>
    </row>
    <row r="23" spans="1:10" ht="16.5" hidden="1" thickBot="1">
      <c r="A23" s="73">
        <v>1995</v>
      </c>
      <c r="B23" s="74" t="s">
        <v>59</v>
      </c>
      <c r="C23" s="75">
        <v>128.6627</v>
      </c>
      <c r="D23" s="75">
        <v>2.6869000000000001</v>
      </c>
      <c r="E23" s="75">
        <f t="shared" si="1"/>
        <v>16.722035743445531</v>
      </c>
      <c r="F23" s="149">
        <f t="shared" si="2"/>
        <v>279.61437464963268</v>
      </c>
      <c r="G23" s="78">
        <f t="shared" si="0"/>
        <v>5.8417185470318245</v>
      </c>
      <c r="H23" s="185"/>
      <c r="I23" s="185"/>
      <c r="J23" s="185"/>
    </row>
    <row r="24" spans="1:10" ht="16.5" hidden="1" thickBot="1">
      <c r="A24" s="73">
        <v>1995</v>
      </c>
      <c r="B24" s="74" t="s">
        <v>60</v>
      </c>
      <c r="C24" s="75">
        <f>+C23*(1+D24/100)</f>
        <v>132.1928184999</v>
      </c>
      <c r="D24" s="75">
        <v>2.7437</v>
      </c>
      <c r="E24" s="75">
        <f t="shared" si="1"/>
        <v>19.924538238138425</v>
      </c>
      <c r="F24" s="149">
        <f t="shared" si="2"/>
        <v>168.28107825607822</v>
      </c>
      <c r="G24" s="78">
        <f t="shared" si="0"/>
        <v>5.6857194621488469</v>
      </c>
      <c r="H24" s="185"/>
      <c r="I24" s="185"/>
      <c r="J24" s="185"/>
    </row>
    <row r="25" spans="1:10" ht="16.5" hidden="1" thickBot="1">
      <c r="A25" s="73">
        <v>1995</v>
      </c>
      <c r="B25" s="74" t="s">
        <v>61</v>
      </c>
      <c r="C25" s="75">
        <v>133.2688</v>
      </c>
      <c r="D25" s="75">
        <v>2.8174999999999999</v>
      </c>
      <c r="E25" s="75">
        <f t="shared" si="1"/>
        <v>20.900662251655632</v>
      </c>
      <c r="F25" s="149">
        <f t="shared" si="2"/>
        <v>79.45759607874821</v>
      </c>
      <c r="G25" s="78">
        <f t="shared" si="0"/>
        <v>5.6398142768689414</v>
      </c>
      <c r="H25" s="185" t="s">
        <v>113</v>
      </c>
      <c r="I25" s="185"/>
      <c r="J25" s="185"/>
    </row>
    <row r="26" spans="1:10" ht="16.5" hidden="1" thickBot="1">
      <c r="A26" s="73">
        <v>1995</v>
      </c>
      <c r="B26" s="74" t="s">
        <v>62</v>
      </c>
      <c r="C26" s="75">
        <v>140.13210000000001</v>
      </c>
      <c r="D26" s="75">
        <v>2.8065000000000002</v>
      </c>
      <c r="E26" s="75">
        <f t="shared" si="1"/>
        <v>27.127007166832982</v>
      </c>
      <c r="F26" s="149">
        <f t="shared" si="2"/>
        <v>44.139168895289039</v>
      </c>
      <c r="G26" s="78">
        <f t="shared" si="0"/>
        <v>5.3635910751440354</v>
      </c>
      <c r="H26" s="185"/>
      <c r="I26" s="185"/>
      <c r="J26" s="185"/>
    </row>
    <row r="27" spans="1:10" ht="16.5" hidden="1" thickBot="1">
      <c r="A27" s="73">
        <v>1995</v>
      </c>
      <c r="B27" s="74" t="s">
        <v>63</v>
      </c>
      <c r="C27" s="75">
        <v>146.1438</v>
      </c>
      <c r="D27" s="75">
        <v>1.4896</v>
      </c>
      <c r="E27" s="75">
        <f t="shared" si="1"/>
        <v>32.580785630046272</v>
      </c>
      <c r="F27" s="149">
        <f t="shared" si="2"/>
        <v>46.143799999999999</v>
      </c>
      <c r="G27" s="78">
        <f t="shared" si="0"/>
        <v>5.1429570115269447</v>
      </c>
      <c r="H27" s="185"/>
      <c r="I27" s="185"/>
      <c r="J27" s="185"/>
    </row>
    <row r="28" spans="1:10" ht="16.5" hidden="1" thickBot="1">
      <c r="A28" s="73">
        <v>1995</v>
      </c>
      <c r="B28" s="74" t="s">
        <v>64</v>
      </c>
      <c r="C28" s="75">
        <v>148.8329</v>
      </c>
      <c r="D28" s="75">
        <v>0.50470000000000004</v>
      </c>
      <c r="E28" s="75">
        <f t="shared" si="1"/>
        <v>35.02032114669327</v>
      </c>
      <c r="F28" s="149">
        <f t="shared" si="2"/>
        <v>47.419150348161132</v>
      </c>
      <c r="G28" s="78">
        <f t="shared" si="0"/>
        <v>5.0500345078352407</v>
      </c>
      <c r="H28" s="185"/>
      <c r="I28" s="185"/>
      <c r="J28" s="185"/>
    </row>
    <row r="29" spans="1:10" ht="16.5" hidden="1" thickBot="1">
      <c r="A29" s="73">
        <v>1995</v>
      </c>
      <c r="B29" s="74" t="s">
        <v>65</v>
      </c>
      <c r="C29" s="75">
        <v>151.58629999999999</v>
      </c>
      <c r="D29" s="75">
        <v>1.4714</v>
      </c>
      <c r="E29" s="75">
        <f t="shared" si="1"/>
        <v>37.518189240678581</v>
      </c>
      <c r="F29" s="149">
        <f t="shared" si="2"/>
        <v>45.005930857678543</v>
      </c>
      <c r="G29" s="78">
        <f t="shared" si="0"/>
        <v>4.9583061325541395</v>
      </c>
      <c r="H29" s="185"/>
      <c r="I29" s="185"/>
      <c r="J29" s="185"/>
    </row>
    <row r="30" spans="1:10" ht="16.5" hidden="1" thickBot="1">
      <c r="A30" s="73">
        <v>1995</v>
      </c>
      <c r="B30" s="74" t="s">
        <v>66</v>
      </c>
      <c r="C30" s="75">
        <v>158.15280000000001</v>
      </c>
      <c r="D30" s="75">
        <v>2.7755000000000001</v>
      </c>
      <c r="E30" s="75">
        <f t="shared" si="1"/>
        <v>43.475278962170009</v>
      </c>
      <c r="F30" s="149">
        <f t="shared" si="2"/>
        <v>46.859318413966022</v>
      </c>
      <c r="G30" s="78">
        <f t="shared" si="0"/>
        <v>4.7524373953619001</v>
      </c>
      <c r="H30" s="185"/>
      <c r="I30" s="185"/>
      <c r="J30" s="185"/>
    </row>
    <row r="31" spans="1:10" ht="16.5" hidden="1" thickBot="1">
      <c r="A31" s="73">
        <v>1995</v>
      </c>
      <c r="B31" s="74" t="s">
        <v>55</v>
      </c>
      <c r="C31" s="75">
        <v>161.15</v>
      </c>
      <c r="D31" s="75">
        <v>1.5789</v>
      </c>
      <c r="E31" s="75">
        <v>46.19</v>
      </c>
      <c r="F31" s="149">
        <f t="shared" si="2"/>
        <v>46.194320965254462</v>
      </c>
      <c r="G31" s="78">
        <f t="shared" si="0"/>
        <v>4.6640476630542445</v>
      </c>
      <c r="H31" s="185"/>
      <c r="I31" s="185"/>
      <c r="J31" s="185"/>
    </row>
    <row r="32" spans="1:10" ht="16.5" hidden="1" thickBot="1">
      <c r="A32" s="73">
        <v>1996</v>
      </c>
      <c r="B32" s="74" t="s">
        <v>56</v>
      </c>
      <c r="C32" s="75">
        <v>168.53829999999999</v>
      </c>
      <c r="D32" s="75">
        <v>2.5255999999999998</v>
      </c>
      <c r="E32" s="75">
        <f>100*((C32/161.15)-1)</f>
        <v>4.5847347192057075</v>
      </c>
      <c r="F32" s="149">
        <f t="shared" si="2"/>
        <v>48.05750529284127</v>
      </c>
      <c r="G32" s="78">
        <f t="shared" si="0"/>
        <v>4.4595874107024436</v>
      </c>
      <c r="H32" s="185"/>
      <c r="I32" s="185"/>
      <c r="J32" s="185"/>
    </row>
    <row r="33" spans="1:10" ht="16.5" hidden="1" thickBot="1">
      <c r="A33" s="73">
        <v>1996</v>
      </c>
      <c r="B33" s="74" t="s">
        <v>57</v>
      </c>
      <c r="C33" s="75">
        <v>168.62260000000001</v>
      </c>
      <c r="D33" s="75">
        <v>0.30930000000000002</v>
      </c>
      <c r="E33" s="75">
        <f>100*((C33/161.15)-1)</f>
        <v>4.6370462302202986</v>
      </c>
      <c r="F33" s="149">
        <f t="shared" si="2"/>
        <v>43.87728895066423</v>
      </c>
      <c r="G33" s="78">
        <f t="shared" si="0"/>
        <v>4.4573579158499008</v>
      </c>
      <c r="H33" s="185"/>
      <c r="I33" s="185"/>
      <c r="J33" s="185"/>
    </row>
    <row r="34" spans="1:10" ht="16.5" hidden="1" thickBot="1">
      <c r="A34" s="73">
        <v>1996</v>
      </c>
      <c r="B34" s="74" t="s">
        <v>58</v>
      </c>
      <c r="C34" s="75">
        <v>170.37620000000001</v>
      </c>
      <c r="D34" s="75">
        <v>1.1091</v>
      </c>
      <c r="E34" s="75">
        <f>100*((C34/161.15)-1)</f>
        <v>5.725224945702756</v>
      </c>
      <c r="F34" s="149">
        <f t="shared" si="2"/>
        <v>38.596224352252783</v>
      </c>
      <c r="G34" s="78">
        <f t="shared" si="0"/>
        <v>4.4114804820226743</v>
      </c>
      <c r="H34" s="185"/>
      <c r="I34" s="185"/>
      <c r="J34" s="185"/>
    </row>
    <row r="35" spans="1:10" ht="16.5" hidden="1" thickBot="1">
      <c r="A35" s="73">
        <v>1996</v>
      </c>
      <c r="B35" s="74" t="s">
        <v>59</v>
      </c>
      <c r="C35" s="75">
        <v>172.3185</v>
      </c>
      <c r="D35" s="75">
        <v>0.55700000000000005</v>
      </c>
      <c r="E35" s="75">
        <f>100*((C35/161.15)-1)</f>
        <v>6.9304995345951026</v>
      </c>
      <c r="F35" s="149">
        <f t="shared" si="2"/>
        <v>33.930424279919499</v>
      </c>
      <c r="G35" s="78">
        <f t="shared" si="0"/>
        <v>4.3617561718630995</v>
      </c>
      <c r="H35" s="185"/>
      <c r="I35" s="185"/>
      <c r="J35" s="185"/>
    </row>
    <row r="36" spans="1:10" ht="16.5" hidden="1" thickBot="1">
      <c r="A36" s="73">
        <v>1996</v>
      </c>
      <c r="B36" s="74" t="s">
        <v>60</v>
      </c>
      <c r="C36" s="150">
        <f>+C35*(1+D36/100)</f>
        <v>175.35699211049999</v>
      </c>
      <c r="D36" s="75">
        <v>1.7633000000000001</v>
      </c>
      <c r="E36" s="75">
        <f t="shared" ref="E36:E42" si="3">100*((C36/161.15)-1)</f>
        <v>8.8160050328885973</v>
      </c>
      <c r="F36" s="149">
        <f t="shared" si="2"/>
        <v>32.652434603043609</v>
      </c>
      <c r="G36" s="78">
        <f t="shared" si="0"/>
        <v>4.2861779952724604</v>
      </c>
      <c r="H36" s="185"/>
      <c r="I36" s="185"/>
      <c r="J36" s="185"/>
    </row>
    <row r="37" spans="1:10" ht="16.5" hidden="1" thickBot="1">
      <c r="A37" s="73">
        <v>1996</v>
      </c>
      <c r="B37" s="74" t="s">
        <v>61</v>
      </c>
      <c r="C37" s="150">
        <f t="shared" ref="C37:C42" si="4">+C36*(1+D37/100)</f>
        <v>175.51323519047043</v>
      </c>
      <c r="D37" s="75">
        <v>8.9099999999999999E-2</v>
      </c>
      <c r="E37" s="75">
        <f t="shared" si="3"/>
        <v>8.9129600933729023</v>
      </c>
      <c r="F37" s="149">
        <f t="shared" si="2"/>
        <v>31.698668548430263</v>
      </c>
      <c r="G37" s="78">
        <f t="shared" si="0"/>
        <v>4.2823624103648257</v>
      </c>
      <c r="H37" s="185"/>
      <c r="I37" s="185"/>
      <c r="J37" s="185"/>
    </row>
    <row r="38" spans="1:10" ht="16.5" hidden="1" thickBot="1">
      <c r="A38" s="73">
        <v>1996</v>
      </c>
      <c r="B38" s="74" t="s">
        <v>62</v>
      </c>
      <c r="C38" s="150">
        <f t="shared" si="4"/>
        <v>179.61901630128111</v>
      </c>
      <c r="D38" s="75">
        <v>2.3393000000000002</v>
      </c>
      <c r="E38" s="75">
        <f t="shared" si="3"/>
        <v>11.460760968837169</v>
      </c>
      <c r="F38" s="149">
        <f t="shared" si="2"/>
        <v>28.178351927417843</v>
      </c>
      <c r="G38" s="78">
        <f t="shared" si="0"/>
        <v>4.1844749869940738</v>
      </c>
      <c r="H38" s="185"/>
      <c r="I38" s="185"/>
      <c r="J38" s="185"/>
    </row>
    <row r="39" spans="1:10" ht="16.5" hidden="1" thickBot="1">
      <c r="A39" s="73">
        <v>1996</v>
      </c>
      <c r="B39" s="74" t="s">
        <v>63</v>
      </c>
      <c r="C39" s="150">
        <f t="shared" si="4"/>
        <v>179.14787562152284</v>
      </c>
      <c r="D39" s="75">
        <v>-0.26229999999999998</v>
      </c>
      <c r="E39" s="75">
        <f t="shared" si="3"/>
        <v>11.168399392815909</v>
      </c>
      <c r="F39" s="149">
        <f t="shared" si="2"/>
        <v>22.5832882554873</v>
      </c>
      <c r="G39" s="78">
        <f t="shared" si="0"/>
        <v>4.1954797303267206</v>
      </c>
      <c r="H39" s="185"/>
      <c r="I39" s="185"/>
      <c r="J39" s="185"/>
    </row>
    <row r="40" spans="1:10" ht="16.5" hidden="1" thickBot="1">
      <c r="A40" s="73">
        <v>1996</v>
      </c>
      <c r="B40" s="74" t="s">
        <v>64</v>
      </c>
      <c r="C40" s="150">
        <f t="shared" si="4"/>
        <v>179.33544344729859</v>
      </c>
      <c r="D40" s="75">
        <v>0.1047</v>
      </c>
      <c r="E40" s="75">
        <f t="shared" si="3"/>
        <v>11.284792706980195</v>
      </c>
      <c r="F40" s="149">
        <f t="shared" si="2"/>
        <v>20.494489758177515</v>
      </c>
      <c r="G40" s="78">
        <f t="shared" si="0"/>
        <v>4.1910916573614632</v>
      </c>
      <c r="H40" s="185"/>
      <c r="I40" s="185"/>
      <c r="J40" s="185"/>
    </row>
    <row r="41" spans="1:10" ht="16.5" hidden="1" thickBot="1">
      <c r="A41" s="73">
        <v>1996</v>
      </c>
      <c r="B41" s="74" t="s">
        <v>65</v>
      </c>
      <c r="C41" s="150">
        <f t="shared" si="4"/>
        <v>179.9030401258093</v>
      </c>
      <c r="D41" s="75">
        <v>0.3165</v>
      </c>
      <c r="E41" s="75">
        <f t="shared" si="3"/>
        <v>11.637009075897797</v>
      </c>
      <c r="F41" s="149">
        <f t="shared" si="2"/>
        <v>18.68027659874889</v>
      </c>
      <c r="G41" s="78">
        <f t="shared" si="0"/>
        <v>4.1778687029167312</v>
      </c>
      <c r="H41" s="185"/>
      <c r="I41" s="185"/>
      <c r="J41" s="185"/>
    </row>
    <row r="42" spans="1:10" ht="16.5" hidden="1" thickBot="1">
      <c r="A42" s="73">
        <v>1996</v>
      </c>
      <c r="B42" s="74" t="s">
        <v>66</v>
      </c>
      <c r="C42" s="150">
        <f t="shared" si="4"/>
        <v>180.48250781805453</v>
      </c>
      <c r="D42" s="75">
        <v>0.3221</v>
      </c>
      <c r="E42" s="75">
        <f t="shared" si="3"/>
        <v>11.99659188213127</v>
      </c>
      <c r="F42" s="149">
        <f t="shared" si="2"/>
        <v>14.119072073371131</v>
      </c>
      <c r="G42" s="78">
        <f t="shared" si="0"/>
        <v>4.1644549933830444</v>
      </c>
      <c r="H42" s="185"/>
      <c r="I42" s="185"/>
      <c r="J42" s="185"/>
    </row>
    <row r="43" spans="1:10" ht="16.5" hidden="1" thickBot="1">
      <c r="A43" s="73">
        <v>1996</v>
      </c>
      <c r="B43" s="74" t="s">
        <v>55</v>
      </c>
      <c r="C43" s="75">
        <v>183.81</v>
      </c>
      <c r="D43" s="75">
        <v>0.3821</v>
      </c>
      <c r="E43" s="75">
        <v>14.07</v>
      </c>
      <c r="F43" s="149">
        <f t="shared" si="2"/>
        <v>14.061433447098981</v>
      </c>
      <c r="G43" s="78">
        <f t="shared" si="0"/>
        <v>4.0890663233838831</v>
      </c>
      <c r="H43" s="185"/>
      <c r="I43" s="185"/>
      <c r="J43" s="185"/>
    </row>
    <row r="44" spans="1:10" ht="16.5" hidden="1" thickBot="1">
      <c r="A44" s="73">
        <v>1997</v>
      </c>
      <c r="B44" s="74" t="s">
        <v>56</v>
      </c>
      <c r="C44" s="75">
        <f t="shared" ref="C44:C51" si="5">+C45/(1+D44/100)</f>
        <v>184.00740480745412</v>
      </c>
      <c r="D44" s="75">
        <v>2.1196999999999999</v>
      </c>
      <c r="E44" s="75">
        <f>100*((C44/C40)-1)</f>
        <v>2.6051522612307698</v>
      </c>
      <c r="F44" s="149">
        <f t="shared" si="2"/>
        <v>9.1783913848983545</v>
      </c>
      <c r="G44" s="78">
        <f t="shared" si="0"/>
        <v>4.0846795360636694</v>
      </c>
      <c r="H44" s="185"/>
      <c r="I44" s="185"/>
      <c r="J44" s="185"/>
    </row>
    <row r="45" spans="1:10" ht="16.5" hidden="1" thickBot="1">
      <c r="A45" s="73">
        <v>1997</v>
      </c>
      <c r="B45" s="74" t="s">
        <v>57</v>
      </c>
      <c r="C45" s="75">
        <f t="shared" si="5"/>
        <v>187.90780976715772</v>
      </c>
      <c r="D45" s="75">
        <v>0.46179999999999999</v>
      </c>
      <c r="E45" s="75">
        <f>100*((C45/C41)-1)</f>
        <v>4.4494910345876049</v>
      </c>
      <c r="F45" s="149">
        <f t="shared" si="2"/>
        <v>11.436906895729116</v>
      </c>
      <c r="G45" s="78">
        <f t="shared" si="0"/>
        <v>3.9998937874510694</v>
      </c>
      <c r="H45" s="185"/>
      <c r="I45" s="185"/>
      <c r="J45" s="185"/>
    </row>
    <row r="46" spans="1:10" ht="16.5" hidden="1" thickBot="1">
      <c r="A46" s="73">
        <v>1997</v>
      </c>
      <c r="B46" s="74" t="s">
        <v>58</v>
      </c>
      <c r="C46" s="75">
        <f t="shared" si="5"/>
        <v>188.77556803266245</v>
      </c>
      <c r="D46" s="75">
        <v>0.49969999999999998</v>
      </c>
      <c r="E46" s="75">
        <f>100*((C46/C42)-1)</f>
        <v>4.594938487317668</v>
      </c>
      <c r="F46" s="149">
        <f t="shared" si="2"/>
        <v>10.799259540160211</v>
      </c>
      <c r="G46" s="78">
        <f t="shared" si="0"/>
        <v>3.9815071872603016</v>
      </c>
      <c r="H46" s="185"/>
      <c r="I46" s="185"/>
      <c r="J46" s="185"/>
    </row>
    <row r="47" spans="1:10" ht="16.5" hidden="1" thickBot="1">
      <c r="A47" s="73">
        <v>1997</v>
      </c>
      <c r="B47" s="74" t="s">
        <v>59</v>
      </c>
      <c r="C47" s="75">
        <f t="shared" si="5"/>
        <v>189.71887954612166</v>
      </c>
      <c r="D47" s="75">
        <v>1.0807</v>
      </c>
      <c r="E47" s="75">
        <f>100*((C47/C43)-1)</f>
        <v>3.2146670725867299</v>
      </c>
      <c r="F47" s="149">
        <f t="shared" si="2"/>
        <v>10.097801191469081</v>
      </c>
      <c r="G47" s="78">
        <f t="shared" si="0"/>
        <v>3.9617105197928963</v>
      </c>
      <c r="H47" s="185"/>
      <c r="I47" s="185"/>
      <c r="J47" s="185"/>
    </row>
    <row r="48" spans="1:10" ht="16.5" hidden="1" thickBot="1">
      <c r="A48" s="73">
        <v>1997</v>
      </c>
      <c r="B48" s="74" t="s">
        <v>60</v>
      </c>
      <c r="C48" s="75">
        <f t="shared" si="5"/>
        <v>191.7691714773766</v>
      </c>
      <c r="D48" s="75">
        <v>-7.7000000000000002E-3</v>
      </c>
      <c r="E48" s="75">
        <f>100*((C48/C43)-1)</f>
        <v>4.3301079796401742</v>
      </c>
      <c r="F48" s="149">
        <f t="shared" si="2"/>
        <v>9.3592956684239947</v>
      </c>
      <c r="G48" s="78">
        <f t="shared" si="0"/>
        <v>3.9193540604614889</v>
      </c>
      <c r="H48" s="185"/>
      <c r="I48" s="185"/>
      <c r="J48" s="185"/>
    </row>
    <row r="49" spans="1:10" ht="16.5" hidden="1" thickBot="1">
      <c r="A49" s="73">
        <v>1997</v>
      </c>
      <c r="B49" s="74" t="s">
        <v>61</v>
      </c>
      <c r="C49" s="75">
        <f t="shared" si="5"/>
        <v>191.75440525117284</v>
      </c>
      <c r="D49" s="75">
        <v>0.98640000000000005</v>
      </c>
      <c r="E49" s="75">
        <f>100*((C49/C43)-1)</f>
        <v>4.3220745613257394</v>
      </c>
      <c r="F49" s="149">
        <f t="shared" si="2"/>
        <v>9.2535301073318976</v>
      </c>
      <c r="G49" s="78">
        <f t="shared" si="0"/>
        <v>3.9196558739637841</v>
      </c>
      <c r="H49" s="185"/>
      <c r="I49" s="185"/>
      <c r="J49" s="185"/>
    </row>
    <row r="50" spans="1:10" ht="16.5" hidden="1" thickBot="1">
      <c r="A50" s="73">
        <v>1997</v>
      </c>
      <c r="B50" s="74" t="s">
        <v>62</v>
      </c>
      <c r="C50" s="75">
        <f t="shared" si="5"/>
        <v>193.64587070457043</v>
      </c>
      <c r="D50" s="75">
        <v>0.55100000000000005</v>
      </c>
      <c r="E50" s="75">
        <f>100*((C50/C43)-1)</f>
        <v>5.3511075047986578</v>
      </c>
      <c r="F50" s="149">
        <f t="shared" si="2"/>
        <v>7.8092257112474028</v>
      </c>
      <c r="G50" s="78">
        <f t="shared" si="0"/>
        <v>3.8813700398903062</v>
      </c>
      <c r="H50" s="185"/>
      <c r="I50" s="185"/>
      <c r="J50" s="185"/>
    </row>
    <row r="51" spans="1:10" ht="16.5" hidden="1" thickBot="1">
      <c r="A51" s="73">
        <v>1997</v>
      </c>
      <c r="B51" s="74" t="s">
        <v>63</v>
      </c>
      <c r="C51" s="75">
        <f t="shared" si="5"/>
        <v>194.7128594521526</v>
      </c>
      <c r="D51" s="75">
        <v>-0.27879999999999999</v>
      </c>
      <c r="E51" s="75">
        <f>100*((C51/C43)-1)</f>
        <v>5.9315921071501077</v>
      </c>
      <c r="F51" s="149">
        <f t="shared" si="2"/>
        <v>8.688344071415699</v>
      </c>
      <c r="G51" s="78">
        <f t="shared" si="0"/>
        <v>3.8601008840193596</v>
      </c>
      <c r="H51" s="185"/>
      <c r="I51" s="185"/>
      <c r="J51" s="185"/>
    </row>
    <row r="52" spans="1:10" ht="16.5" hidden="1" thickBot="1">
      <c r="A52" s="73">
        <v>1997</v>
      </c>
      <c r="B52" s="74" t="s">
        <v>64</v>
      </c>
      <c r="C52" s="75">
        <v>194.17</v>
      </c>
      <c r="D52" s="75">
        <v>0.1111</v>
      </c>
      <c r="E52" s="75">
        <f>100*(($C$52/$C$43)-1)</f>
        <v>5.6362548283553693</v>
      </c>
      <c r="F52" s="149">
        <f t="shared" si="2"/>
        <v>8.2719602257881775</v>
      </c>
      <c r="G52" s="78">
        <f t="shared" si="0"/>
        <v>3.8708929335180078</v>
      </c>
      <c r="H52" s="185"/>
      <c r="I52" s="185"/>
      <c r="J52" s="185"/>
    </row>
    <row r="53" spans="1:10" ht="16.5" hidden="1" thickBot="1">
      <c r="A53" s="73">
        <v>1997</v>
      </c>
      <c r="B53" s="74" t="s">
        <v>65</v>
      </c>
      <c r="C53" s="75">
        <v>194.92</v>
      </c>
      <c r="D53" s="75">
        <v>5.8000000000000003E-2</v>
      </c>
      <c r="E53" s="75">
        <f>100*(($C$53/$C$43)-1)</f>
        <v>6.044284859365634</v>
      </c>
      <c r="F53" s="149">
        <f t="shared" si="2"/>
        <v>8.347251866165827</v>
      </c>
      <c r="G53" s="78">
        <f t="shared" si="0"/>
        <v>3.8559987733490231</v>
      </c>
      <c r="H53" s="185"/>
      <c r="I53" s="185"/>
      <c r="J53" s="185"/>
    </row>
    <row r="54" spans="1:10" ht="16.5" hidden="1" thickBot="1">
      <c r="A54" s="73">
        <v>1997</v>
      </c>
      <c r="B54" s="74" t="s">
        <v>66</v>
      </c>
      <c r="C54" s="75">
        <v>194.7</v>
      </c>
      <c r="D54" s="75">
        <v>0.21</v>
      </c>
      <c r="E54" s="75">
        <f>100*(($C$54/$C$43)-1)</f>
        <v>5.9245960502692929</v>
      </c>
      <c r="F54" s="149">
        <f t="shared" si="2"/>
        <v>7.8774903750108649</v>
      </c>
      <c r="G54" s="78">
        <f t="shared" si="0"/>
        <v>3.8603558341098694</v>
      </c>
      <c r="H54" s="185"/>
      <c r="I54" s="185"/>
      <c r="J54" s="185"/>
    </row>
    <row r="55" spans="1:10" ht="16.5" hidden="1" thickBot="1">
      <c r="A55" s="73">
        <v>1997</v>
      </c>
      <c r="B55" s="74" t="s">
        <v>55</v>
      </c>
      <c r="C55" s="75">
        <v>195.05</v>
      </c>
      <c r="D55" s="75">
        <v>0.17799999999999999</v>
      </c>
      <c r="E55" s="75">
        <v>6.11</v>
      </c>
      <c r="F55" s="149">
        <f t="shared" si="2"/>
        <v>6.1150100647407779</v>
      </c>
      <c r="G55" s="78">
        <f t="shared" si="0"/>
        <v>3.8534287664762448</v>
      </c>
      <c r="H55" s="185"/>
      <c r="I55" s="185"/>
      <c r="J55" s="185"/>
    </row>
    <row r="56" spans="1:10" ht="16.5" hidden="1" thickBot="1">
      <c r="A56" s="73">
        <v>1998</v>
      </c>
      <c r="B56" s="74" t="s">
        <v>56</v>
      </c>
      <c r="C56" s="75">
        <v>196.41200000000001</v>
      </c>
      <c r="D56" s="75">
        <v>0.69779999999999998</v>
      </c>
      <c r="E56" s="75">
        <f>100*($C$56/$C$55-1)</f>
        <v>0.69828249166878908</v>
      </c>
      <c r="F56" s="149">
        <f t="shared" si="2"/>
        <v>6.7413565261279063</v>
      </c>
      <c r="G56" s="78">
        <f t="shared" si="0"/>
        <v>3.8267075377328856</v>
      </c>
      <c r="H56" s="185"/>
      <c r="I56" s="185"/>
      <c r="J56" s="185"/>
    </row>
    <row r="57" spans="1:10" ht="16.5" hidden="1" thickBot="1">
      <c r="A57" s="73">
        <v>1998</v>
      </c>
      <c r="B57" s="74" t="s">
        <v>57</v>
      </c>
      <c r="C57" s="75">
        <v>196.96</v>
      </c>
      <c r="D57" s="75">
        <v>0.28310000000000002</v>
      </c>
      <c r="E57" s="75">
        <f>100*($C$57/$C$55-1)</f>
        <v>0.97923609330941019</v>
      </c>
      <c r="F57" s="149">
        <f t="shared" si="2"/>
        <v>4.8173571093501399</v>
      </c>
      <c r="G57" s="78">
        <f t="shared" si="0"/>
        <v>3.8160605244780235</v>
      </c>
      <c r="H57" s="185"/>
      <c r="I57" s="185"/>
      <c r="J57" s="185"/>
    </row>
    <row r="58" spans="1:10" ht="16.5" hidden="1" thickBot="1">
      <c r="A58" s="73">
        <v>1998</v>
      </c>
      <c r="B58" s="74" t="s">
        <v>58</v>
      </c>
      <c r="C58" s="75">
        <v>197.36</v>
      </c>
      <c r="D58" s="75">
        <v>0.2014</v>
      </c>
      <c r="E58" s="75">
        <f>100*($C$58/$C$55-1)</f>
        <v>1.1843117149448856</v>
      </c>
      <c r="F58" s="149">
        <f t="shared" si="2"/>
        <v>4.5474274329039499</v>
      </c>
      <c r="G58" s="78">
        <f t="shared" si="0"/>
        <v>3.8083263118220079</v>
      </c>
      <c r="H58" s="185"/>
      <c r="I58" s="185"/>
      <c r="J58" s="185"/>
    </row>
    <row r="59" spans="1:10" ht="16.5" hidden="1" thickBot="1">
      <c r="A59" s="73">
        <v>1998</v>
      </c>
      <c r="B59" s="74" t="s">
        <v>59</v>
      </c>
      <c r="C59" s="75">
        <v>197.73</v>
      </c>
      <c r="D59" s="75">
        <v>0.18870000000000001</v>
      </c>
      <c r="E59" s="75">
        <f>100*($C$59/$C$55-1)</f>
        <v>1.3740066649576832</v>
      </c>
      <c r="F59" s="149">
        <f t="shared" si="2"/>
        <v>4.2226269062119348</v>
      </c>
      <c r="G59" s="78">
        <f t="shared" si="0"/>
        <v>3.8012000247872937</v>
      </c>
      <c r="H59" s="185"/>
      <c r="I59" s="185"/>
      <c r="J59" s="185"/>
    </row>
    <row r="60" spans="1:10" ht="16.5" hidden="1" thickBot="1">
      <c r="A60" s="73">
        <v>1998</v>
      </c>
      <c r="B60" s="74" t="s">
        <v>60</v>
      </c>
      <c r="C60" s="75">
        <v>198.54</v>
      </c>
      <c r="D60" s="75">
        <v>0.41270000000000001</v>
      </c>
      <c r="E60" s="75">
        <f>100*($C$60/$C$55-1)</f>
        <v>1.7892847987695415</v>
      </c>
      <c r="F60" s="149">
        <f t="shared" si="2"/>
        <v>3.5307179305523295</v>
      </c>
      <c r="G60" s="78">
        <f t="shared" si="0"/>
        <v>3.7856919557831752</v>
      </c>
      <c r="H60" s="185"/>
      <c r="I60" s="185"/>
      <c r="J60" s="185"/>
    </row>
    <row r="61" spans="1:10" ht="16.5" hidden="1" thickBot="1">
      <c r="A61" s="73">
        <v>1998</v>
      </c>
      <c r="B61" s="74" t="s">
        <v>61</v>
      </c>
      <c r="C61" s="75">
        <v>198.64</v>
      </c>
      <c r="D61" s="75">
        <v>5.1499999999999997E-2</v>
      </c>
      <c r="E61" s="75">
        <f>100*($C$61/$C$55-1)</f>
        <v>1.8405537041783937</v>
      </c>
      <c r="F61" s="149">
        <f t="shared" si="2"/>
        <v>3.5908404502143831</v>
      </c>
      <c r="G61" s="78">
        <f t="shared" si="0"/>
        <v>3.7837861503281895</v>
      </c>
      <c r="H61" s="185"/>
      <c r="I61" s="185"/>
      <c r="J61" s="185"/>
    </row>
    <row r="62" spans="1:10" ht="16.5" hidden="1" thickBot="1">
      <c r="A62" s="73">
        <v>1998</v>
      </c>
      <c r="B62" s="74" t="s">
        <v>62</v>
      </c>
      <c r="C62" s="75">
        <v>197.61</v>
      </c>
      <c r="D62" s="75">
        <v>-0.36580000000000001</v>
      </c>
      <c r="E62" s="75">
        <f>100*($C$62/$C$55-1)</f>
        <v>1.3124839784670606</v>
      </c>
      <c r="F62" s="149">
        <f t="shared" si="2"/>
        <v>2.0471024148391637</v>
      </c>
      <c r="G62" s="78">
        <f t="shared" si="0"/>
        <v>3.8035083290379612</v>
      </c>
      <c r="H62" s="185"/>
      <c r="I62" s="185"/>
      <c r="J62" s="185"/>
    </row>
    <row r="63" spans="1:10" ht="16.5" hidden="1" thickBot="1">
      <c r="A63" s="73">
        <v>1998</v>
      </c>
      <c r="B63" s="74" t="s">
        <v>63</v>
      </c>
      <c r="C63" s="75">
        <v>196.15</v>
      </c>
      <c r="D63" s="75">
        <v>-0.8851</v>
      </c>
      <c r="E63" s="75">
        <f>100*($C$63/$C$55-1)</f>
        <v>0.5639579594975519</v>
      </c>
      <c r="F63" s="149">
        <f t="shared" si="2"/>
        <v>0.7380819900087543</v>
      </c>
      <c r="G63" s="78">
        <f t="shared" si="0"/>
        <v>3.8318189186907547</v>
      </c>
      <c r="H63" s="185"/>
      <c r="I63" s="185"/>
      <c r="J63" s="185"/>
    </row>
    <row r="64" spans="1:10" ht="16.5" hidden="1" thickBot="1">
      <c r="A64" s="73">
        <v>1998</v>
      </c>
      <c r="B64" s="74" t="s">
        <v>64</v>
      </c>
      <c r="C64" s="75">
        <v>195.93</v>
      </c>
      <c r="D64" s="75">
        <v>-0.10589999999999999</v>
      </c>
      <c r="E64" s="75">
        <f>+$C$64/$C$55*100-100</f>
        <v>0.45116636759804862</v>
      </c>
      <c r="F64" s="149">
        <f t="shared" si="2"/>
        <v>0.90642220734409307</v>
      </c>
      <c r="G64" s="78">
        <f t="shared" si="0"/>
        <v>3.8361214765538278</v>
      </c>
      <c r="H64" s="185"/>
      <c r="I64" s="185"/>
      <c r="J64" s="185"/>
    </row>
    <row r="65" spans="1:10" ht="16.5" hidden="1" thickBot="1">
      <c r="A65" s="73">
        <v>1998</v>
      </c>
      <c r="B65" s="74" t="s">
        <v>65</v>
      </c>
      <c r="C65" s="75">
        <v>196.34</v>
      </c>
      <c r="D65" s="75">
        <v>0.2104</v>
      </c>
      <c r="E65" s="75">
        <f>+$C$65/$C$55*100-100</f>
        <v>0.66136887977441461</v>
      </c>
      <c r="F65" s="149">
        <f t="shared" si="2"/>
        <v>0.72850400164170548</v>
      </c>
      <c r="G65" s="78">
        <f t="shared" si="0"/>
        <v>3.8281108327451947</v>
      </c>
      <c r="H65" s="185"/>
      <c r="I65" s="185"/>
      <c r="J65" s="185"/>
    </row>
    <row r="66" spans="1:10" ht="16.5" hidden="1" thickBot="1">
      <c r="A66" s="73">
        <v>1998</v>
      </c>
      <c r="B66" s="74" t="s">
        <v>66</v>
      </c>
      <c r="C66" s="75">
        <v>195.68</v>
      </c>
      <c r="D66" s="75">
        <v>-0.34139999999999998</v>
      </c>
      <c r="E66" s="75">
        <f>+$C$66/$C$55*100-100</f>
        <v>0.32299410407587459</v>
      </c>
      <c r="F66" s="149">
        <f t="shared" si="2"/>
        <v>0.50333846944017324</v>
      </c>
      <c r="G66" s="78">
        <f t="shared" si="0"/>
        <v>3.8410224902963588</v>
      </c>
      <c r="H66" s="185"/>
      <c r="I66" s="185"/>
      <c r="J66" s="185"/>
    </row>
    <row r="67" spans="1:10" ht="16.5" hidden="1" thickBot="1">
      <c r="A67" s="73">
        <v>1998</v>
      </c>
      <c r="B67" s="74" t="s">
        <v>55</v>
      </c>
      <c r="C67" s="75">
        <v>195.97</v>
      </c>
      <c r="D67" s="75">
        <v>0.15229999999999999</v>
      </c>
      <c r="E67" s="75">
        <f>+(($C$67/$C$55)-1)*100</f>
        <v>0.47167392976159572</v>
      </c>
      <c r="F67" s="149">
        <f t="shared" si="2"/>
        <v>0.47167392976159572</v>
      </c>
      <c r="G67" s="78">
        <f t="shared" si="0"/>
        <v>3.8353384747726262</v>
      </c>
      <c r="H67" s="185"/>
      <c r="I67" s="185"/>
      <c r="J67" s="185"/>
    </row>
    <row r="68" spans="1:10" ht="16.5" hidden="1" thickBot="1">
      <c r="A68" s="73">
        <v>1999</v>
      </c>
      <c r="B68" s="74" t="s">
        <v>56</v>
      </c>
      <c r="C68" s="75">
        <v>198.67</v>
      </c>
      <c r="D68" s="75">
        <v>1.3841000000000001</v>
      </c>
      <c r="E68" s="75">
        <f>+(($C$68/$C$67)-1)*100</f>
        <v>1.3777619023319865</v>
      </c>
      <c r="F68" s="149">
        <f t="shared" si="2"/>
        <v>1.1496242592102135</v>
      </c>
      <c r="G68" s="78">
        <f t="shared" si="0"/>
        <v>3.7832147828116556</v>
      </c>
      <c r="H68" s="185"/>
      <c r="I68" s="185"/>
      <c r="J68" s="185"/>
    </row>
    <row r="69" spans="1:10" ht="16.5" hidden="1" thickBot="1">
      <c r="A69" s="73">
        <v>1999</v>
      </c>
      <c r="B69" s="74" t="s">
        <v>57</v>
      </c>
      <c r="C69" s="75">
        <v>200.96</v>
      </c>
      <c r="D69" s="75">
        <v>1.1474</v>
      </c>
      <c r="E69" s="75">
        <f>+(($C$69/$C$67)-1)*100</f>
        <v>2.5463081083839434</v>
      </c>
      <c r="F69" s="149">
        <f t="shared" si="2"/>
        <v>2.0308692120227567</v>
      </c>
      <c r="G69" s="78">
        <f t="shared" si="0"/>
        <v>3.7401039057583176</v>
      </c>
      <c r="H69" s="185"/>
      <c r="I69" s="185"/>
      <c r="J69" s="185"/>
    </row>
    <row r="70" spans="1:10" ht="16.5" hidden="1" thickBot="1">
      <c r="A70" s="73">
        <v>1999</v>
      </c>
      <c r="B70" s="74" t="s">
        <v>58</v>
      </c>
      <c r="C70" s="75">
        <v>202.93</v>
      </c>
      <c r="D70" s="75">
        <v>0.9839</v>
      </c>
      <c r="E70" s="75">
        <f>+(($C$70/$C$67)-1)*100</f>
        <v>3.5515640149002436</v>
      </c>
      <c r="F70" s="149">
        <f t="shared" si="2"/>
        <v>2.8222537494932975</v>
      </c>
      <c r="G70" s="78">
        <f t="shared" si="0"/>
        <v>3.7037957960931922</v>
      </c>
      <c r="H70" s="185"/>
      <c r="I70" s="185"/>
      <c r="J70" s="185"/>
    </row>
    <row r="71" spans="1:10" ht="16.5" hidden="1" thickBot="1">
      <c r="A71" s="73">
        <v>1999</v>
      </c>
      <c r="B71" s="74" t="s">
        <v>59</v>
      </c>
      <c r="C71" s="75">
        <v>203.15</v>
      </c>
      <c r="D71" s="75">
        <v>0.1085</v>
      </c>
      <c r="E71" s="75">
        <f>+(($C$71/$C$67)-1)*100</f>
        <v>3.663826095831002</v>
      </c>
      <c r="F71" s="149">
        <f t="shared" si="2"/>
        <v>2.7411116168512661</v>
      </c>
      <c r="G71" s="78">
        <f t="shared" ref="G71:G134" si="6">+$C$322/C71</f>
        <v>3.6997847940004505</v>
      </c>
      <c r="H71" s="185"/>
      <c r="I71" s="185"/>
      <c r="J71" s="185"/>
    </row>
    <row r="72" spans="1:10" ht="16.5" hidden="1" thickBot="1">
      <c r="A72" s="73">
        <v>1999</v>
      </c>
      <c r="B72" s="74" t="s">
        <v>60</v>
      </c>
      <c r="C72" s="75">
        <v>203.6</v>
      </c>
      <c r="D72" s="75">
        <v>0.21629999999999999</v>
      </c>
      <c r="E72" s="75">
        <f>+(($C$72/$C$67)-1)*100</f>
        <v>3.8934530795529998</v>
      </c>
      <c r="F72" s="149">
        <f t="shared" si="2"/>
        <v>2.5486048151506013</v>
      </c>
      <c r="G72" s="78">
        <f t="shared" si="6"/>
        <v>3.6916074700451453</v>
      </c>
      <c r="H72" s="185"/>
      <c r="I72" s="185"/>
      <c r="J72" s="185"/>
    </row>
    <row r="73" spans="1:10" ht="16.5" hidden="1" thickBot="1">
      <c r="A73" s="73">
        <v>1999</v>
      </c>
      <c r="B73" s="74" t="s">
        <v>61</v>
      </c>
      <c r="C73" s="75">
        <v>204.29</v>
      </c>
      <c r="D73" s="75">
        <v>0.33979999999999999</v>
      </c>
      <c r="E73" s="75">
        <f>+(($C$73/$C$67)-1)*100</f>
        <v>4.2455477879267178</v>
      </c>
      <c r="F73" s="149">
        <f t="shared" si="2"/>
        <v>2.8443415223520008</v>
      </c>
      <c r="G73" s="78">
        <f t="shared" si="6"/>
        <v>3.6791388756238268</v>
      </c>
      <c r="H73" s="185"/>
      <c r="I73" s="185"/>
      <c r="J73" s="185"/>
    </row>
    <row r="74" spans="1:10" ht="16.5" hidden="1" thickBot="1">
      <c r="A74" s="73">
        <v>1999</v>
      </c>
      <c r="B74" s="74" t="s">
        <v>62</v>
      </c>
      <c r="C74" s="75">
        <v>206.78200000000001</v>
      </c>
      <c r="D74" s="75">
        <v>1.1881999999999999</v>
      </c>
      <c r="E74" s="75">
        <f>+(($C$74/$C$67)-1)*100</f>
        <v>5.5171709955605497</v>
      </c>
      <c r="F74" s="149">
        <f t="shared" si="2"/>
        <v>4.6414655128788951</v>
      </c>
      <c r="G74" s="78">
        <f t="shared" si="6"/>
        <v>3.634800325469294</v>
      </c>
      <c r="H74" s="185"/>
      <c r="I74" s="185"/>
      <c r="J74" s="185"/>
    </row>
    <row r="75" spans="1:10" ht="16.5" hidden="1" thickBot="1">
      <c r="A75" s="73">
        <v>1999</v>
      </c>
      <c r="B75" s="74" t="s">
        <v>63</v>
      </c>
      <c r="C75" s="75">
        <v>207.51</v>
      </c>
      <c r="D75" s="75">
        <v>0.38080000000000003</v>
      </c>
      <c r="E75" s="75">
        <f>+(($C$75/$C$67)-1)*100</f>
        <v>5.8886564270041353</v>
      </c>
      <c r="F75" s="149">
        <f t="shared" si="2"/>
        <v>5.7914861075707202</v>
      </c>
      <c r="G75" s="78">
        <f t="shared" si="6"/>
        <v>3.6220484839342277</v>
      </c>
      <c r="H75" s="185"/>
      <c r="I75" s="185"/>
      <c r="J75" s="185"/>
    </row>
    <row r="76" spans="1:10" ht="16.5" hidden="1" thickBot="1">
      <c r="A76" s="73">
        <v>1999</v>
      </c>
      <c r="B76" s="74" t="s">
        <v>64</v>
      </c>
      <c r="C76" s="75">
        <f>+$C$75*(1+$D$76/100)</f>
        <v>208.27882455</v>
      </c>
      <c r="D76" s="75">
        <v>0.3705</v>
      </c>
      <c r="E76" s="75">
        <f>+(($C$76/$C$67)-1)*100</f>
        <v>6.280973899066189</v>
      </c>
      <c r="F76" s="149">
        <f t="shared" si="2"/>
        <v>6.3026716429336993</v>
      </c>
      <c r="G76" s="78">
        <f t="shared" si="6"/>
        <v>3.6086783307189139</v>
      </c>
      <c r="H76" s="185"/>
      <c r="I76" s="185"/>
      <c r="J76" s="185"/>
    </row>
    <row r="77" spans="1:10" ht="16.5" hidden="1" thickBot="1">
      <c r="A77" s="73">
        <v>1999</v>
      </c>
      <c r="B77" s="74" t="s">
        <v>65</v>
      </c>
      <c r="C77" s="75">
        <f>+$C$76*(1+$D$77/100)</f>
        <v>210.21581761831501</v>
      </c>
      <c r="D77" s="79">
        <v>0.93</v>
      </c>
      <c r="E77" s="75">
        <f>+(($C$77/$C$67)-1)*100</f>
        <v>7.269386956327506</v>
      </c>
      <c r="F77" s="149">
        <f t="shared" si="2"/>
        <v>7.0672392881302892</v>
      </c>
      <c r="G77" s="78">
        <f t="shared" si="6"/>
        <v>3.5754268609124282</v>
      </c>
      <c r="H77" s="185"/>
      <c r="I77" s="185"/>
      <c r="J77" s="185"/>
    </row>
    <row r="78" spans="1:10" ht="16.5" hidden="1" thickBot="1">
      <c r="A78" s="73">
        <v>1999</v>
      </c>
      <c r="B78" s="74" t="s">
        <v>66</v>
      </c>
      <c r="C78" s="75">
        <f>+$C$77*(1+$D$78/100)</f>
        <v>213.03313000603566</v>
      </c>
      <c r="D78" s="79">
        <v>1.3402000000000001</v>
      </c>
      <c r="E78" s="75">
        <f>+(($C$78/$C$67)-1)*100</f>
        <v>8.7070112803162125</v>
      </c>
      <c r="F78" s="149">
        <f t="shared" si="2"/>
        <v>8.8681163154311413</v>
      </c>
      <c r="G78" s="78">
        <f t="shared" si="6"/>
        <v>3.5281426925469144</v>
      </c>
      <c r="H78" s="185"/>
      <c r="I78" s="185"/>
      <c r="J78" s="185"/>
    </row>
    <row r="79" spans="1:10" ht="16.5" hidden="1" thickBot="1">
      <c r="A79" s="73">
        <v>1999</v>
      </c>
      <c r="B79" s="74" t="s">
        <v>55</v>
      </c>
      <c r="C79" s="75">
        <f>+$C$78*(1+$D$79/100)</f>
        <v>214.73164315157379</v>
      </c>
      <c r="D79" s="75">
        <v>0.79730000000000001</v>
      </c>
      <c r="E79" s="75">
        <f>+(($C$79/$C$67)-1)*100</f>
        <v>9.573732281254177</v>
      </c>
      <c r="F79" s="149">
        <f t="shared" si="2"/>
        <v>9.573732281254177</v>
      </c>
      <c r="G79" s="78">
        <f t="shared" si="6"/>
        <v>3.5002353163695004</v>
      </c>
      <c r="H79" s="185"/>
      <c r="I79" s="185"/>
      <c r="J79" s="185"/>
    </row>
    <row r="80" spans="1:10" ht="16.5" hidden="1" thickBot="1">
      <c r="A80" s="73">
        <v>2000</v>
      </c>
      <c r="B80" s="80" t="s">
        <v>56</v>
      </c>
      <c r="C80" s="75">
        <f>+$C$79*(1+$D$80/100)</f>
        <v>217.28909702150906</v>
      </c>
      <c r="D80" s="75">
        <v>1.1910000000000001</v>
      </c>
      <c r="E80" s="75">
        <f>+(($C$80/$C$79)-1)*100</f>
        <v>1.1910000000000087</v>
      </c>
      <c r="F80" s="149">
        <f t="shared" si="2"/>
        <v>9.371871455936521</v>
      </c>
      <c r="G80" s="78">
        <f t="shared" si="6"/>
        <v>3.4590381717440284</v>
      </c>
      <c r="H80" s="185"/>
      <c r="I80" s="185"/>
      <c r="J80" s="185"/>
    </row>
    <row r="81" spans="1:10" ht="16.5" hidden="1" thickBot="1">
      <c r="A81" s="73">
        <v>2000</v>
      </c>
      <c r="B81" s="80" t="s">
        <v>57</v>
      </c>
      <c r="C81" s="75">
        <f>+$C$80*(1+$D$81/100)</f>
        <v>216.84408895080901</v>
      </c>
      <c r="D81" s="75">
        <v>-0.20480000000000001</v>
      </c>
      <c r="E81" s="75">
        <f>+(($C$81/$C$79)-1)*100</f>
        <v>0.98376083200000242</v>
      </c>
      <c r="F81" s="149">
        <f t="shared" si="2"/>
        <v>7.904104772496523</v>
      </c>
      <c r="G81" s="78">
        <f t="shared" si="6"/>
        <v>3.4661368199512888</v>
      </c>
      <c r="H81" s="185"/>
      <c r="I81" s="185"/>
      <c r="J81" s="185"/>
    </row>
    <row r="82" spans="1:10" ht="16.5" hidden="1" thickBot="1">
      <c r="A82" s="73">
        <v>2000</v>
      </c>
      <c r="B82" s="80" t="s">
        <v>58</v>
      </c>
      <c r="C82" s="75">
        <f>+$C$81*(1+$D$82/100)</f>
        <v>218.51834216159821</v>
      </c>
      <c r="D82" s="75">
        <v>0.77210000000000001</v>
      </c>
      <c r="E82" s="75">
        <f>+(($C$82/$C$79)-1)*100</f>
        <v>1.7634564493838933</v>
      </c>
      <c r="F82" s="149">
        <f t="shared" si="2"/>
        <v>7.6816351262002591</v>
      </c>
      <c r="G82" s="78">
        <f t="shared" si="6"/>
        <v>3.4395798241291873</v>
      </c>
      <c r="H82" s="185"/>
      <c r="I82" s="185"/>
      <c r="J82" s="185"/>
    </row>
    <row r="83" spans="1:10" ht="16.5" hidden="1" thickBot="1">
      <c r="A83" s="73">
        <v>2000</v>
      </c>
      <c r="B83" s="80" t="s">
        <v>59</v>
      </c>
      <c r="C83" s="75">
        <f>+$C$82*(1+$D$83/100)</f>
        <v>219.14133795510091</v>
      </c>
      <c r="D83" s="75">
        <v>0.28510000000000002</v>
      </c>
      <c r="E83" s="75">
        <f>+(($C$83/$C$79)-1)*100</f>
        <v>2.0535840637210701</v>
      </c>
      <c r="F83" s="149">
        <f t="shared" si="2"/>
        <v>7.8716898622204878</v>
      </c>
      <c r="G83" s="78">
        <f t="shared" si="6"/>
        <v>3.4298014601662534</v>
      </c>
      <c r="H83" s="185"/>
      <c r="I83" s="185"/>
      <c r="J83" s="185"/>
    </row>
    <row r="84" spans="1:10" ht="16.5" hidden="1" thickBot="1">
      <c r="A84" s="73">
        <v>2000</v>
      </c>
      <c r="B84" s="80" t="s">
        <v>60</v>
      </c>
      <c r="C84" s="75">
        <f>+$C$83*(1+$D$84/100)</f>
        <v>218.70765724728778</v>
      </c>
      <c r="D84" s="75">
        <v>-0.19789999999999999</v>
      </c>
      <c r="E84" s="75">
        <f>+(($C$84/$C$79)-1)*100</f>
        <v>1.8516200208589684</v>
      </c>
      <c r="F84" s="149">
        <f t="shared" si="2"/>
        <v>7.4202638739134574</v>
      </c>
      <c r="G84" s="78">
        <f t="shared" si="6"/>
        <v>3.4366024965068402</v>
      </c>
      <c r="H84" s="185"/>
      <c r="I84" s="185"/>
      <c r="J84" s="185"/>
    </row>
    <row r="85" spans="1:10" ht="16.5" hidden="1" thickBot="1">
      <c r="A85" s="73">
        <v>2000</v>
      </c>
      <c r="B85" s="80" t="s">
        <v>61</v>
      </c>
      <c r="C85" s="75">
        <f>+$C$84*(1+$D$85/100)</f>
        <v>219.04227996287614</v>
      </c>
      <c r="D85" s="75">
        <v>0.153</v>
      </c>
      <c r="E85" s="75">
        <f>+(($C$85/$C$79)-1)*100</f>
        <v>2.0074529994908996</v>
      </c>
      <c r="F85" s="149">
        <f t="shared" si="2"/>
        <v>7.2212442913877961</v>
      </c>
      <c r="G85" s="78">
        <f t="shared" si="6"/>
        <v>3.4313525271403158</v>
      </c>
      <c r="H85" s="185"/>
      <c r="I85" s="185"/>
      <c r="J85" s="185"/>
    </row>
    <row r="86" spans="1:10" ht="16.5" hidden="1" thickBot="1">
      <c r="A86" s="73">
        <v>2000</v>
      </c>
      <c r="B86" s="80" t="s">
        <v>62</v>
      </c>
      <c r="C86" s="75">
        <f>+$C$85*(1+$D$86/100)</f>
        <v>223.70612818784571</v>
      </c>
      <c r="D86" s="75">
        <v>2.1292</v>
      </c>
      <c r="E86" s="75">
        <f>+(($C$86/$C$79)-1)*100</f>
        <v>4.1793956887560491</v>
      </c>
      <c r="F86" s="149">
        <f t="shared" ref="F86:F149" si="7">100*((C86/C74)-1)</f>
        <v>8.1845267904584027</v>
      </c>
      <c r="G86" s="78">
        <f t="shared" si="6"/>
        <v>3.3598153389435299</v>
      </c>
      <c r="H86" s="185"/>
      <c r="I86" s="185"/>
      <c r="J86" s="185"/>
    </row>
    <row r="87" spans="1:10" ht="16.5" hidden="1" thickBot="1">
      <c r="A87" s="73">
        <v>2000</v>
      </c>
      <c r="B87" s="80" t="s">
        <v>63</v>
      </c>
      <c r="C87" s="75">
        <f>+$C$86*(1+$D$87/100)</f>
        <v>226.62862504649172</v>
      </c>
      <c r="D87" s="75">
        <v>1.3064</v>
      </c>
      <c r="E87" s="75">
        <f>+(($C$87/$C$79)-1)*100</f>
        <v>5.5403953140339635</v>
      </c>
      <c r="F87" s="149">
        <f t="shared" si="7"/>
        <v>9.2133511862038997</v>
      </c>
      <c r="G87" s="78">
        <f t="shared" si="6"/>
        <v>3.3164887301725554</v>
      </c>
      <c r="H87" s="185"/>
      <c r="I87" s="185"/>
      <c r="J87" s="185"/>
    </row>
    <row r="88" spans="1:10" ht="16.5" hidden="1" thickBot="1">
      <c r="A88" s="73">
        <v>2000</v>
      </c>
      <c r="B88" s="80" t="s">
        <v>64</v>
      </c>
      <c r="C88" s="75">
        <f>+$C$87*(1+$D$88/100)</f>
        <v>227.55598938018196</v>
      </c>
      <c r="D88" s="75">
        <v>0.40920000000000001</v>
      </c>
      <c r="E88" s="75">
        <f>+(($C$88/$C$79)-1)*100</f>
        <v>5.972266611658994</v>
      </c>
      <c r="F88" s="149">
        <f t="shared" si="7"/>
        <v>9.2554607372264286</v>
      </c>
      <c r="G88" s="78">
        <f t="shared" si="6"/>
        <v>3.3029729648005919</v>
      </c>
      <c r="H88" s="185"/>
      <c r="I88" s="185"/>
      <c r="J88" s="185"/>
    </row>
    <row r="89" spans="1:10" ht="16.5" hidden="1" thickBot="1">
      <c r="A89" s="73">
        <v>2000</v>
      </c>
      <c r="B89" s="80" t="s">
        <v>65</v>
      </c>
      <c r="C89" s="75">
        <f>+$C$88*(1+$D$89/100)</f>
        <v>227.55485160023505</v>
      </c>
      <c r="D89" s="75">
        <v>-5.0000000000000001E-4</v>
      </c>
      <c r="E89" s="75">
        <f>+(($C$89/$C$79)-1)*100</f>
        <v>5.9717367503259178</v>
      </c>
      <c r="F89" s="149">
        <f t="shared" si="7"/>
        <v>8.248206142794734</v>
      </c>
      <c r="G89" s="78">
        <f t="shared" si="6"/>
        <v>3.3029894797479904</v>
      </c>
      <c r="H89" s="185"/>
      <c r="I89" s="185"/>
      <c r="J89" s="185"/>
    </row>
    <row r="90" spans="1:10" ht="16.5" hidden="1" thickBot="1">
      <c r="A90" s="73">
        <v>2000</v>
      </c>
      <c r="B90" s="80" t="s">
        <v>66</v>
      </c>
      <c r="C90" s="75">
        <f>+$C$89*(1+$D$90/100)</f>
        <v>228.32944831508223</v>
      </c>
      <c r="D90" s="75">
        <v>0.34039999999999998</v>
      </c>
      <c r="E90" s="75">
        <f>+(($C$90/$C$79)-1)*100</f>
        <v>6.3324645422240255</v>
      </c>
      <c r="F90" s="149">
        <f t="shared" si="7"/>
        <v>7.1802532820191889</v>
      </c>
      <c r="G90" s="78">
        <f t="shared" si="6"/>
        <v>3.2917842461740143</v>
      </c>
      <c r="H90" s="185"/>
      <c r="I90" s="185"/>
      <c r="J90" s="185"/>
    </row>
    <row r="91" spans="1:10" ht="16.5" hidden="1" thickBot="1">
      <c r="A91" s="73">
        <v>2000</v>
      </c>
      <c r="B91" s="80" t="s">
        <v>55</v>
      </c>
      <c r="C91" s="75">
        <f>+$C$90*(1+$D$91/100)</f>
        <v>230.20882800416371</v>
      </c>
      <c r="D91" s="75">
        <v>0.82310000000000005</v>
      </c>
      <c r="E91" s="75">
        <f>+(($C$91/$C$79)-1)*100</f>
        <v>7.2076870578710928</v>
      </c>
      <c r="F91" s="149">
        <f t="shared" si="7"/>
        <v>7.2076870578710928</v>
      </c>
      <c r="G91" s="78">
        <f t="shared" si="6"/>
        <v>3.2649107656618512</v>
      </c>
      <c r="H91" s="185"/>
      <c r="I91" s="185"/>
      <c r="J91" s="185"/>
    </row>
    <row r="92" spans="1:10" ht="16.5" hidden="1" thickBot="1">
      <c r="A92" s="73">
        <v>2001</v>
      </c>
      <c r="B92" s="80" t="s">
        <v>56</v>
      </c>
      <c r="C92" s="75">
        <f>+$C$91*(1+$D$92/100)</f>
        <v>232.1108133411341</v>
      </c>
      <c r="D92" s="75">
        <v>0.82620000000000005</v>
      </c>
      <c r="E92" s="75">
        <f>+(($C$92/$C$91)-1)*100</f>
        <v>0.82619999999999916</v>
      </c>
      <c r="F92" s="149">
        <f t="shared" si="7"/>
        <v>6.8211965178160083</v>
      </c>
      <c r="G92" s="78">
        <f t="shared" si="6"/>
        <v>3.2381571116057644</v>
      </c>
      <c r="H92" s="185"/>
      <c r="I92" s="185"/>
      <c r="J92" s="185"/>
    </row>
    <row r="93" spans="1:10" ht="16.5" hidden="1" thickBot="1">
      <c r="A93" s="73">
        <v>2001</v>
      </c>
      <c r="B93" s="80" t="s">
        <v>57</v>
      </c>
      <c r="C93" s="75">
        <f>+$C$92*(1+$D$93/100)</f>
        <v>232.64257921449865</v>
      </c>
      <c r="D93" s="75">
        <v>0.2291</v>
      </c>
      <c r="E93" s="75">
        <f>+(($C$93/$C$91)-1)*100</f>
        <v>1.0571928242000039</v>
      </c>
      <c r="F93" s="149">
        <f t="shared" si="7"/>
        <v>7.2856448797520734</v>
      </c>
      <c r="G93" s="78">
        <f t="shared" si="6"/>
        <v>3.230755450867826</v>
      </c>
      <c r="H93" s="185"/>
      <c r="I93" s="185"/>
      <c r="J93" s="185"/>
    </row>
    <row r="94" spans="1:10" ht="16.5" hidden="1" thickBot="1">
      <c r="A94" s="73">
        <v>2001</v>
      </c>
      <c r="B94" s="80" t="s">
        <v>58</v>
      </c>
      <c r="C94" s="75">
        <f t="shared" ref="C94:C103" si="8">+C93*(1+D94/101)</f>
        <v>233.76225800416367</v>
      </c>
      <c r="D94" s="75">
        <v>0.48609999999999998</v>
      </c>
      <c r="E94" s="75">
        <f>+(($C$94/$C$91)-1)*100</f>
        <v>1.5435680859014145</v>
      </c>
      <c r="F94" s="149">
        <f t="shared" si="7"/>
        <v>6.9760349139443401</v>
      </c>
      <c r="G94" s="78">
        <f t="shared" si="6"/>
        <v>3.2152807186171355</v>
      </c>
      <c r="H94" s="185"/>
      <c r="I94" s="185"/>
      <c r="J94" s="185"/>
    </row>
    <row r="95" spans="1:10" ht="16.5" hidden="1" thickBot="1">
      <c r="A95" s="73">
        <v>2001</v>
      </c>
      <c r="B95" s="80" t="s">
        <v>59</v>
      </c>
      <c r="C95" s="75">
        <f t="shared" si="8"/>
        <v>234.66629303363322</v>
      </c>
      <c r="D95" s="75">
        <v>0.3906</v>
      </c>
      <c r="E95" s="75">
        <f t="shared" ref="E95:E103" si="9">+((C95/$C$91)-1)*100</f>
        <v>1.9362702412910604</v>
      </c>
      <c r="F95" s="149">
        <f t="shared" si="7"/>
        <v>7.0844484310455202</v>
      </c>
      <c r="G95" s="78">
        <f t="shared" si="6"/>
        <v>3.2028940807168582</v>
      </c>
      <c r="H95" s="186"/>
      <c r="I95" s="185"/>
      <c r="J95" s="185"/>
    </row>
    <row r="96" spans="1:10" ht="16.5" hidden="1" thickBot="1">
      <c r="A96" s="73">
        <v>2001</v>
      </c>
      <c r="B96" s="80" t="s">
        <v>60</v>
      </c>
      <c r="C96" s="75">
        <f t="shared" si="8"/>
        <v>235.17884139247695</v>
      </c>
      <c r="D96" s="75">
        <v>0.22059999999999999</v>
      </c>
      <c r="E96" s="75">
        <f t="shared" si="9"/>
        <v>2.158915203818057</v>
      </c>
      <c r="F96" s="149">
        <f t="shared" si="7"/>
        <v>7.5311419602312135</v>
      </c>
      <c r="G96" s="78">
        <f t="shared" si="6"/>
        <v>3.1959136989150698</v>
      </c>
      <c r="H96" s="185"/>
      <c r="I96" s="185"/>
      <c r="J96" s="185"/>
    </row>
    <row r="97" spans="1:10" ht="16.5" hidden="1" thickBot="1">
      <c r="A97" s="73">
        <v>2001</v>
      </c>
      <c r="B97" s="80" t="s">
        <v>61</v>
      </c>
      <c r="C97" s="75">
        <f t="shared" si="8"/>
        <v>238.73679455730573</v>
      </c>
      <c r="D97" s="75">
        <v>1.528</v>
      </c>
      <c r="E97" s="75">
        <f t="shared" si="9"/>
        <v>3.7044480991788031</v>
      </c>
      <c r="F97" s="149">
        <f t="shared" si="7"/>
        <v>8.9911932060638975</v>
      </c>
      <c r="G97" s="78">
        <f t="shared" si="6"/>
        <v>3.148284211048904</v>
      </c>
      <c r="H97" s="185"/>
      <c r="I97" s="185"/>
      <c r="J97" s="185"/>
    </row>
    <row r="98" spans="1:10" ht="16.5" hidden="1" thickBot="1">
      <c r="A98" s="73">
        <v>2001</v>
      </c>
      <c r="B98" s="80" t="s">
        <v>62</v>
      </c>
      <c r="C98" s="75">
        <f t="shared" si="8"/>
        <v>243.73821221674933</v>
      </c>
      <c r="D98" s="75">
        <v>2.1158999999999999</v>
      </c>
      <c r="E98" s="75">
        <f t="shared" si="9"/>
        <v>5.877004948020903</v>
      </c>
      <c r="F98" s="149">
        <f t="shared" si="7"/>
        <v>8.954642499593346</v>
      </c>
      <c r="G98" s="78">
        <f t="shared" si="6"/>
        <v>3.0836825874180342</v>
      </c>
      <c r="H98" s="185"/>
      <c r="I98" s="185"/>
      <c r="J98" s="185"/>
    </row>
    <row r="99" spans="1:10" ht="16.5" hidden="1" thickBot="1">
      <c r="A99" s="73">
        <v>2001</v>
      </c>
      <c r="B99" s="80" t="s">
        <v>63</v>
      </c>
      <c r="C99" s="75">
        <f t="shared" si="8"/>
        <v>245.30055002456245</v>
      </c>
      <c r="D99" s="75">
        <v>0.64739999999999998</v>
      </c>
      <c r="E99" s="75">
        <f t="shared" si="9"/>
        <v>6.5556660668659505</v>
      </c>
      <c r="F99" s="149">
        <f t="shared" si="7"/>
        <v>8.2389967173124301</v>
      </c>
      <c r="G99" s="78">
        <f t="shared" si="6"/>
        <v>3.0640423791382903</v>
      </c>
      <c r="H99" s="185"/>
      <c r="I99" s="185"/>
      <c r="J99" s="185"/>
    </row>
    <row r="100" spans="1:10" ht="16.5" hidden="1" thickBot="1">
      <c r="A100" s="73">
        <v>2001</v>
      </c>
      <c r="B100" s="80" t="s">
        <v>64</v>
      </c>
      <c r="C100" s="75">
        <f t="shared" si="8"/>
        <v>246.76628152891715</v>
      </c>
      <c r="D100" s="79">
        <v>0.60350000000000004</v>
      </c>
      <c r="E100" s="75">
        <f t="shared" si="9"/>
        <v>7.1923625467803509</v>
      </c>
      <c r="F100" s="149">
        <f t="shared" si="7"/>
        <v>8.4420068226111145</v>
      </c>
      <c r="G100" s="78">
        <f t="shared" si="6"/>
        <v>3.0458427149947327</v>
      </c>
      <c r="H100" s="185"/>
      <c r="I100" s="185"/>
      <c r="J100" s="185"/>
    </row>
    <row r="101" spans="1:10" ht="16.5" hidden="1" thickBot="1">
      <c r="A101" s="73">
        <v>2001</v>
      </c>
      <c r="B101" s="80" t="s">
        <v>65</v>
      </c>
      <c r="C101" s="75">
        <f t="shared" si="8"/>
        <v>249.68789657299914</v>
      </c>
      <c r="D101" s="79">
        <v>1.1958</v>
      </c>
      <c r="E101" s="75">
        <f t="shared" si="9"/>
        <v>8.4614776669134084</v>
      </c>
      <c r="F101" s="149">
        <f t="shared" si="7"/>
        <v>9.7264658683907435</v>
      </c>
      <c r="G101" s="78">
        <f t="shared" si="6"/>
        <v>3.0102031024217042</v>
      </c>
      <c r="H101" s="185"/>
      <c r="I101" s="185"/>
      <c r="J101" s="185"/>
    </row>
    <row r="102" spans="1:10" ht="16.5" hidden="1" thickBot="1">
      <c r="A102" s="73">
        <v>2001</v>
      </c>
      <c r="B102" s="80" t="s">
        <v>66</v>
      </c>
      <c r="C102" s="75">
        <f t="shared" si="8"/>
        <v>252.10368877627772</v>
      </c>
      <c r="D102" s="79">
        <v>0.97719999999999996</v>
      </c>
      <c r="E102" s="75">
        <f t="shared" si="9"/>
        <v>9.5108693102412332</v>
      </c>
      <c r="F102" s="149">
        <f t="shared" si="7"/>
        <v>10.412253275533834</v>
      </c>
      <c r="G102" s="78">
        <f t="shared" si="6"/>
        <v>2.9813577284392205</v>
      </c>
      <c r="H102" s="185"/>
      <c r="I102" s="185"/>
      <c r="J102" s="185"/>
    </row>
    <row r="103" spans="1:10" ht="16.5" hidden="1" thickBot="1">
      <c r="A103" s="73">
        <v>2001</v>
      </c>
      <c r="B103" s="80" t="s">
        <v>55</v>
      </c>
      <c r="C103" s="75">
        <f t="shared" si="8"/>
        <v>251.70456620365073</v>
      </c>
      <c r="D103" s="79">
        <v>-0.15989999999999999</v>
      </c>
      <c r="E103" s="75">
        <f t="shared" si="9"/>
        <v>9.3374951716005619</v>
      </c>
      <c r="F103" s="149">
        <f t="shared" si="7"/>
        <v>9.3374951716005619</v>
      </c>
      <c r="G103" s="78">
        <f t="shared" si="6"/>
        <v>2.9860852039254349</v>
      </c>
      <c r="H103" s="185"/>
      <c r="I103" s="185"/>
      <c r="J103" s="185"/>
    </row>
    <row r="104" spans="1:10" ht="16.5" hidden="1" thickBot="1">
      <c r="A104" s="73">
        <v>2002</v>
      </c>
      <c r="B104" s="80" t="s">
        <v>56</v>
      </c>
      <c r="C104" s="75">
        <f>+C103*(1+D104/100)</f>
        <v>254.37338971910802</v>
      </c>
      <c r="D104" s="79">
        <v>1.0603</v>
      </c>
      <c r="E104" s="75">
        <f t="shared" ref="E104:E110" si="10">100*((C104/$C$103)-1)</f>
        <v>1.0602999999999918</v>
      </c>
      <c r="F104" s="149">
        <f t="shared" si="7"/>
        <v>9.5913568426708942</v>
      </c>
      <c r="G104" s="78">
        <f t="shared" si="6"/>
        <v>2.9547559268332226</v>
      </c>
      <c r="H104" s="185"/>
      <c r="I104" s="185"/>
      <c r="J104" s="185"/>
    </row>
    <row r="105" spans="1:10" ht="16.5" hidden="1" thickBot="1">
      <c r="A105" s="73">
        <v>2002</v>
      </c>
      <c r="B105" s="80" t="s">
        <v>57</v>
      </c>
      <c r="C105" s="75">
        <f t="shared" ref="C105:C126" si="11">+C104*(1+D105/100)</f>
        <v>254.69771579099987</v>
      </c>
      <c r="D105" s="79">
        <v>0.1275</v>
      </c>
      <c r="E105" s="75">
        <f t="shared" si="10"/>
        <v>1.1891518824999947</v>
      </c>
      <c r="F105" s="149">
        <f t="shared" si="7"/>
        <v>9.4802665320204316</v>
      </c>
      <c r="G105" s="78">
        <f t="shared" si="6"/>
        <v>2.9509934102351729</v>
      </c>
      <c r="H105" s="185"/>
      <c r="I105" s="185"/>
      <c r="J105" s="185"/>
    </row>
    <row r="106" spans="1:10" ht="16.5" hidden="1" thickBot="1">
      <c r="A106" s="73">
        <v>2002</v>
      </c>
      <c r="B106" s="80" t="s">
        <v>58</v>
      </c>
      <c r="C106" s="75">
        <f t="shared" si="11"/>
        <v>255.27358732640334</v>
      </c>
      <c r="D106" s="150">
        <v>0.2261</v>
      </c>
      <c r="E106" s="75">
        <f t="shared" si="10"/>
        <v>1.4179405549063384</v>
      </c>
      <c r="F106" s="149">
        <f t="shared" si="7"/>
        <v>9.2022251606829197</v>
      </c>
      <c r="G106" s="78">
        <f t="shared" si="6"/>
        <v>2.9443362659378871</v>
      </c>
      <c r="H106" s="185"/>
      <c r="I106" s="185"/>
      <c r="J106" s="185"/>
    </row>
    <row r="107" spans="1:10" ht="16.5" hidden="1" thickBot="1">
      <c r="A107" s="73">
        <v>2002</v>
      </c>
      <c r="B107" s="80" t="s">
        <v>59</v>
      </c>
      <c r="C107" s="75">
        <f t="shared" si="11"/>
        <v>257.16516460849198</v>
      </c>
      <c r="D107" s="150">
        <v>0.74099999999999999</v>
      </c>
      <c r="E107" s="75">
        <f t="shared" si="10"/>
        <v>2.1694474944181863</v>
      </c>
      <c r="F107" s="149">
        <f t="shared" si="7"/>
        <v>9.5876025840806012</v>
      </c>
      <c r="G107" s="78">
        <f t="shared" si="6"/>
        <v>2.9226792129697809</v>
      </c>
      <c r="H107" s="186"/>
      <c r="I107" s="185"/>
      <c r="J107" s="185"/>
    </row>
    <row r="108" spans="1:10" ht="16.5" hidden="1" thickBot="1">
      <c r="A108" s="73">
        <v>2002</v>
      </c>
      <c r="B108" s="80" t="s">
        <v>60</v>
      </c>
      <c r="C108" s="75">
        <f t="shared" si="11"/>
        <v>257.42670158089885</v>
      </c>
      <c r="D108" s="150">
        <v>0.1017</v>
      </c>
      <c r="E108" s="75">
        <f t="shared" si="10"/>
        <v>2.2733538225200078</v>
      </c>
      <c r="F108" s="149">
        <f t="shared" si="7"/>
        <v>9.4599752497690268</v>
      </c>
      <c r="G108" s="78">
        <f t="shared" si="6"/>
        <v>2.9197098680339901</v>
      </c>
      <c r="H108" s="185"/>
      <c r="I108" s="185"/>
      <c r="J108" s="185"/>
    </row>
    <row r="109" spans="1:10" ht="16.5" hidden="1" thickBot="1">
      <c r="A109" s="73">
        <v>2002</v>
      </c>
      <c r="B109" s="80" t="s">
        <v>61</v>
      </c>
      <c r="C109" s="75">
        <f t="shared" si="11"/>
        <v>258.97100436368271</v>
      </c>
      <c r="D109" s="150">
        <v>0.59989999999999999</v>
      </c>
      <c r="E109" s="75">
        <f t="shared" si="10"/>
        <v>2.8868916721013438</v>
      </c>
      <c r="F109" s="149">
        <f t="shared" si="7"/>
        <v>8.4755304869941206</v>
      </c>
      <c r="G109" s="78">
        <f t="shared" si="6"/>
        <v>2.9022989764741212</v>
      </c>
      <c r="H109" s="185"/>
      <c r="I109" s="185"/>
      <c r="J109" s="185"/>
    </row>
    <row r="110" spans="1:10" ht="16.5" hidden="1" thickBot="1">
      <c r="A110" s="73">
        <v>2002</v>
      </c>
      <c r="B110" s="80" t="s">
        <v>62</v>
      </c>
      <c r="C110" s="75">
        <f t="shared" si="11"/>
        <v>262.43862611211244</v>
      </c>
      <c r="D110" s="150">
        <v>1.339</v>
      </c>
      <c r="E110" s="75">
        <f t="shared" si="10"/>
        <v>4.2645471515907696</v>
      </c>
      <c r="F110" s="149">
        <f t="shared" si="7"/>
        <v>7.6723357102223222</v>
      </c>
      <c r="G110" s="78">
        <f t="shared" si="6"/>
        <v>2.8639506769102923</v>
      </c>
      <c r="H110" s="185"/>
      <c r="I110" s="185"/>
      <c r="J110" s="185"/>
    </row>
    <row r="111" spans="1:10" ht="16.5" hidden="1" thickBot="1">
      <c r="A111" s="73">
        <v>2002</v>
      </c>
      <c r="B111" s="80" t="s">
        <v>63</v>
      </c>
      <c r="C111" s="75">
        <f t="shared" si="11"/>
        <v>263.49572889809201</v>
      </c>
      <c r="D111" s="150">
        <v>0.40279999999999999</v>
      </c>
      <c r="E111" s="75">
        <f>100*((C111/$C$103)-1)</f>
        <v>4.6845247475173712</v>
      </c>
      <c r="F111" s="149">
        <f t="shared" si="7"/>
        <v>7.4175043112245875</v>
      </c>
      <c r="G111" s="78">
        <f t="shared" si="6"/>
        <v>2.8524609641467098</v>
      </c>
      <c r="H111" s="185"/>
      <c r="I111" s="185"/>
      <c r="J111" s="185"/>
    </row>
    <row r="112" spans="1:10" ht="16.5" hidden="1" thickBot="1">
      <c r="A112" s="73">
        <v>2002</v>
      </c>
      <c r="B112" s="80" t="s">
        <v>64</v>
      </c>
      <c r="C112" s="75">
        <f t="shared" si="11"/>
        <v>266.01053213469538</v>
      </c>
      <c r="D112" s="150">
        <v>0.95440000000000003</v>
      </c>
      <c r="E112" s="75">
        <f>100*((C112/$C$103)-1)</f>
        <v>5.6836338517076701</v>
      </c>
      <c r="F112" s="149">
        <f t="shared" si="7"/>
        <v>7.7985738110346814</v>
      </c>
      <c r="G112" s="78">
        <f t="shared" si="6"/>
        <v>2.8254944451620827</v>
      </c>
      <c r="H112" s="185"/>
      <c r="I112" s="185"/>
      <c r="J112" s="185"/>
    </row>
    <row r="113" spans="1:10" ht="16.5" hidden="1" thickBot="1">
      <c r="A113" s="73">
        <v>2002</v>
      </c>
      <c r="B113" s="80" t="s">
        <v>65</v>
      </c>
      <c r="C113" s="75">
        <f t="shared" si="11"/>
        <v>269.00740678972488</v>
      </c>
      <c r="D113" s="150">
        <v>1.1266</v>
      </c>
      <c r="E113" s="75">
        <f>100*((C113/$C$103)-1)</f>
        <v>6.8742656706810346</v>
      </c>
      <c r="F113" s="149">
        <f t="shared" si="7"/>
        <v>7.7374636423666043</v>
      </c>
      <c r="G113" s="78">
        <f t="shared" si="6"/>
        <v>2.7940170490870679</v>
      </c>
      <c r="H113" s="185"/>
      <c r="I113" s="185"/>
      <c r="J113" s="185"/>
    </row>
    <row r="114" spans="1:10" ht="16.5" hidden="1" thickBot="1">
      <c r="A114" s="73">
        <v>2002</v>
      </c>
      <c r="B114" s="80" t="s">
        <v>66</v>
      </c>
      <c r="C114" s="75">
        <f t="shared" si="11"/>
        <v>277.6145677773689</v>
      </c>
      <c r="D114" s="150">
        <v>3.1996000000000002</v>
      </c>
      <c r="E114" s="75">
        <f>100*((C114/$C$103)-1)</f>
        <v>10.293814675080126</v>
      </c>
      <c r="F114" s="149">
        <f t="shared" si="7"/>
        <v>10.119201002144029</v>
      </c>
      <c r="G114" s="78">
        <f t="shared" si="6"/>
        <v>2.7073913552834195</v>
      </c>
      <c r="H114" s="185"/>
      <c r="I114" s="185"/>
      <c r="J114" s="185"/>
    </row>
    <row r="115" spans="1:10" ht="16.5" hidden="1" thickBot="1">
      <c r="A115" s="73">
        <v>2002</v>
      </c>
      <c r="B115" s="80" t="s">
        <v>55</v>
      </c>
      <c r="C115" s="75">
        <f t="shared" si="11"/>
        <v>284.25288732206133</v>
      </c>
      <c r="D115" s="150">
        <v>2.3912</v>
      </c>
      <c r="E115" s="75">
        <f>100*((C115/$C$103)-1)</f>
        <v>12.931160371590632</v>
      </c>
      <c r="F115" s="149">
        <f t="shared" si="7"/>
        <v>12.931160371590632</v>
      </c>
      <c r="G115" s="78">
        <f t="shared" si="6"/>
        <v>2.6441641032465872</v>
      </c>
      <c r="H115" s="185"/>
      <c r="I115" s="185"/>
      <c r="J115" s="185"/>
    </row>
    <row r="116" spans="1:10" ht="16.5" hidden="1" thickBot="1">
      <c r="A116" s="73">
        <v>2003</v>
      </c>
      <c r="B116" s="80" t="s">
        <v>56</v>
      </c>
      <c r="C116" s="75">
        <f t="shared" si="11"/>
        <v>292.55420864341482</v>
      </c>
      <c r="D116" s="150">
        <v>2.9203999999999999</v>
      </c>
      <c r="E116" s="75">
        <f t="shared" ref="E116:E127" si="12">100*((C116/$C$115)-1)</f>
        <v>2.9204000000000008</v>
      </c>
      <c r="F116" s="149">
        <f t="shared" si="7"/>
        <v>15.00975356206402</v>
      </c>
      <c r="G116" s="78">
        <f t="shared" si="6"/>
        <v>2.5691350823030104</v>
      </c>
      <c r="H116" s="185"/>
      <c r="I116" s="185"/>
      <c r="J116" s="185"/>
    </row>
    <row r="117" spans="1:10" ht="16.5" hidden="1" thickBot="1">
      <c r="A117" s="73">
        <v>2003</v>
      </c>
      <c r="B117" s="80" t="s">
        <v>57</v>
      </c>
      <c r="C117" s="75">
        <f t="shared" si="11"/>
        <v>296.51744050790717</v>
      </c>
      <c r="D117" s="150">
        <v>1.3547</v>
      </c>
      <c r="E117" s="75">
        <f t="shared" si="12"/>
        <v>4.3146626588000059</v>
      </c>
      <c r="F117" s="149">
        <f t="shared" si="7"/>
        <v>16.419356014650631</v>
      </c>
      <c r="G117" s="78">
        <f t="shared" si="6"/>
        <v>2.5347961982059144</v>
      </c>
      <c r="H117" s="185"/>
      <c r="I117" s="185"/>
      <c r="J117" s="185"/>
    </row>
    <row r="118" spans="1:10" ht="16.5" hidden="1" thickBot="1">
      <c r="A118" s="73">
        <v>2003</v>
      </c>
      <c r="B118" s="80" t="s">
        <v>58</v>
      </c>
      <c r="C118" s="75">
        <f t="shared" si="11"/>
        <v>299.64747860990866</v>
      </c>
      <c r="D118" s="150">
        <v>1.0556000000000001</v>
      </c>
      <c r="E118" s="75">
        <f t="shared" si="12"/>
        <v>5.4158082378263028</v>
      </c>
      <c r="F118" s="149">
        <f t="shared" si="7"/>
        <v>17.382876053983232</v>
      </c>
      <c r="G118" s="78">
        <f t="shared" si="6"/>
        <v>2.5083183892885841</v>
      </c>
      <c r="H118" s="185"/>
      <c r="I118" s="185"/>
      <c r="J118" s="185"/>
    </row>
    <row r="119" spans="1:10" ht="16.5" hidden="1" thickBot="1">
      <c r="A119" s="73">
        <v>2003</v>
      </c>
      <c r="B119" s="80" t="s">
        <v>59</v>
      </c>
      <c r="C119" s="75">
        <f t="shared" si="11"/>
        <v>303.80089231092057</v>
      </c>
      <c r="D119" s="150">
        <v>1.3861000000000001</v>
      </c>
      <c r="E119" s="75">
        <f t="shared" si="12"/>
        <v>6.8769767558108041</v>
      </c>
      <c r="F119" s="149">
        <f t="shared" si="7"/>
        <v>18.134543134341996</v>
      </c>
      <c r="G119" s="78">
        <f t="shared" si="6"/>
        <v>2.4740259160659934</v>
      </c>
      <c r="H119" s="186"/>
      <c r="I119" s="185"/>
      <c r="J119" s="185"/>
    </row>
    <row r="120" spans="1:10" ht="16.5" hidden="1" thickBot="1">
      <c r="A120" s="73">
        <v>2003</v>
      </c>
      <c r="B120" s="80" t="s">
        <v>60</v>
      </c>
      <c r="C120" s="75">
        <f t="shared" si="11"/>
        <v>304.52393843462056</v>
      </c>
      <c r="D120" s="150">
        <v>0.23799999999999999</v>
      </c>
      <c r="E120" s="75">
        <f t="shared" si="12"/>
        <v>7.1313439604896445</v>
      </c>
      <c r="F120" s="149">
        <f t="shared" si="7"/>
        <v>18.295396928325601</v>
      </c>
      <c r="G120" s="78">
        <f t="shared" si="6"/>
        <v>2.4681517149843311</v>
      </c>
      <c r="H120" s="185"/>
      <c r="I120" s="185"/>
      <c r="J120" s="185"/>
    </row>
    <row r="121" spans="1:10" ht="16.5" hidden="1" thickBot="1">
      <c r="A121" s="73">
        <v>2003</v>
      </c>
      <c r="B121" s="80" t="s">
        <v>61</v>
      </c>
      <c r="C121" s="75">
        <f t="shared" si="11"/>
        <v>303.73217619469051</v>
      </c>
      <c r="D121" s="150">
        <v>-0.26</v>
      </c>
      <c r="E121" s="75">
        <f t="shared" si="12"/>
        <v>6.8528024661923537</v>
      </c>
      <c r="F121" s="149">
        <f t="shared" si="7"/>
        <v>17.284240736135857</v>
      </c>
      <c r="G121" s="78">
        <f t="shared" si="6"/>
        <v>2.4745856376422011</v>
      </c>
      <c r="H121" s="185"/>
      <c r="I121" s="185"/>
      <c r="J121" s="185"/>
    </row>
    <row r="122" spans="1:10" ht="16.5" hidden="1" thickBot="1">
      <c r="A122" s="73">
        <v>2003</v>
      </c>
      <c r="B122" s="80" t="s">
        <v>62</v>
      </c>
      <c r="C122" s="75">
        <f t="shared" si="11"/>
        <v>304.78946790002425</v>
      </c>
      <c r="D122" s="150">
        <v>0.34810000000000002</v>
      </c>
      <c r="E122" s="75">
        <f t="shared" si="12"/>
        <v>7.2247570715771703</v>
      </c>
      <c r="F122" s="149">
        <f t="shared" si="7"/>
        <v>16.137427030203909</v>
      </c>
      <c r="G122" s="78">
        <f t="shared" si="6"/>
        <v>2.4660014864678064</v>
      </c>
      <c r="H122" s="185"/>
      <c r="I122" s="185"/>
      <c r="J122" s="185"/>
    </row>
    <row r="123" spans="1:10" ht="16.5" hidden="1" thickBot="1">
      <c r="A123" s="73">
        <v>2003</v>
      </c>
      <c r="B123" s="80" t="s">
        <v>63</v>
      </c>
      <c r="C123" s="75">
        <f t="shared" si="11"/>
        <v>304.3399034348717</v>
      </c>
      <c r="D123" s="150">
        <v>-0.14749999999999999</v>
      </c>
      <c r="E123" s="75">
        <f t="shared" si="12"/>
        <v>7.0666005548965849</v>
      </c>
      <c r="F123" s="149">
        <f t="shared" si="7"/>
        <v>15.500886753491304</v>
      </c>
      <c r="G123" s="78">
        <f t="shared" si="6"/>
        <v>2.4696442116800346</v>
      </c>
      <c r="H123" s="185"/>
      <c r="I123" s="185"/>
      <c r="J123" s="185"/>
    </row>
    <row r="124" spans="1:10" ht="16.5" hidden="1" thickBot="1">
      <c r="A124" s="73">
        <v>2003</v>
      </c>
      <c r="B124" s="80" t="s">
        <v>64</v>
      </c>
      <c r="C124" s="75">
        <f t="shared" si="11"/>
        <v>308.18706415419189</v>
      </c>
      <c r="D124" s="150">
        <v>1.2641</v>
      </c>
      <c r="E124" s="75">
        <f t="shared" si="12"/>
        <v>8.4200294525110344</v>
      </c>
      <c r="F124" s="149">
        <f t="shared" si="7"/>
        <v>15.855211326046392</v>
      </c>
      <c r="G124" s="78">
        <f t="shared" si="6"/>
        <v>2.4388151493767629</v>
      </c>
      <c r="H124" s="185"/>
      <c r="I124" s="185"/>
      <c r="J124" s="185"/>
    </row>
    <row r="125" spans="1:10" ht="16.5" hidden="1" thickBot="1">
      <c r="A125" s="73">
        <v>2003</v>
      </c>
      <c r="B125" s="80" t="s">
        <v>65</v>
      </c>
      <c r="C125" s="75">
        <f t="shared" si="11"/>
        <v>309.63739247810156</v>
      </c>
      <c r="D125" s="150">
        <v>0.47060000000000002</v>
      </c>
      <c r="E125" s="75">
        <f t="shared" si="12"/>
        <v>8.9302541111145661</v>
      </c>
      <c r="F125" s="149">
        <f t="shared" si="7"/>
        <v>15.103668026559557</v>
      </c>
      <c r="G125" s="78">
        <f t="shared" si="6"/>
        <v>2.4273918433619017</v>
      </c>
      <c r="H125" s="185"/>
      <c r="I125" s="185"/>
      <c r="J125" s="185"/>
    </row>
    <row r="126" spans="1:10" ht="16.5" hidden="1" thickBot="1">
      <c r="A126" s="73">
        <v>2003</v>
      </c>
      <c r="B126" s="80" t="s">
        <v>66</v>
      </c>
      <c r="C126" s="75">
        <f t="shared" si="11"/>
        <v>310.43316057677026</v>
      </c>
      <c r="D126" s="150">
        <v>0.25700000000000001</v>
      </c>
      <c r="E126" s="75">
        <f t="shared" si="12"/>
        <v>9.2102048641801169</v>
      </c>
      <c r="F126" s="149">
        <f t="shared" si="7"/>
        <v>11.821639282892393</v>
      </c>
      <c r="G126" s="78">
        <f t="shared" si="6"/>
        <v>2.4211694379064821</v>
      </c>
      <c r="H126" s="185"/>
      <c r="I126" s="185"/>
      <c r="J126" s="185"/>
    </row>
    <row r="127" spans="1:10" ht="16.5" hidden="1" thickBot="1">
      <c r="A127" s="73">
        <v>2003</v>
      </c>
      <c r="B127" s="80" t="s">
        <v>55</v>
      </c>
      <c r="C127" s="75">
        <f>+C126*(1+D127/100)</f>
        <v>311.4135084978717</v>
      </c>
      <c r="D127" s="150">
        <v>0.31580000000000003</v>
      </c>
      <c r="E127" s="75">
        <f t="shared" si="12"/>
        <v>9.5550906911411992</v>
      </c>
      <c r="F127" s="149">
        <f t="shared" si="7"/>
        <v>9.5550906911411992</v>
      </c>
      <c r="G127" s="78">
        <f t="shared" si="6"/>
        <v>2.4135474550434548</v>
      </c>
      <c r="H127" s="185"/>
      <c r="I127" s="185"/>
      <c r="J127" s="185"/>
    </row>
    <row r="128" spans="1:10" ht="16.5" hidden="1" thickBot="1">
      <c r="A128" s="73">
        <v>2004</v>
      </c>
      <c r="B128" s="80" t="s">
        <v>56</v>
      </c>
      <c r="C128" s="75">
        <f>+C127*(1+D128/100)</f>
        <v>315.95827724088963</v>
      </c>
      <c r="D128" s="150">
        <v>1.4594</v>
      </c>
      <c r="E128" s="75">
        <f t="shared" ref="E128:E139" si="13">100*((C128/$C$127)-1)</f>
        <v>1.4593999999999996</v>
      </c>
      <c r="F128" s="149">
        <f t="shared" si="7"/>
        <v>7.9999083609155308</v>
      </c>
      <c r="G128" s="78">
        <f t="shared" si="6"/>
        <v>2.3788307983720136</v>
      </c>
      <c r="H128" s="185"/>
      <c r="I128" s="185"/>
      <c r="J128" s="185"/>
    </row>
    <row r="129" spans="1:10" ht="16.5" hidden="1" thickBot="1">
      <c r="A129" s="73">
        <v>2004</v>
      </c>
      <c r="B129" s="80" t="s">
        <v>57</v>
      </c>
      <c r="C129" s="75">
        <f t="shared" ref="C129:C192" si="14">+C128*(1+D129/100)</f>
        <v>315.37944167698436</v>
      </c>
      <c r="D129" s="150">
        <v>-0.1832</v>
      </c>
      <c r="E129" s="75">
        <f t="shared" si="13"/>
        <v>1.2735263792000184</v>
      </c>
      <c r="F129" s="149">
        <f t="shared" si="7"/>
        <v>6.3611776551046439</v>
      </c>
      <c r="G129" s="78">
        <f t="shared" si="6"/>
        <v>2.3831968149369782</v>
      </c>
      <c r="H129" s="185"/>
      <c r="I129" s="185"/>
      <c r="J129" s="185"/>
    </row>
    <row r="130" spans="1:10" ht="16.5" hidden="1" thickBot="1">
      <c r="A130" s="73">
        <v>2004</v>
      </c>
      <c r="B130" s="80" t="s">
        <v>58</v>
      </c>
      <c r="C130" s="75">
        <f t="shared" si="14"/>
        <v>316.84942525464078</v>
      </c>
      <c r="D130" s="150">
        <v>0.46610000000000001</v>
      </c>
      <c r="E130" s="75">
        <f t="shared" si="13"/>
        <v>1.7455622856534569</v>
      </c>
      <c r="F130" s="149">
        <f t="shared" si="7"/>
        <v>5.7407279796023891</v>
      </c>
      <c r="G130" s="78">
        <f t="shared" si="6"/>
        <v>2.3721402691425046</v>
      </c>
      <c r="H130" s="185"/>
      <c r="I130" s="185"/>
      <c r="J130" s="185"/>
    </row>
    <row r="131" spans="1:10" ht="16.5" hidden="1" thickBot="1">
      <c r="A131" s="73">
        <v>2004</v>
      </c>
      <c r="B131" s="80" t="s">
        <v>59</v>
      </c>
      <c r="C131" s="75">
        <f t="shared" si="14"/>
        <v>317.04745614542497</v>
      </c>
      <c r="D131" s="150">
        <v>6.25E-2</v>
      </c>
      <c r="E131" s="75">
        <f t="shared" si="13"/>
        <v>1.8091532620819972</v>
      </c>
      <c r="F131" s="149">
        <f t="shared" si="7"/>
        <v>4.3602781195742457</v>
      </c>
      <c r="G131" s="78">
        <f t="shared" si="6"/>
        <v>2.3706586075128091</v>
      </c>
      <c r="H131" s="186"/>
      <c r="I131" s="185"/>
      <c r="J131" s="185"/>
    </row>
    <row r="132" spans="1:10" ht="16.5" hidden="1" thickBot="1">
      <c r="A132" s="73">
        <v>2004</v>
      </c>
      <c r="B132" s="80" t="s">
        <v>60</v>
      </c>
      <c r="C132" s="75">
        <f t="shared" si="14"/>
        <v>318.4037851628151</v>
      </c>
      <c r="D132" s="150">
        <v>0.42780000000000001</v>
      </c>
      <c r="E132" s="75">
        <f t="shared" si="13"/>
        <v>2.2446928197371818</v>
      </c>
      <c r="F132" s="149">
        <f t="shared" si="7"/>
        <v>4.5578836263391098</v>
      </c>
      <c r="G132" s="78">
        <f t="shared" si="6"/>
        <v>2.3605601312712308</v>
      </c>
      <c r="H132" s="185"/>
      <c r="I132" s="185"/>
      <c r="J132" s="185"/>
    </row>
    <row r="133" spans="1:10" ht="16.5" hidden="1" thickBot="1">
      <c r="A133" s="73">
        <v>2004</v>
      </c>
      <c r="B133" s="80" t="s">
        <v>61</v>
      </c>
      <c r="C133" s="75">
        <f t="shared" si="14"/>
        <v>321.97850445883807</v>
      </c>
      <c r="D133" s="150">
        <v>1.1227</v>
      </c>
      <c r="E133" s="75">
        <f t="shared" si="13"/>
        <v>3.3925939860244059</v>
      </c>
      <c r="F133" s="149">
        <f t="shared" si="7"/>
        <v>6.0073741586244678</v>
      </c>
      <c r="G133" s="78">
        <f t="shared" si="6"/>
        <v>2.3343523573552036</v>
      </c>
      <c r="H133" s="185"/>
      <c r="I133" s="185"/>
      <c r="J133" s="185"/>
    </row>
    <row r="134" spans="1:10" ht="16.5" hidden="1" thickBot="1">
      <c r="A134" s="73">
        <v>2004</v>
      </c>
      <c r="B134" s="80" t="s">
        <v>62</v>
      </c>
      <c r="C134" s="75">
        <f t="shared" si="14"/>
        <v>325.88635756745504</v>
      </c>
      <c r="D134" s="150">
        <v>1.2137</v>
      </c>
      <c r="E134" s="75">
        <f t="shared" si="13"/>
        <v>4.6474698992327923</v>
      </c>
      <c r="F134" s="149">
        <f t="shared" si="7"/>
        <v>6.921790904648617</v>
      </c>
      <c r="G134" s="78">
        <f t="shared" si="6"/>
        <v>2.3063600652433447</v>
      </c>
      <c r="H134" s="185"/>
      <c r="I134" s="185"/>
      <c r="J134" s="185"/>
    </row>
    <row r="135" spans="1:10" ht="16.5" hidden="1" thickBot="1">
      <c r="A135" s="73">
        <v>2004</v>
      </c>
      <c r="B135" s="80" t="s">
        <v>77</v>
      </c>
      <c r="C135" s="75">
        <f t="shared" si="14"/>
        <v>328.12226386672535</v>
      </c>
      <c r="D135" s="150">
        <v>0.68610000000000004</v>
      </c>
      <c r="E135" s="75">
        <f t="shared" si="13"/>
        <v>5.3654561902114262</v>
      </c>
      <c r="F135" s="149">
        <f t="shared" si="7"/>
        <v>7.8144075632011312</v>
      </c>
      <c r="G135" s="78">
        <f t="shared" ref="G135:G198" si="15">+$C$322/C135</f>
        <v>2.2906439570539971</v>
      </c>
      <c r="H135" s="185"/>
      <c r="I135" s="185"/>
      <c r="J135" s="185"/>
    </row>
    <row r="136" spans="1:10" ht="16.5" hidden="1" thickBot="1">
      <c r="A136" s="73">
        <v>2004</v>
      </c>
      <c r="B136" s="80" t="s">
        <v>79</v>
      </c>
      <c r="C136" s="75">
        <f t="shared" si="14"/>
        <v>329.08136524400777</v>
      </c>
      <c r="D136" s="150">
        <v>0.2923</v>
      </c>
      <c r="E136" s="75">
        <f t="shared" si="13"/>
        <v>5.6734394186554127</v>
      </c>
      <c r="F136" s="149">
        <f t="shared" si="7"/>
        <v>6.7797463034860117</v>
      </c>
      <c r="G136" s="78">
        <f t="shared" si="15"/>
        <v>2.283967918827265</v>
      </c>
      <c r="H136" s="185"/>
      <c r="I136" s="185"/>
      <c r="J136" s="185"/>
    </row>
    <row r="137" spans="1:10" ht="16.5" hidden="1" thickBot="1">
      <c r="A137" s="73">
        <v>2004</v>
      </c>
      <c r="B137" s="80" t="s">
        <v>78</v>
      </c>
      <c r="C137" s="75">
        <f t="shared" si="14"/>
        <v>330.82615464253149</v>
      </c>
      <c r="D137" s="150">
        <v>0.5302</v>
      </c>
      <c r="E137" s="75">
        <f t="shared" si="13"/>
        <v>6.2337199944531241</v>
      </c>
      <c r="F137" s="149">
        <f t="shared" si="7"/>
        <v>6.8430889418268359</v>
      </c>
      <c r="G137" s="78">
        <f t="shared" si="15"/>
        <v>2.2719221873897251</v>
      </c>
      <c r="H137" s="185"/>
      <c r="I137" s="185"/>
      <c r="J137" s="185"/>
    </row>
    <row r="138" spans="1:10" ht="16.5" hidden="1" thickBot="1">
      <c r="A138" s="73">
        <v>2004</v>
      </c>
      <c r="B138" s="80" t="s">
        <v>68</v>
      </c>
      <c r="C138" s="75">
        <f t="shared" si="14"/>
        <v>333.58094403223987</v>
      </c>
      <c r="D138" s="150">
        <v>0.8327</v>
      </c>
      <c r="E138" s="75">
        <f t="shared" si="13"/>
        <v>7.1183281808469445</v>
      </c>
      <c r="F138" s="149">
        <f t="shared" si="7"/>
        <v>7.4566078612420483</v>
      </c>
      <c r="G138" s="78">
        <f t="shared" si="15"/>
        <v>2.2531601230451281</v>
      </c>
      <c r="H138" s="185"/>
      <c r="I138" s="185"/>
      <c r="J138" s="185"/>
    </row>
    <row r="139" spans="1:10" ht="16.5" hidden="1" thickBot="1">
      <c r="A139" s="73" t="s">
        <v>114</v>
      </c>
      <c r="B139" s="80" t="s">
        <v>69</v>
      </c>
      <c r="C139" s="75">
        <f t="shared" si="14"/>
        <v>335.38061322529381</v>
      </c>
      <c r="D139" s="150">
        <v>0.53949999999999998</v>
      </c>
      <c r="E139" s="75">
        <f t="shared" si="13"/>
        <v>7.696231561382616</v>
      </c>
      <c r="F139" s="149">
        <f t="shared" si="7"/>
        <v>7.696231561382616</v>
      </c>
      <c r="G139" s="78">
        <f t="shared" si="15"/>
        <v>2.2410695528077302</v>
      </c>
      <c r="H139" s="185"/>
      <c r="I139" s="185"/>
      <c r="J139" s="185"/>
    </row>
    <row r="140" spans="1:10" ht="16.5" hidden="1" thickBot="1">
      <c r="A140" s="73">
        <v>2005</v>
      </c>
      <c r="B140" s="80" t="s">
        <v>70</v>
      </c>
      <c r="C140" s="75">
        <f t="shared" si="14"/>
        <v>338.44364436588046</v>
      </c>
      <c r="D140" s="150">
        <v>0.9133</v>
      </c>
      <c r="E140" s="75">
        <f t="shared" ref="E140:E146" si="16">100*((C140/$C$139)-1)</f>
        <v>0.91330000000000577</v>
      </c>
      <c r="F140" s="149">
        <f t="shared" si="7"/>
        <v>7.1165621364139175</v>
      </c>
      <c r="G140" s="78">
        <f t="shared" si="15"/>
        <v>2.2207871041852063</v>
      </c>
      <c r="H140" s="185"/>
      <c r="I140" s="185"/>
      <c r="J140" s="185"/>
    </row>
    <row r="141" spans="1:10" ht="16.5" hidden="1" thickBot="1">
      <c r="A141" s="73">
        <v>2005</v>
      </c>
      <c r="B141" s="80" t="s">
        <v>71</v>
      </c>
      <c r="C141" s="75">
        <f t="shared" si="14"/>
        <v>339.53410978802737</v>
      </c>
      <c r="D141" s="150">
        <v>0.32219999999999999</v>
      </c>
      <c r="E141" s="75">
        <f t="shared" si="16"/>
        <v>1.2384426526000247</v>
      </c>
      <c r="F141" s="149">
        <f t="shared" si="7"/>
        <v>7.6589228462718095</v>
      </c>
      <c r="G141" s="78">
        <f t="shared" si="15"/>
        <v>2.2136547087137308</v>
      </c>
      <c r="H141" s="185"/>
      <c r="I141" s="185"/>
      <c r="J141" s="185"/>
    </row>
    <row r="142" spans="1:10" ht="16.5" hidden="1" thickBot="1">
      <c r="A142" s="73">
        <v>2005</v>
      </c>
      <c r="B142" s="80" t="s">
        <v>72</v>
      </c>
      <c r="C142" s="75">
        <f t="shared" si="14"/>
        <v>342.28807095251807</v>
      </c>
      <c r="D142" s="150">
        <v>0.81110000000000004</v>
      </c>
      <c r="E142" s="75">
        <f t="shared" si="16"/>
        <v>2.0595876609552644</v>
      </c>
      <c r="F142" s="149">
        <f t="shared" si="7"/>
        <v>8.0286229578712778</v>
      </c>
      <c r="G142" s="78">
        <f t="shared" si="15"/>
        <v>2.1958442162755198</v>
      </c>
      <c r="H142" s="185"/>
      <c r="I142" s="185"/>
      <c r="J142" s="185"/>
    </row>
    <row r="143" spans="1:10" ht="16.5" hidden="1" thickBot="1">
      <c r="A143" s="73">
        <v>2005</v>
      </c>
      <c r="B143" s="80" t="s">
        <v>73</v>
      </c>
      <c r="C143" s="75">
        <f t="shared" si="14"/>
        <v>344.00088045956448</v>
      </c>
      <c r="D143" s="150">
        <v>0.50039999999999996</v>
      </c>
      <c r="E143" s="75">
        <f t="shared" si="16"/>
        <v>2.5702938376106932</v>
      </c>
      <c r="F143" s="149">
        <f>100*((C143/C131)-1)</f>
        <v>8.5013848216389363</v>
      </c>
      <c r="G143" s="78">
        <f t="shared" si="15"/>
        <v>2.1849109220217229</v>
      </c>
      <c r="H143" s="186"/>
      <c r="I143" s="185"/>
      <c r="J143" s="185"/>
    </row>
    <row r="144" spans="1:10" ht="16.5" hidden="1" thickBot="1">
      <c r="A144" s="73">
        <v>2005</v>
      </c>
      <c r="B144" s="80" t="s">
        <v>74</v>
      </c>
      <c r="C144" s="75">
        <f t="shared" si="14"/>
        <v>345.353147920651</v>
      </c>
      <c r="D144" s="150">
        <v>0.3931</v>
      </c>
      <c r="E144" s="75">
        <f t="shared" si="16"/>
        <v>2.9734976626863308</v>
      </c>
      <c r="F144" s="149">
        <f t="shared" si="7"/>
        <v>8.4638952216147256</v>
      </c>
      <c r="G144" s="78">
        <f t="shared" si="15"/>
        <v>2.1763556678912428</v>
      </c>
      <c r="H144" s="185"/>
      <c r="I144" s="185"/>
      <c r="J144" s="185"/>
    </row>
    <row r="145" spans="1:10" ht="16.5" hidden="1" thickBot="1">
      <c r="A145" s="73">
        <v>2005</v>
      </c>
      <c r="B145" s="80" t="s">
        <v>75</v>
      </c>
      <c r="C145" s="75">
        <f t="shared" si="14"/>
        <v>344.77053716010886</v>
      </c>
      <c r="D145" s="150">
        <v>-0.16869999999999999</v>
      </c>
      <c r="E145" s="75">
        <f t="shared" si="16"/>
        <v>2.7997813721293729</v>
      </c>
      <c r="F145" s="149">
        <f t="shared" si="7"/>
        <v>7.0787435762453388</v>
      </c>
      <c r="G145" s="78">
        <f t="shared" si="15"/>
        <v>2.1800333842104056</v>
      </c>
      <c r="H145" s="185"/>
      <c r="I145" s="185"/>
      <c r="J145" s="185"/>
    </row>
    <row r="146" spans="1:10" ht="16.5" hidden="1" thickBot="1">
      <c r="A146" s="73">
        <v>2005</v>
      </c>
      <c r="B146" s="80" t="s">
        <v>76</v>
      </c>
      <c r="C146" s="75">
        <f t="shared" si="14"/>
        <v>344.1685678022273</v>
      </c>
      <c r="D146" s="150">
        <v>-0.17460000000000001</v>
      </c>
      <c r="E146" s="75">
        <f t="shared" si="16"/>
        <v>2.6202929538536424</v>
      </c>
      <c r="F146" s="149">
        <f t="shared" si="7"/>
        <v>5.6099955736834017</v>
      </c>
      <c r="G146" s="78">
        <f t="shared" si="15"/>
        <v>2.183846379989868</v>
      </c>
      <c r="H146" s="187"/>
      <c r="I146" s="185"/>
      <c r="J146" s="185"/>
    </row>
    <row r="147" spans="1:10" ht="16.5" hidden="1" thickBot="1">
      <c r="A147" s="73">
        <v>2005</v>
      </c>
      <c r="B147" s="80" t="s">
        <v>77</v>
      </c>
      <c r="C147" s="75">
        <f t="shared" si="14"/>
        <v>344.16340527371028</v>
      </c>
      <c r="D147" s="150">
        <v>-1.5E-3</v>
      </c>
      <c r="E147" s="75">
        <f>100*((C147/$C$139)-1)</f>
        <v>2.6187536494593378</v>
      </c>
      <c r="F147" s="149">
        <f t="shared" si="7"/>
        <v>4.8887695756909766</v>
      </c>
      <c r="G147" s="78">
        <f t="shared" si="15"/>
        <v>2.1838791381769407</v>
      </c>
      <c r="H147" s="185"/>
      <c r="I147" s="185"/>
      <c r="J147" s="185"/>
    </row>
    <row r="148" spans="1:10" ht="16.5" hidden="1" thickBot="1">
      <c r="A148" s="83">
        <v>2005</v>
      </c>
      <c r="B148" s="80" t="s">
        <v>79</v>
      </c>
      <c r="C148" s="75">
        <f t="shared" si="14"/>
        <v>346.64207011849152</v>
      </c>
      <c r="D148" s="150">
        <v>0.72019999999999995</v>
      </c>
      <c r="E148" s="75">
        <f>100*((C148/$C$139)-1)</f>
        <v>3.3578139132427243</v>
      </c>
      <c r="F148" s="149">
        <f t="shared" si="7"/>
        <v>5.3362805461387275</v>
      </c>
      <c r="G148" s="78">
        <f t="shared" si="15"/>
        <v>2.1682633058482219</v>
      </c>
      <c r="H148" s="185"/>
      <c r="I148" s="185"/>
      <c r="J148" s="185"/>
    </row>
    <row r="149" spans="1:10" ht="16.5" hidden="1" thickBot="1">
      <c r="A149" s="83">
        <v>2005</v>
      </c>
      <c r="B149" s="80" t="s">
        <v>78</v>
      </c>
      <c r="C149" s="75">
        <f t="shared" si="14"/>
        <v>348.60683737192312</v>
      </c>
      <c r="D149" s="150">
        <v>0.56679999999999997</v>
      </c>
      <c r="E149" s="75">
        <f>100*((C149/$C$139)-1)</f>
        <v>3.9436460025029874</v>
      </c>
      <c r="F149" s="149">
        <f t="shared" si="7"/>
        <v>5.3746302944530644</v>
      </c>
      <c r="G149" s="78">
        <f t="shared" si="15"/>
        <v>2.1560428549463859</v>
      </c>
      <c r="H149" s="185"/>
      <c r="I149" s="185"/>
      <c r="J149" s="185"/>
    </row>
    <row r="150" spans="1:10" ht="16.5" hidden="1" thickBot="1">
      <c r="A150" s="83">
        <v>2005</v>
      </c>
      <c r="B150" s="80" t="s">
        <v>68</v>
      </c>
      <c r="C150" s="75">
        <f t="shared" si="14"/>
        <v>349.93468081547275</v>
      </c>
      <c r="D150" s="150">
        <v>0.38090000000000002</v>
      </c>
      <c r="E150" s="75">
        <f>100*((C150/$C$139)-1)</f>
        <v>4.3395673501265053</v>
      </c>
      <c r="F150" s="149">
        <f t="shared" ref="F150:F213" si="17">100*((C150/C138)-1)</f>
        <v>4.9024793159804458</v>
      </c>
      <c r="G150" s="78">
        <f t="shared" si="15"/>
        <v>2.1478616499218339</v>
      </c>
      <c r="H150" s="185"/>
      <c r="I150" s="185"/>
      <c r="J150" s="185"/>
    </row>
    <row r="151" spans="1:10" ht="16.5" hidden="1" thickBot="1">
      <c r="A151" s="83">
        <v>2005</v>
      </c>
      <c r="B151" s="80" t="s">
        <v>69</v>
      </c>
      <c r="C151" s="75">
        <f t="shared" si="14"/>
        <v>350.61215435753149</v>
      </c>
      <c r="D151" s="150">
        <v>0.19359999999999999</v>
      </c>
      <c r="E151" s="75">
        <f>100*((C151/$C$139)-1)</f>
        <v>4.5415687525163451</v>
      </c>
      <c r="F151" s="149">
        <f t="shared" si="17"/>
        <v>4.5415687525163451</v>
      </c>
      <c r="G151" s="78">
        <f t="shared" si="15"/>
        <v>2.1437114246038007</v>
      </c>
      <c r="H151" s="185"/>
      <c r="I151" s="185"/>
      <c r="J151" s="185"/>
    </row>
    <row r="152" spans="1:10" ht="16.5" hidden="1" thickBot="1">
      <c r="A152" s="83">
        <v>2006</v>
      </c>
      <c r="B152" s="80" t="s">
        <v>70</v>
      </c>
      <c r="C152" s="75">
        <f t="shared" si="14"/>
        <v>353.14462594845594</v>
      </c>
      <c r="D152" s="150">
        <v>0.72230000000000005</v>
      </c>
      <c r="E152" s="75">
        <f t="shared" ref="E152:E158" si="18">100*((C152/$C$151)-1)</f>
        <v>0.72229999999999794</v>
      </c>
      <c r="F152" s="149">
        <f t="shared" si="17"/>
        <v>4.3437014780170369</v>
      </c>
      <c r="G152" s="78">
        <f t="shared" si="15"/>
        <v>2.1283384360799951</v>
      </c>
      <c r="H152" s="185"/>
      <c r="I152" s="185"/>
      <c r="J152" s="185"/>
    </row>
    <row r="153" spans="1:10" ht="16.5" hidden="1" thickBot="1">
      <c r="A153" s="73">
        <v>2006</v>
      </c>
      <c r="B153" s="80" t="s">
        <v>57</v>
      </c>
      <c r="C153" s="75">
        <f t="shared" si="14"/>
        <v>353.55321428067833</v>
      </c>
      <c r="D153" s="150">
        <v>0.1157</v>
      </c>
      <c r="E153" s="75">
        <f t="shared" si="18"/>
        <v>0.83883570110001582</v>
      </c>
      <c r="F153" s="149">
        <f t="shared" si="17"/>
        <v>4.1289237483100427</v>
      </c>
      <c r="G153" s="78">
        <f t="shared" si="15"/>
        <v>2.1258787943149726</v>
      </c>
      <c r="H153" s="185"/>
      <c r="I153" s="185"/>
      <c r="J153" s="185"/>
    </row>
    <row r="154" spans="1:10" ht="16.5" hidden="1" thickBot="1">
      <c r="A154" s="73">
        <v>2006</v>
      </c>
      <c r="B154" s="80" t="s">
        <v>58</v>
      </c>
      <c r="C154" s="75">
        <f t="shared" si="14"/>
        <v>355.40159048493774</v>
      </c>
      <c r="D154" s="150">
        <v>0.52280000000000004</v>
      </c>
      <c r="E154" s="75">
        <f t="shared" si="18"/>
        <v>1.3660211341453676</v>
      </c>
      <c r="F154" s="149">
        <f t="shared" si="17"/>
        <v>3.8311354222562821</v>
      </c>
      <c r="G154" s="78">
        <f t="shared" si="15"/>
        <v>2.1148225022730887</v>
      </c>
      <c r="H154" s="185"/>
      <c r="I154" s="185"/>
      <c r="J154" s="185"/>
    </row>
    <row r="155" spans="1:10" ht="16.5" hidden="1" thickBot="1">
      <c r="A155" s="73">
        <v>2006</v>
      </c>
      <c r="B155" s="80" t="s">
        <v>73</v>
      </c>
      <c r="C155" s="75">
        <f t="shared" si="14"/>
        <v>355.20007778313277</v>
      </c>
      <c r="D155" s="150">
        <v>-5.67E-2</v>
      </c>
      <c r="E155" s="75">
        <f t="shared" si="18"/>
        <v>1.3085466001623081</v>
      </c>
      <c r="F155" s="149">
        <f t="shared" si="17"/>
        <v>3.255572284758923</v>
      </c>
      <c r="G155" s="78">
        <f t="shared" si="15"/>
        <v>2.1160222869097667</v>
      </c>
      <c r="H155" s="186"/>
      <c r="I155" s="185"/>
      <c r="J155" s="185"/>
    </row>
    <row r="156" spans="1:10" ht="16.5" hidden="1" thickBot="1">
      <c r="A156" s="73">
        <v>2006</v>
      </c>
      <c r="B156" s="80" t="s">
        <v>74</v>
      </c>
      <c r="C156" s="75">
        <f t="shared" si="14"/>
        <v>353.89507269735753</v>
      </c>
      <c r="D156" s="150">
        <v>-0.3674</v>
      </c>
      <c r="E156" s="75">
        <f t="shared" si="18"/>
        <v>0.93633899995331227</v>
      </c>
      <c r="F156" s="149">
        <f t="shared" si="17"/>
        <v>2.4733884222966962</v>
      </c>
      <c r="G156" s="78">
        <f t="shared" si="15"/>
        <v>2.1238252207708785</v>
      </c>
      <c r="H156" s="185"/>
      <c r="I156" s="185"/>
      <c r="J156" s="185"/>
    </row>
    <row r="157" spans="1:10" ht="16.5" hidden="1" thickBot="1">
      <c r="A157" s="73">
        <v>2006</v>
      </c>
      <c r="B157" s="80" t="s">
        <v>75</v>
      </c>
      <c r="C157" s="75">
        <f t="shared" si="14"/>
        <v>353.16604884760102</v>
      </c>
      <c r="D157" s="150">
        <v>-0.20599999999999999</v>
      </c>
      <c r="E157" s="75">
        <f t="shared" si="18"/>
        <v>0.72841014161340034</v>
      </c>
      <c r="F157" s="149">
        <f t="shared" si="17"/>
        <v>2.4351012579689524</v>
      </c>
      <c r="G157" s="78">
        <f t="shared" si="15"/>
        <v>2.1282093319947877</v>
      </c>
      <c r="H157" s="185"/>
      <c r="I157" s="185"/>
      <c r="J157" s="185"/>
    </row>
    <row r="158" spans="1:10" ht="16.5" hidden="1" thickBot="1">
      <c r="A158" s="73">
        <v>2006</v>
      </c>
      <c r="B158" s="80" t="s">
        <v>76</v>
      </c>
      <c r="C158" s="75">
        <f t="shared" si="14"/>
        <v>352.68433035697291</v>
      </c>
      <c r="D158" s="150">
        <v>-0.13639999999999999</v>
      </c>
      <c r="E158" s="75">
        <f t="shared" si="18"/>
        <v>0.59101659018025998</v>
      </c>
      <c r="F158" s="149">
        <f t="shared" si="17"/>
        <v>2.4742999074915728</v>
      </c>
      <c r="G158" s="78">
        <f t="shared" si="15"/>
        <v>2.1311161744567468</v>
      </c>
      <c r="H158" s="185"/>
      <c r="I158" s="185"/>
      <c r="J158" s="185"/>
    </row>
    <row r="159" spans="1:10" ht="16.5" hidden="1" thickBot="1">
      <c r="A159" s="73">
        <v>2006</v>
      </c>
      <c r="B159" s="80" t="s">
        <v>77</v>
      </c>
      <c r="C159" s="75">
        <f t="shared" si="14"/>
        <v>353.81327289844558</v>
      </c>
      <c r="D159" s="150">
        <v>0.3201</v>
      </c>
      <c r="E159" s="75">
        <f>100*((C159/$C$151)-1)</f>
        <v>0.91300843428541167</v>
      </c>
      <c r="F159" s="149">
        <f t="shared" si="17"/>
        <v>2.8038621994284529</v>
      </c>
      <c r="G159" s="78">
        <f t="shared" si="15"/>
        <v>2.1243162381783378</v>
      </c>
      <c r="H159" s="185"/>
      <c r="I159" s="185"/>
      <c r="J159" s="185"/>
    </row>
    <row r="160" spans="1:10" ht="16.5" hidden="1" thickBot="1">
      <c r="A160" s="73">
        <v>2006</v>
      </c>
      <c r="B160" s="80" t="s">
        <v>79</v>
      </c>
      <c r="C160" s="75">
        <f t="shared" si="14"/>
        <v>355.17616162565037</v>
      </c>
      <c r="D160" s="150">
        <v>0.38519999999999999</v>
      </c>
      <c r="E160" s="75">
        <f>100*((C160/$C$151)-1)</f>
        <v>1.3017253427742848</v>
      </c>
      <c r="F160" s="149">
        <f t="shared" si="17"/>
        <v>2.4619318434838666</v>
      </c>
      <c r="G160" s="78">
        <f t="shared" si="15"/>
        <v>2.1161647714786023</v>
      </c>
      <c r="H160" s="185"/>
      <c r="I160" s="185"/>
      <c r="J160" s="185"/>
    </row>
    <row r="161" spans="1:10" ht="16.5" hidden="1" thickBot="1">
      <c r="A161" s="73">
        <v>2006</v>
      </c>
      <c r="B161" s="80" t="s">
        <v>78</v>
      </c>
      <c r="C161" s="75">
        <f t="shared" si="14"/>
        <v>356.12341644870594</v>
      </c>
      <c r="D161" s="150">
        <v>0.26669999999999999</v>
      </c>
      <c r="E161" s="75">
        <f>100*((C161/$C$151)-1)</f>
        <v>1.5718970442634594</v>
      </c>
      <c r="F161" s="149">
        <f t="shared" si="17"/>
        <v>2.1561766067036414</v>
      </c>
      <c r="G161" s="78">
        <f t="shared" si="15"/>
        <v>2.1105359720411689</v>
      </c>
      <c r="H161" s="185"/>
      <c r="I161" s="185"/>
      <c r="J161" s="185"/>
    </row>
    <row r="162" spans="1:10" ht="16.5" hidden="1" thickBot="1">
      <c r="A162" s="84">
        <v>2006</v>
      </c>
      <c r="B162" s="80" t="s">
        <v>68</v>
      </c>
      <c r="C162" s="75">
        <f t="shared" si="14"/>
        <v>357.3018288337347</v>
      </c>
      <c r="D162" s="150">
        <v>0.33090000000000003</v>
      </c>
      <c r="E162" s="75">
        <f>100*((C162/$C$151)-1)</f>
        <v>1.9079984515829151</v>
      </c>
      <c r="F162" s="149">
        <f t="shared" si="17"/>
        <v>2.105292336585185</v>
      </c>
      <c r="G162" s="78">
        <f t="shared" si="15"/>
        <v>2.1035752415668241</v>
      </c>
      <c r="H162" s="185"/>
      <c r="I162" s="185"/>
      <c r="J162" s="185"/>
    </row>
    <row r="163" spans="1:10" ht="16.5" hidden="1" thickBot="1">
      <c r="A163" s="84">
        <v>2006</v>
      </c>
      <c r="B163" s="80" t="s">
        <v>55</v>
      </c>
      <c r="C163" s="75">
        <f t="shared" si="14"/>
        <v>359.62143230652327</v>
      </c>
      <c r="D163" s="150">
        <v>0.6492</v>
      </c>
      <c r="E163" s="75">
        <f>100*((C163/$C$151)-1)</f>
        <v>2.5695851775305867</v>
      </c>
      <c r="F163" s="149">
        <f t="shared" si="17"/>
        <v>2.5695851775305867</v>
      </c>
      <c r="G163" s="78">
        <f t="shared" si="15"/>
        <v>2.0900069166638429</v>
      </c>
      <c r="H163" s="185"/>
      <c r="I163" s="185"/>
      <c r="J163" s="185"/>
    </row>
    <row r="164" spans="1:10" ht="16.5" hidden="1" thickBot="1">
      <c r="A164" s="73">
        <v>2007</v>
      </c>
      <c r="B164" s="80" t="s">
        <v>70</v>
      </c>
      <c r="C164" s="75">
        <f t="shared" si="14"/>
        <v>363.0338800776799</v>
      </c>
      <c r="D164" s="150">
        <v>0.94889999999999997</v>
      </c>
      <c r="E164" s="75">
        <f t="shared" ref="E164:E172" si="19">100*((C164/$C$163)-1)</f>
        <v>0.94890000000000807</v>
      </c>
      <c r="F164" s="149">
        <f t="shared" si="17"/>
        <v>2.8003411074609907</v>
      </c>
      <c r="G164" s="78">
        <f t="shared" si="15"/>
        <v>2.0703612586802258</v>
      </c>
      <c r="H164" s="185"/>
      <c r="I164" s="185"/>
      <c r="J164" s="185"/>
    </row>
    <row r="165" spans="1:10" ht="16.5" hidden="1" thickBot="1">
      <c r="A165" s="73">
        <v>2007</v>
      </c>
      <c r="B165" s="80" t="s">
        <v>57</v>
      </c>
      <c r="C165" s="75">
        <f t="shared" si="14"/>
        <v>363.8085943777657</v>
      </c>
      <c r="D165" s="150">
        <v>0.21340000000000001</v>
      </c>
      <c r="E165" s="75">
        <f t="shared" si="19"/>
        <v>1.1643249526000155</v>
      </c>
      <c r="F165" s="149">
        <f t="shared" si="17"/>
        <v>2.9006609706412778</v>
      </c>
      <c r="G165" s="78">
        <f t="shared" si="15"/>
        <v>2.0659525160110581</v>
      </c>
      <c r="H165" s="185"/>
      <c r="I165" s="185"/>
      <c r="J165" s="185"/>
    </row>
    <row r="166" spans="1:10" ht="16.5" hidden="1" thickBot="1">
      <c r="A166" s="73">
        <v>2007</v>
      </c>
      <c r="B166" s="80" t="s">
        <v>72</v>
      </c>
      <c r="C166" s="75">
        <f t="shared" si="14"/>
        <v>364.71047588322813</v>
      </c>
      <c r="D166" s="150">
        <v>0.24790000000000001</v>
      </c>
      <c r="E166" s="75">
        <f t="shared" si="19"/>
        <v>1.4151113141575022</v>
      </c>
      <c r="F166" s="149">
        <f t="shared" si="17"/>
        <v>2.6192582271757914</v>
      </c>
      <c r="G166" s="78">
        <f t="shared" si="15"/>
        <v>2.0608436845171405</v>
      </c>
      <c r="H166" s="185"/>
      <c r="I166" s="185"/>
      <c r="J166" s="185"/>
    </row>
    <row r="167" spans="1:10" ht="16.5" hidden="1" thickBot="1">
      <c r="A167" s="73">
        <v>2007</v>
      </c>
      <c r="B167" s="80" t="s">
        <v>73</v>
      </c>
      <c r="C167" s="75">
        <f t="shared" si="14"/>
        <v>366.19229454674166</v>
      </c>
      <c r="D167" s="150">
        <v>0.40629999999999999</v>
      </c>
      <c r="E167" s="75">
        <f t="shared" si="19"/>
        <v>1.8271609114269172</v>
      </c>
      <c r="F167" s="149">
        <f t="shared" si="17"/>
        <v>3.0946549427053327</v>
      </c>
      <c r="G167" s="78">
        <f t="shared" si="15"/>
        <v>2.0525043593052832</v>
      </c>
      <c r="H167" s="186"/>
      <c r="I167" s="185"/>
      <c r="J167" s="185"/>
    </row>
    <row r="168" spans="1:10" ht="16.5" hidden="1" thickBot="1">
      <c r="A168" s="73">
        <v>2007</v>
      </c>
      <c r="B168" s="80" t="s">
        <v>74</v>
      </c>
      <c r="C168" s="75">
        <f t="shared" si="14"/>
        <v>368.5051650790989</v>
      </c>
      <c r="D168" s="150">
        <v>0.63160000000000005</v>
      </c>
      <c r="E168" s="75">
        <f t="shared" si="19"/>
        <v>2.4703012597434792</v>
      </c>
      <c r="F168" s="149">
        <f t="shared" si="17"/>
        <v>4.1283684088575967</v>
      </c>
      <c r="G168" s="78">
        <f t="shared" si="15"/>
        <v>2.0396221060832613</v>
      </c>
      <c r="H168" s="185"/>
      <c r="I168" s="185"/>
      <c r="J168" s="185"/>
    </row>
    <row r="169" spans="1:10" ht="16.5" hidden="1" thickBot="1">
      <c r="A169" s="73">
        <v>2007</v>
      </c>
      <c r="B169" s="80" t="s">
        <v>75</v>
      </c>
      <c r="C169" s="75">
        <f t="shared" si="14"/>
        <v>369.04134009428901</v>
      </c>
      <c r="D169" s="150">
        <v>0.14549999999999999</v>
      </c>
      <c r="E169" s="75">
        <f t="shared" si="19"/>
        <v>2.6193955480764197</v>
      </c>
      <c r="F169" s="149">
        <f t="shared" si="17"/>
        <v>4.495135163328956</v>
      </c>
      <c r="G169" s="78">
        <f t="shared" si="15"/>
        <v>2.0366587675764376</v>
      </c>
      <c r="H169" s="185"/>
      <c r="I169" s="185"/>
      <c r="J169" s="185"/>
    </row>
    <row r="170" spans="1:10" ht="16.5" hidden="1" thickBot="1">
      <c r="A170" s="73">
        <v>2007</v>
      </c>
      <c r="B170" s="80" t="s">
        <v>76</v>
      </c>
      <c r="C170" s="75">
        <f t="shared" si="14"/>
        <v>367.94528731420894</v>
      </c>
      <c r="D170" s="150">
        <v>-0.29699999999999999</v>
      </c>
      <c r="E170" s="75">
        <f t="shared" si="19"/>
        <v>2.3146159432986257</v>
      </c>
      <c r="F170" s="149">
        <f t="shared" si="17"/>
        <v>4.3270867582320793</v>
      </c>
      <c r="G170" s="78">
        <f t="shared" si="15"/>
        <v>2.0427256627949384</v>
      </c>
      <c r="H170" s="185"/>
      <c r="I170" s="185"/>
      <c r="J170" s="185"/>
    </row>
    <row r="171" spans="1:10" ht="16.5" hidden="1" thickBot="1">
      <c r="A171" s="73">
        <v>2007</v>
      </c>
      <c r="B171" s="80" t="s">
        <v>77</v>
      </c>
      <c r="C171" s="75">
        <f t="shared" si="14"/>
        <v>369.40786983128294</v>
      </c>
      <c r="D171" s="150">
        <v>0.39750000000000002</v>
      </c>
      <c r="E171" s="75">
        <f t="shared" si="19"/>
        <v>2.7213165416732465</v>
      </c>
      <c r="F171" s="149">
        <f t="shared" si="17"/>
        <v>4.4075782700536026</v>
      </c>
      <c r="G171" s="78">
        <f t="shared" si="15"/>
        <v>2.0346379768370113</v>
      </c>
      <c r="H171" s="185"/>
      <c r="I171" s="185"/>
      <c r="J171" s="185"/>
    </row>
    <row r="172" spans="1:10" ht="16.5" hidden="1" thickBot="1">
      <c r="A172" s="73">
        <v>2007</v>
      </c>
      <c r="B172" s="80" t="s">
        <v>79</v>
      </c>
      <c r="C172" s="75">
        <f t="shared" si="14"/>
        <v>370.53419442639853</v>
      </c>
      <c r="D172" s="150">
        <v>0.3049</v>
      </c>
      <c r="E172" s="75">
        <f t="shared" si="19"/>
        <v>3.0345138358088164</v>
      </c>
      <c r="F172" s="149">
        <f t="shared" si="17"/>
        <v>4.3240606944041637</v>
      </c>
      <c r="G172" s="78">
        <f t="shared" si="15"/>
        <v>2.0284532229602057</v>
      </c>
      <c r="H172" s="185"/>
      <c r="I172" s="185"/>
      <c r="J172" s="185"/>
    </row>
    <row r="173" spans="1:10" ht="16.5" hidden="1" thickBot="1">
      <c r="A173" s="73">
        <v>2007</v>
      </c>
      <c r="B173" s="80" t="s">
        <v>78</v>
      </c>
      <c r="C173" s="75">
        <f t="shared" si="14"/>
        <v>371.76918489642173</v>
      </c>
      <c r="D173" s="150">
        <v>0.33329999999999999</v>
      </c>
      <c r="E173" s="75">
        <f>100*((C173/$C$163)-1)</f>
        <v>3.3779278704235693</v>
      </c>
      <c r="F173" s="149">
        <f t="shared" si="17"/>
        <v>4.3933557090226616</v>
      </c>
      <c r="G173" s="78">
        <f t="shared" si="15"/>
        <v>2.0217148473739082</v>
      </c>
      <c r="H173" s="185"/>
      <c r="I173" s="185"/>
      <c r="J173" s="185"/>
    </row>
    <row r="174" spans="1:10" ht="16.5" hidden="1" thickBot="1">
      <c r="A174" s="73">
        <v>2007</v>
      </c>
      <c r="B174" s="80" t="s">
        <v>68</v>
      </c>
      <c r="C174" s="75">
        <f t="shared" si="14"/>
        <v>372.80716446065253</v>
      </c>
      <c r="D174" s="150">
        <v>0.2792</v>
      </c>
      <c r="E174" s="75">
        <f>100*((C174/$C$163)-1)</f>
        <v>3.6665590450377872</v>
      </c>
      <c r="F174" s="149">
        <f t="shared" si="17"/>
        <v>4.3395623463581501</v>
      </c>
      <c r="G174" s="78">
        <f t="shared" si="15"/>
        <v>2.0160859354421539</v>
      </c>
      <c r="H174" s="185"/>
      <c r="I174" s="185"/>
      <c r="J174" s="185"/>
    </row>
    <row r="175" spans="1:10" ht="16.5" hidden="1" thickBot="1">
      <c r="A175" s="73">
        <v>2007</v>
      </c>
      <c r="B175" s="80" t="s">
        <v>69</v>
      </c>
      <c r="C175" s="75">
        <f t="shared" si="14"/>
        <v>376.87933711805624</v>
      </c>
      <c r="D175" s="150">
        <v>1.0923</v>
      </c>
      <c r="E175" s="75">
        <f>100*((C175/$C$163)-1)</f>
        <v>4.7989088694867288</v>
      </c>
      <c r="F175" s="149">
        <f t="shared" si="17"/>
        <v>4.7989088694867288</v>
      </c>
      <c r="G175" s="78">
        <f t="shared" si="15"/>
        <v>1.9943021728085659</v>
      </c>
      <c r="H175" s="185"/>
      <c r="I175" s="185"/>
      <c r="J175" s="185"/>
    </row>
    <row r="176" spans="1:10" ht="16.5" hidden="1" thickBot="1">
      <c r="A176" s="73">
        <v>2008</v>
      </c>
      <c r="B176" s="80" t="s">
        <v>70</v>
      </c>
      <c r="C176" s="75">
        <f t="shared" si="14"/>
        <v>380.19436776734665</v>
      </c>
      <c r="D176" s="150">
        <v>0.87960000000000005</v>
      </c>
      <c r="E176" s="75">
        <f t="shared" ref="E176:E187" si="20">100*((C176/$C$175)-1)</f>
        <v>0.8796000000000026</v>
      </c>
      <c r="F176" s="149">
        <f t="shared" si="17"/>
        <v>4.7269658925483293</v>
      </c>
      <c r="G176" s="78">
        <f t="shared" si="15"/>
        <v>1.9769132439150887</v>
      </c>
      <c r="H176" s="185"/>
      <c r="I176" s="185"/>
      <c r="J176" s="185"/>
    </row>
    <row r="177" spans="1:10" ht="16.5" hidden="1" thickBot="1">
      <c r="A177" s="73">
        <v>2008</v>
      </c>
      <c r="B177" s="80" t="s">
        <v>71</v>
      </c>
      <c r="C177" s="75">
        <f t="shared" si="14"/>
        <v>380.09361625988834</v>
      </c>
      <c r="D177" s="150">
        <v>-2.6499999999999999E-2</v>
      </c>
      <c r="E177" s="75">
        <f t="shared" si="20"/>
        <v>0.85286690599999382</v>
      </c>
      <c r="F177" s="149">
        <f t="shared" si="17"/>
        <v>4.4762609058138114</v>
      </c>
      <c r="G177" s="78">
        <f t="shared" si="15"/>
        <v>1.9774372647902581</v>
      </c>
      <c r="H177" s="185"/>
      <c r="I177" s="185"/>
      <c r="J177" s="185"/>
    </row>
    <row r="178" spans="1:10" ht="16.5" hidden="1" thickBot="1">
      <c r="A178" s="73">
        <v>2008</v>
      </c>
      <c r="B178" s="80" t="s">
        <v>72</v>
      </c>
      <c r="C178" s="75">
        <f t="shared" si="14"/>
        <v>381.8006166905115</v>
      </c>
      <c r="D178" s="150">
        <v>0.4491</v>
      </c>
      <c r="E178" s="75">
        <f t="shared" si="20"/>
        <v>1.3057971312748551</v>
      </c>
      <c r="F178" s="149">
        <f t="shared" si="17"/>
        <v>4.6859473301104959</v>
      </c>
      <c r="G178" s="78">
        <f t="shared" si="15"/>
        <v>1.968596298812292</v>
      </c>
      <c r="H178" s="185"/>
      <c r="I178" s="185"/>
      <c r="J178" s="185"/>
    </row>
    <row r="179" spans="1:10" ht="16.5" hidden="1" thickBot="1">
      <c r="A179" s="73">
        <v>2008</v>
      </c>
      <c r="B179" s="80" t="s">
        <v>73</v>
      </c>
      <c r="C179" s="75">
        <f t="shared" si="14"/>
        <v>383.41601509972912</v>
      </c>
      <c r="D179" s="150">
        <v>0.42309999999999998</v>
      </c>
      <c r="E179" s="75">
        <f t="shared" si="20"/>
        <v>1.7344219589372933</v>
      </c>
      <c r="F179" s="149">
        <f t="shared" si="17"/>
        <v>4.7034634014640586</v>
      </c>
      <c r="G179" s="78">
        <f t="shared" si="15"/>
        <v>1.9603022599504414</v>
      </c>
      <c r="H179" s="186"/>
      <c r="I179" s="185"/>
      <c r="J179" s="185"/>
    </row>
    <row r="180" spans="1:10" ht="16.5" hidden="1" thickBot="1">
      <c r="A180" s="73">
        <v>2008</v>
      </c>
      <c r="B180" s="80" t="s">
        <v>74</v>
      </c>
      <c r="C180" s="75">
        <f t="shared" si="14"/>
        <v>386.75058418305144</v>
      </c>
      <c r="D180" s="150">
        <v>0.86970000000000003</v>
      </c>
      <c r="E180" s="75">
        <f t="shared" si="20"/>
        <v>2.6192062267141658</v>
      </c>
      <c r="F180" s="149">
        <f t="shared" si="17"/>
        <v>4.9511976582570227</v>
      </c>
      <c r="G180" s="78">
        <f t="shared" si="15"/>
        <v>1.943400505751917</v>
      </c>
      <c r="H180" s="185"/>
      <c r="I180" s="185"/>
      <c r="J180" s="185"/>
    </row>
    <row r="181" spans="1:10" ht="16.5" hidden="1" thickBot="1">
      <c r="A181" s="73">
        <v>2008</v>
      </c>
      <c r="B181" s="80" t="s">
        <v>75</v>
      </c>
      <c r="C181" s="75">
        <f t="shared" si="14"/>
        <v>390.50631910605307</v>
      </c>
      <c r="D181" s="150">
        <v>0.97109999999999996</v>
      </c>
      <c r="E181" s="75">
        <f t="shared" si="20"/>
        <v>3.6157413383817838</v>
      </c>
      <c r="F181" s="149">
        <f t="shared" si="17"/>
        <v>5.8164158536492927</v>
      </c>
      <c r="G181" s="78">
        <f t="shared" si="15"/>
        <v>1.9247096503374896</v>
      </c>
      <c r="H181" s="185"/>
      <c r="I181" s="185"/>
      <c r="J181" s="185"/>
    </row>
    <row r="182" spans="1:10" ht="16.5" hidden="1" thickBot="1">
      <c r="A182" s="73">
        <v>2008</v>
      </c>
      <c r="B182" s="80" t="s">
        <v>76</v>
      </c>
      <c r="C182" s="75">
        <f t="shared" si="14"/>
        <v>393.88497977895867</v>
      </c>
      <c r="D182" s="150">
        <v>0.86519999999999997</v>
      </c>
      <c r="E182" s="75">
        <f t="shared" si="20"/>
        <v>4.5122247324414833</v>
      </c>
      <c r="F182" s="149">
        <f t="shared" si="17"/>
        <v>7.0498776201469271</v>
      </c>
      <c r="G182" s="78">
        <f t="shared" si="15"/>
        <v>1.908199904761493</v>
      </c>
      <c r="H182" s="185"/>
      <c r="I182" s="185"/>
      <c r="J182" s="185"/>
    </row>
    <row r="183" spans="1:10" ht="16.5" hidden="1" thickBot="1">
      <c r="A183" s="73">
        <v>2008</v>
      </c>
      <c r="B183" s="80" t="s">
        <v>77</v>
      </c>
      <c r="C183" s="75">
        <f t="shared" si="14"/>
        <v>395.16353042332122</v>
      </c>
      <c r="D183" s="150">
        <v>0.3246</v>
      </c>
      <c r="E183" s="75">
        <f t="shared" si="20"/>
        <v>4.851471413922992</v>
      </c>
      <c r="F183" s="149">
        <f t="shared" si="17"/>
        <v>6.9721472376323534</v>
      </c>
      <c r="G183" s="78">
        <f t="shared" si="15"/>
        <v>1.902025928597266</v>
      </c>
      <c r="H183" s="185"/>
      <c r="I183" s="185"/>
      <c r="J183" s="185"/>
    </row>
    <row r="184" spans="1:10" ht="16.5" hidden="1" thickBot="1">
      <c r="A184" s="73">
        <v>2008</v>
      </c>
      <c r="B184" s="80" t="s">
        <v>79</v>
      </c>
      <c r="C184" s="75">
        <f t="shared" si="14"/>
        <v>395.70846093177499</v>
      </c>
      <c r="D184" s="150">
        <v>0.13789999999999999</v>
      </c>
      <c r="E184" s="75">
        <f t="shared" si="20"/>
        <v>4.9960615930028096</v>
      </c>
      <c r="F184" s="149">
        <f t="shared" si="17"/>
        <v>6.7940467800406967</v>
      </c>
      <c r="G184" s="78">
        <f t="shared" si="15"/>
        <v>1.8994066468312856</v>
      </c>
      <c r="H184" s="185"/>
      <c r="I184" s="185"/>
      <c r="J184" s="185"/>
    </row>
    <row r="185" spans="1:10" ht="16.5" hidden="1" thickBot="1">
      <c r="A185" s="73">
        <v>2008</v>
      </c>
      <c r="B185" s="80" t="s">
        <v>78</v>
      </c>
      <c r="C185" s="75">
        <f t="shared" si="14"/>
        <v>397.39338755842255</v>
      </c>
      <c r="D185" s="150">
        <v>0.42580000000000001</v>
      </c>
      <c r="E185" s="75">
        <f t="shared" si="20"/>
        <v>5.4431348232658161</v>
      </c>
      <c r="F185" s="149">
        <f t="shared" si="17"/>
        <v>6.8925031183367125</v>
      </c>
      <c r="G185" s="78">
        <f t="shared" si="15"/>
        <v>1.8913532646304887</v>
      </c>
      <c r="H185" s="185"/>
      <c r="I185" s="185"/>
      <c r="J185" s="185"/>
    </row>
    <row r="186" spans="1:10" ht="16.5" hidden="1" thickBot="1">
      <c r="A186" s="73">
        <v>2008</v>
      </c>
      <c r="B186" s="80" t="s">
        <v>68</v>
      </c>
      <c r="C186" s="75">
        <f t="shared" si="14"/>
        <v>399.51348128104678</v>
      </c>
      <c r="D186" s="150">
        <v>0.53349999999999997</v>
      </c>
      <c r="E186" s="75">
        <f t="shared" si="20"/>
        <v>6.0056739475479626</v>
      </c>
      <c r="F186" s="149">
        <f t="shared" si="17"/>
        <v>7.1635739240770269</v>
      </c>
      <c r="G186" s="78">
        <f t="shared" si="15"/>
        <v>1.8813164414155368</v>
      </c>
      <c r="H186" s="185"/>
      <c r="I186" s="185"/>
      <c r="J186" s="185"/>
    </row>
    <row r="187" spans="1:10" ht="16.5" hidden="1" thickBot="1">
      <c r="A187" s="73">
        <v>2008</v>
      </c>
      <c r="B187" s="80" t="s">
        <v>69</v>
      </c>
      <c r="C187" s="75">
        <f t="shared" si="14"/>
        <v>399.89981081744554</v>
      </c>
      <c r="D187" s="150">
        <v>9.6699999999999994E-2</v>
      </c>
      <c r="E187" s="75">
        <f t="shared" si="20"/>
        <v>6.1081814342552221</v>
      </c>
      <c r="F187" s="149">
        <f t="shared" si="17"/>
        <v>6.1081814342552221</v>
      </c>
      <c r="G187" s="78">
        <f t="shared" si="15"/>
        <v>1.8794989659154964</v>
      </c>
      <c r="H187" s="185"/>
      <c r="I187" s="185"/>
      <c r="J187" s="185"/>
    </row>
    <row r="188" spans="1:10" ht="16.5" hidden="1" thickBot="1">
      <c r="A188" s="73">
        <v>2009</v>
      </c>
      <c r="B188" s="80" t="s">
        <v>70</v>
      </c>
      <c r="C188" s="75">
        <f t="shared" si="14"/>
        <v>402.63992432116669</v>
      </c>
      <c r="D188" s="150">
        <v>0.68520000000000003</v>
      </c>
      <c r="E188" s="75">
        <f t="shared" ref="E188:E199" si="21">100*((C188/$C$187)-1)</f>
        <v>0.68520000000000802</v>
      </c>
      <c r="F188" s="149">
        <f t="shared" si="17"/>
        <v>5.9037056981220637</v>
      </c>
      <c r="G188" s="78">
        <f t="shared" si="15"/>
        <v>1.8667082807756219</v>
      </c>
      <c r="H188" s="185"/>
      <c r="I188" s="185"/>
      <c r="J188" s="185"/>
    </row>
    <row r="189" spans="1:10" ht="16.5" hidden="1" thickBot="1">
      <c r="A189" s="73">
        <v>2009</v>
      </c>
      <c r="B189" s="80" t="s">
        <v>57</v>
      </c>
      <c r="C189" s="75">
        <f t="shared" si="14"/>
        <v>402.71924438625797</v>
      </c>
      <c r="D189" s="150">
        <v>1.9699999999999999E-2</v>
      </c>
      <c r="E189" s="75">
        <f t="shared" si="21"/>
        <v>0.70503498439999923</v>
      </c>
      <c r="F189" s="149">
        <f t="shared" si="17"/>
        <v>5.9526461793821372</v>
      </c>
      <c r="G189" s="78">
        <f t="shared" si="15"/>
        <v>1.8663406116751218</v>
      </c>
      <c r="H189" s="185"/>
      <c r="I189" s="185"/>
      <c r="J189" s="185"/>
    </row>
    <row r="190" spans="1:10" ht="16.5" hidden="1" thickBot="1">
      <c r="A190" s="73">
        <v>2009</v>
      </c>
      <c r="B190" s="80" t="s">
        <v>72</v>
      </c>
      <c r="C190" s="75">
        <f t="shared" si="14"/>
        <v>404.34018934491263</v>
      </c>
      <c r="D190" s="150">
        <v>0.40250000000000002</v>
      </c>
      <c r="E190" s="75">
        <f t="shared" si="21"/>
        <v>1.1103727502122185</v>
      </c>
      <c r="F190" s="149">
        <f t="shared" si="17"/>
        <v>5.9034929932215707</v>
      </c>
      <c r="G190" s="78">
        <f t="shared" si="15"/>
        <v>1.8588587053859436</v>
      </c>
      <c r="H190" s="185"/>
      <c r="I190" s="185"/>
      <c r="J190" s="185"/>
    </row>
    <row r="191" spans="1:10" ht="16.5" hidden="1" thickBot="1">
      <c r="A191" s="73">
        <v>2009</v>
      </c>
      <c r="B191" s="80" t="s">
        <v>73</v>
      </c>
      <c r="C191" s="75">
        <f t="shared" si="14"/>
        <v>405.60253941604748</v>
      </c>
      <c r="D191" s="150">
        <v>0.31219999999999998</v>
      </c>
      <c r="E191" s="75">
        <f t="shared" si="21"/>
        <v>1.4260393339383892</v>
      </c>
      <c r="F191" s="149">
        <f t="shared" si="17"/>
        <v>5.7865408440352928</v>
      </c>
      <c r="G191" s="78">
        <f t="shared" si="15"/>
        <v>1.8530734101993012</v>
      </c>
      <c r="H191" s="186"/>
      <c r="I191" s="185"/>
      <c r="J191" s="185"/>
    </row>
    <row r="192" spans="1:10" ht="16.5" hidden="1" thickBot="1">
      <c r="A192" s="73">
        <v>2009</v>
      </c>
      <c r="B192" s="80" t="s">
        <v>74</v>
      </c>
      <c r="C192" s="75">
        <f t="shared" si="14"/>
        <v>406.54799893542634</v>
      </c>
      <c r="D192" s="150">
        <v>0.2331</v>
      </c>
      <c r="E192" s="75">
        <f t="shared" si="21"/>
        <v>1.6624634316257936</v>
      </c>
      <c r="F192" s="149">
        <f t="shared" si="17"/>
        <v>5.1189101095202583</v>
      </c>
      <c r="G192" s="78">
        <f t="shared" si="15"/>
        <v>1.8487639414517767</v>
      </c>
      <c r="H192" s="185"/>
      <c r="I192" s="185"/>
      <c r="J192" s="185"/>
    </row>
    <row r="193" spans="1:10" ht="16.5" hidden="1" thickBot="1">
      <c r="A193" s="73">
        <v>2009</v>
      </c>
      <c r="B193" s="80" t="s">
        <v>75</v>
      </c>
      <c r="C193" s="75">
        <f t="shared" ref="C193:C256" si="22">+C192*(1+D193/100)</f>
        <v>406.76834795084937</v>
      </c>
      <c r="D193" s="150">
        <v>5.4199999999999998E-2</v>
      </c>
      <c r="E193" s="75">
        <f t="shared" si="21"/>
        <v>1.717564486805756</v>
      </c>
      <c r="F193" s="149">
        <f t="shared" si="17"/>
        <v>4.1643446083083457</v>
      </c>
      <c r="G193" s="78">
        <f t="shared" si="15"/>
        <v>1.8477624542015993</v>
      </c>
      <c r="H193" s="185"/>
      <c r="I193" s="185"/>
      <c r="J193" s="185"/>
    </row>
    <row r="194" spans="1:10" ht="16.5" hidden="1" thickBot="1">
      <c r="A194" s="73">
        <v>2009</v>
      </c>
      <c r="B194" s="80" t="s">
        <v>76</v>
      </c>
      <c r="C194" s="75">
        <f t="shared" si="22"/>
        <v>408.76273316085241</v>
      </c>
      <c r="D194" s="150">
        <v>0.49030000000000001</v>
      </c>
      <c r="E194" s="75">
        <f t="shared" si="21"/>
        <v>2.2162857054845553</v>
      </c>
      <c r="F194" s="149">
        <f t="shared" si="17"/>
        <v>3.7771822094467389</v>
      </c>
      <c r="G194" s="78">
        <f t="shared" si="15"/>
        <v>1.8387470772816872</v>
      </c>
      <c r="H194" s="185"/>
      <c r="I194" s="188"/>
      <c r="J194" s="185"/>
    </row>
    <row r="195" spans="1:10" ht="16.5" hidden="1" thickBot="1">
      <c r="A195" s="73">
        <v>2009</v>
      </c>
      <c r="B195" s="80" t="s">
        <v>77</v>
      </c>
      <c r="C195" s="75">
        <f t="shared" si="22"/>
        <v>409.99883166593077</v>
      </c>
      <c r="D195" s="150">
        <v>0.3024</v>
      </c>
      <c r="E195" s="75">
        <f t="shared" si="21"/>
        <v>2.5253877534579416</v>
      </c>
      <c r="F195" s="149">
        <f t="shared" si="17"/>
        <v>3.7542182161185655</v>
      </c>
      <c r="G195" s="78">
        <f t="shared" si="15"/>
        <v>1.8332034699884423</v>
      </c>
      <c r="H195" s="185"/>
      <c r="I195" s="188"/>
      <c r="J195" s="185"/>
    </row>
    <row r="196" spans="1:10" ht="16.5" hidden="1" thickBot="1">
      <c r="A196" s="73">
        <v>2009</v>
      </c>
      <c r="B196" s="80" t="s">
        <v>64</v>
      </c>
      <c r="C196" s="75">
        <f t="shared" si="22"/>
        <v>411.09762853479549</v>
      </c>
      <c r="D196" s="150">
        <v>0.26800000000000002</v>
      </c>
      <c r="E196" s="75">
        <f t="shared" si="21"/>
        <v>2.8001557926372156</v>
      </c>
      <c r="F196" s="149">
        <f t="shared" si="17"/>
        <v>3.889016567091752</v>
      </c>
      <c r="G196" s="78">
        <f t="shared" si="15"/>
        <v>1.828303616296767</v>
      </c>
      <c r="H196" s="185"/>
      <c r="I196" s="188"/>
      <c r="J196" s="185"/>
    </row>
    <row r="197" spans="1:10" ht="16.5" hidden="1" thickBot="1">
      <c r="A197" s="73">
        <v>2009</v>
      </c>
      <c r="B197" s="80" t="s">
        <v>78</v>
      </c>
      <c r="C197" s="75">
        <f t="shared" si="22"/>
        <v>413.27521267314432</v>
      </c>
      <c r="D197" s="150">
        <v>0.52969999999999995</v>
      </c>
      <c r="E197" s="75">
        <f t="shared" si="21"/>
        <v>3.344688217870817</v>
      </c>
      <c r="F197" s="149">
        <f t="shared" si="17"/>
        <v>3.9964995925824143</v>
      </c>
      <c r="G197" s="78">
        <f t="shared" si="15"/>
        <v>1.8186701206675906</v>
      </c>
      <c r="H197" s="185"/>
      <c r="I197" s="188"/>
      <c r="J197" s="185"/>
    </row>
    <row r="198" spans="1:10" ht="16.5" hidden="1" thickBot="1">
      <c r="A198" s="73">
        <v>2009</v>
      </c>
      <c r="B198" s="80" t="s">
        <v>68</v>
      </c>
      <c r="C198" s="75">
        <f t="shared" si="22"/>
        <v>415.75858342609723</v>
      </c>
      <c r="D198" s="150">
        <v>0.60089999999999999</v>
      </c>
      <c r="E198" s="75">
        <f t="shared" si="21"/>
        <v>3.9656864493720079</v>
      </c>
      <c r="F198" s="149">
        <f t="shared" si="17"/>
        <v>4.066221268168535</v>
      </c>
      <c r="G198" s="78">
        <f t="shared" si="15"/>
        <v>1.8078070083543891</v>
      </c>
      <c r="H198" s="185"/>
      <c r="I198" s="188"/>
      <c r="J198" s="185"/>
    </row>
    <row r="199" spans="1:10" ht="16.5" hidden="1" thickBot="1">
      <c r="A199" s="73">
        <v>2009</v>
      </c>
      <c r="B199" s="80" t="s">
        <v>55</v>
      </c>
      <c r="C199" s="75">
        <f t="shared" si="22"/>
        <v>416.08495391408673</v>
      </c>
      <c r="D199" s="150">
        <v>7.85E-2</v>
      </c>
      <c r="E199" s="75">
        <f t="shared" si="21"/>
        <v>4.0472995132347478</v>
      </c>
      <c r="F199" s="149">
        <f t="shared" si="17"/>
        <v>4.0472995132347478</v>
      </c>
      <c r="G199" s="78">
        <f t="shared" ref="G199:G262" si="23">+$C$322/C199</f>
        <v>1.8063889929948882</v>
      </c>
      <c r="H199" s="185"/>
      <c r="I199" s="188"/>
      <c r="J199" s="185"/>
    </row>
    <row r="200" spans="1:10" ht="16.5" hidden="1" thickBot="1">
      <c r="A200" s="73">
        <v>2010</v>
      </c>
      <c r="B200" s="80" t="s">
        <v>56</v>
      </c>
      <c r="C200" s="75">
        <f t="shared" si="22"/>
        <v>423.23287733737686</v>
      </c>
      <c r="D200" s="150">
        <v>1.7179</v>
      </c>
      <c r="E200" s="75">
        <f t="shared" ref="E200:E211" si="24">100*((C200/$C$199)-1)</f>
        <v>1.7179000000000055</v>
      </c>
      <c r="F200" s="149">
        <f t="shared" si="17"/>
        <v>5.1144836297416285</v>
      </c>
      <c r="G200" s="78">
        <f t="shared" si="23"/>
        <v>1.7758811310446716</v>
      </c>
      <c r="H200" s="185"/>
      <c r="I200" s="188"/>
      <c r="J200" s="185"/>
    </row>
    <row r="201" spans="1:10" ht="16.5" hidden="1" thickBot="1">
      <c r="A201" s="73">
        <v>2010</v>
      </c>
      <c r="B201" s="80" t="s">
        <v>57</v>
      </c>
      <c r="C201" s="75">
        <f t="shared" si="22"/>
        <v>425.7430715328648</v>
      </c>
      <c r="D201" s="150">
        <v>0.59309999999999996</v>
      </c>
      <c r="E201" s="75">
        <f t="shared" si="24"/>
        <v>2.3211888649000034</v>
      </c>
      <c r="F201" s="149">
        <f t="shared" si="17"/>
        <v>5.7170913651506838</v>
      </c>
      <c r="G201" s="78">
        <f t="shared" si="23"/>
        <v>1.7654104814790197</v>
      </c>
      <c r="H201" s="185"/>
      <c r="I201" s="188"/>
      <c r="J201" s="185"/>
    </row>
    <row r="202" spans="1:10" ht="16.5" hidden="1" thickBot="1">
      <c r="A202" s="73">
        <v>2010</v>
      </c>
      <c r="B202" s="80" t="s">
        <v>58</v>
      </c>
      <c r="C202" s="75">
        <f t="shared" si="22"/>
        <v>427.75853923350138</v>
      </c>
      <c r="D202" s="150">
        <v>0.47339999999999999</v>
      </c>
      <c r="E202" s="75">
        <f t="shared" si="24"/>
        <v>2.8055773729864342</v>
      </c>
      <c r="F202" s="149">
        <f t="shared" si="17"/>
        <v>5.7917443048463024</v>
      </c>
      <c r="G202" s="78">
        <f t="shared" si="23"/>
        <v>1.7570924060288788</v>
      </c>
      <c r="H202" s="185"/>
      <c r="I202" s="188"/>
      <c r="J202" s="185"/>
    </row>
    <row r="203" spans="1:10" ht="16.5" hidden="1" thickBot="1">
      <c r="A203" s="73">
        <v>2010</v>
      </c>
      <c r="B203" s="80" t="s">
        <v>59</v>
      </c>
      <c r="C203" s="75">
        <f t="shared" si="22"/>
        <v>428.71372405160974</v>
      </c>
      <c r="D203" s="150">
        <v>0.2233</v>
      </c>
      <c r="E203" s="75">
        <f t="shared" si="24"/>
        <v>3.0351422272603124</v>
      </c>
      <c r="F203" s="149">
        <f t="shared" si="17"/>
        <v>5.697988150871991</v>
      </c>
      <c r="G203" s="78">
        <f t="shared" si="23"/>
        <v>1.7531775605362019</v>
      </c>
      <c r="H203" s="186"/>
      <c r="I203" s="188"/>
      <c r="J203" s="185"/>
    </row>
    <row r="204" spans="1:10" ht="16.5" hidden="1" thickBot="1">
      <c r="A204" s="73">
        <v>2010</v>
      </c>
      <c r="B204" s="80" t="s">
        <v>60</v>
      </c>
      <c r="C204" s="75">
        <f t="shared" si="22"/>
        <v>429.37608675526945</v>
      </c>
      <c r="D204" s="150">
        <v>0.1545</v>
      </c>
      <c r="E204" s="75">
        <f t="shared" si="24"/>
        <v>3.1943315220014146</v>
      </c>
      <c r="F204" s="149">
        <f t="shared" si="17"/>
        <v>5.6151027380825891</v>
      </c>
      <c r="G204" s="78">
        <f t="shared" si="23"/>
        <v>1.7504730796281764</v>
      </c>
      <c r="H204" s="185"/>
      <c r="I204" s="188"/>
      <c r="J204" s="185"/>
    </row>
    <row r="205" spans="1:10" ht="16.5" hidden="1" thickBot="1">
      <c r="A205" s="73">
        <v>2010</v>
      </c>
      <c r="B205" s="80" t="s">
        <v>61</v>
      </c>
      <c r="C205" s="75">
        <f t="shared" si="22"/>
        <v>429.46754386174831</v>
      </c>
      <c r="D205" s="150">
        <v>2.1299999999999999E-2</v>
      </c>
      <c r="E205" s="75">
        <f t="shared" si="24"/>
        <v>3.2163119146155994</v>
      </c>
      <c r="F205" s="149">
        <f t="shared" si="17"/>
        <v>5.5803741921536476</v>
      </c>
      <c r="G205" s="78">
        <f t="shared" si="23"/>
        <v>1.7501003082625166</v>
      </c>
      <c r="H205" s="185"/>
      <c r="I205" s="188"/>
      <c r="J205" s="185"/>
    </row>
    <row r="206" spans="1:10" ht="16.5" hidden="1" thickBot="1">
      <c r="A206" s="73">
        <v>2010</v>
      </c>
      <c r="B206" s="80" t="s">
        <v>62</v>
      </c>
      <c r="C206" s="75">
        <f t="shared" si="22"/>
        <v>430.05548492929501</v>
      </c>
      <c r="D206" s="150">
        <v>0.13689999999999999</v>
      </c>
      <c r="E206" s="75">
        <f t="shared" si="24"/>
        <v>3.3576150456267051</v>
      </c>
      <c r="F206" s="149">
        <f t="shared" si="17"/>
        <v>5.2090736363834989</v>
      </c>
      <c r="G206" s="78">
        <f t="shared" si="23"/>
        <v>1.7477076964261093</v>
      </c>
      <c r="H206" s="185"/>
      <c r="I206" s="188"/>
      <c r="J206" s="185"/>
    </row>
    <row r="207" spans="1:10" ht="16.5" hidden="1" thickBot="1">
      <c r="A207" s="73">
        <v>2010</v>
      </c>
      <c r="B207" s="80" t="s">
        <v>63</v>
      </c>
      <c r="C207" s="75">
        <f t="shared" si="22"/>
        <v>431.13922475131687</v>
      </c>
      <c r="D207" s="150">
        <v>0.252</v>
      </c>
      <c r="E207" s="75">
        <f t="shared" si="24"/>
        <v>3.6180762355416896</v>
      </c>
      <c r="F207" s="149">
        <f t="shared" si="17"/>
        <v>5.1562081285664307</v>
      </c>
      <c r="G207" s="78">
        <f t="shared" si="23"/>
        <v>1.7433145437757942</v>
      </c>
      <c r="H207" s="185"/>
      <c r="I207" s="188"/>
      <c r="J207" s="185"/>
    </row>
    <row r="208" spans="1:10" ht="16.5" hidden="1" thickBot="1">
      <c r="A208" s="73">
        <v>2010</v>
      </c>
      <c r="B208" s="80" t="s">
        <v>64</v>
      </c>
      <c r="C208" s="75">
        <f t="shared" si="22"/>
        <v>433.42038238947606</v>
      </c>
      <c r="D208" s="150">
        <v>0.52910000000000001</v>
      </c>
      <c r="E208" s="75">
        <f t="shared" si="24"/>
        <v>4.1663194769039347</v>
      </c>
      <c r="F208" s="149">
        <f t="shared" si="17"/>
        <v>5.4300371262762326</v>
      </c>
      <c r="G208" s="78">
        <f t="shared" si="23"/>
        <v>1.7341392131987596</v>
      </c>
      <c r="H208" s="185"/>
      <c r="I208" s="188"/>
      <c r="J208" s="185"/>
    </row>
    <row r="209" spans="1:10" ht="16.5" hidden="1" thickBot="1">
      <c r="A209" s="73">
        <v>2010</v>
      </c>
      <c r="B209" s="80" t="s">
        <v>65</v>
      </c>
      <c r="C209" s="75">
        <f t="shared" si="22"/>
        <v>437.45812667181644</v>
      </c>
      <c r="D209" s="150">
        <v>0.93159999999999998</v>
      </c>
      <c r="E209" s="75">
        <f t="shared" si="24"/>
        <v>5.1367329091507763</v>
      </c>
      <c r="F209" s="149">
        <f t="shared" si="17"/>
        <v>5.8515278093385525</v>
      </c>
      <c r="G209" s="78">
        <f t="shared" si="23"/>
        <v>1.7181330853754022</v>
      </c>
      <c r="H209" s="185"/>
      <c r="I209" s="188"/>
      <c r="J209" s="185"/>
    </row>
    <row r="210" spans="1:10" ht="16.5" hidden="1" thickBot="1">
      <c r="A210" s="73">
        <v>2010</v>
      </c>
      <c r="B210" s="80" t="s">
        <v>66</v>
      </c>
      <c r="C210" s="75">
        <f t="shared" si="22"/>
        <v>441.99325507102316</v>
      </c>
      <c r="D210" s="150">
        <v>1.0367</v>
      </c>
      <c r="E210" s="75">
        <f t="shared" si="24"/>
        <v>6.226685419219935</v>
      </c>
      <c r="F210" s="149">
        <f t="shared" si="17"/>
        <v>6.3100733672740272</v>
      </c>
      <c r="G210" s="78">
        <f t="shared" si="23"/>
        <v>1.7005039608136472</v>
      </c>
      <c r="H210" s="185"/>
      <c r="I210" s="188"/>
      <c r="J210" s="185"/>
    </row>
    <row r="211" spans="1:10" ht="16.5" hidden="1" thickBot="1">
      <c r="A211" s="73">
        <v>2010</v>
      </c>
      <c r="B211" s="80" t="s">
        <v>55</v>
      </c>
      <c r="C211" s="75">
        <f t="shared" si="22"/>
        <v>444.84720551901671</v>
      </c>
      <c r="D211" s="150">
        <v>0.64570000000000005</v>
      </c>
      <c r="E211" s="75">
        <f t="shared" si="24"/>
        <v>6.9125911269718232</v>
      </c>
      <c r="F211" s="149">
        <f t="shared" si="17"/>
        <v>6.9125911269718232</v>
      </c>
      <c r="G211" s="78">
        <f t="shared" si="23"/>
        <v>1.6895942507366408</v>
      </c>
      <c r="H211" s="185"/>
      <c r="I211" s="188"/>
      <c r="J211" s="185"/>
    </row>
    <row r="212" spans="1:10">
      <c r="A212" s="85">
        <v>2011</v>
      </c>
      <c r="B212" s="86" t="s">
        <v>56</v>
      </c>
      <c r="C212" s="87">
        <f t="shared" si="22"/>
        <v>450.55993333229191</v>
      </c>
      <c r="D212" s="151">
        <v>1.2842</v>
      </c>
      <c r="E212" s="87">
        <f t="shared" ref="E212:E223" si="25">100*((C212/$C$211)-1)</f>
        <v>1.284200000000002</v>
      </c>
      <c r="F212" s="152">
        <f t="shared" si="17"/>
        <v>6.4567422471604186</v>
      </c>
      <c r="G212" s="90">
        <f t="shared" si="23"/>
        <v>1.6681715911629267</v>
      </c>
      <c r="H212" s="185"/>
      <c r="I212" s="188"/>
      <c r="J212" s="185"/>
    </row>
    <row r="213" spans="1:10">
      <c r="A213" s="91">
        <v>2011</v>
      </c>
      <c r="B213" s="92" t="s">
        <v>57</v>
      </c>
      <c r="C213" s="93">
        <f t="shared" si="22"/>
        <v>452.38920666162102</v>
      </c>
      <c r="D213" s="153">
        <v>0.40600000000000003</v>
      </c>
      <c r="E213" s="93">
        <f t="shared" si="25"/>
        <v>1.6954138520000051</v>
      </c>
      <c r="F213" s="154">
        <f t="shared" si="17"/>
        <v>6.2587360571290773</v>
      </c>
      <c r="G213" s="96">
        <f t="shared" si="23"/>
        <v>1.6614262007877285</v>
      </c>
      <c r="H213" s="185"/>
      <c r="I213" s="188"/>
      <c r="J213" s="185"/>
    </row>
    <row r="214" spans="1:10">
      <c r="A214" s="91">
        <v>2011</v>
      </c>
      <c r="B214" s="92" t="s">
        <v>58</v>
      </c>
      <c r="C214" s="93">
        <f t="shared" si="22"/>
        <v>456.51228189113505</v>
      </c>
      <c r="D214" s="153">
        <v>0.91139999999999999</v>
      </c>
      <c r="E214" s="93">
        <f t="shared" si="25"/>
        <v>2.6222658538471277</v>
      </c>
      <c r="F214" s="154">
        <f t="shared" ref="F214:F277" si="26">100*((C214/C202)-1)</f>
        <v>6.7219564357867245</v>
      </c>
      <c r="G214" s="96">
        <f t="shared" si="23"/>
        <v>1.6464207223244633</v>
      </c>
      <c r="H214" s="185"/>
      <c r="I214" s="188"/>
      <c r="J214" s="185"/>
    </row>
    <row r="215" spans="1:10">
      <c r="A215" s="91">
        <v>2011</v>
      </c>
      <c r="B215" s="92" t="s">
        <v>59</v>
      </c>
      <c r="C215" s="93">
        <f t="shared" si="22"/>
        <v>460.14748919183415</v>
      </c>
      <c r="D215" s="153">
        <v>0.79630000000000001</v>
      </c>
      <c r="E215" s="93">
        <f t="shared" si="25"/>
        <v>3.4394469568413077</v>
      </c>
      <c r="F215" s="154">
        <f t="shared" si="26"/>
        <v>7.3321107715320855</v>
      </c>
      <c r="G215" s="96">
        <f t="shared" si="23"/>
        <v>1.6334138478540019</v>
      </c>
      <c r="H215" s="186"/>
      <c r="I215" s="188"/>
      <c r="J215" s="185"/>
    </row>
    <row r="216" spans="1:10">
      <c r="A216" s="91">
        <v>2011</v>
      </c>
      <c r="B216" s="92" t="s">
        <v>60</v>
      </c>
      <c r="C216" s="93">
        <f t="shared" si="22"/>
        <v>460.33338877746769</v>
      </c>
      <c r="D216" s="153">
        <v>4.0399999999999998E-2</v>
      </c>
      <c r="E216" s="93">
        <f t="shared" si="25"/>
        <v>3.4812364934118767</v>
      </c>
      <c r="F216" s="154">
        <f t="shared" si="26"/>
        <v>7.2098337511382837</v>
      </c>
      <c r="G216" s="96">
        <f t="shared" si="23"/>
        <v>1.6327542151510808</v>
      </c>
      <c r="H216" s="185"/>
      <c r="I216" s="188"/>
      <c r="J216" s="185"/>
    </row>
    <row r="217" spans="1:10">
      <c r="A217" s="91">
        <v>2011</v>
      </c>
      <c r="B217" s="92" t="s">
        <v>61</v>
      </c>
      <c r="C217" s="93">
        <f t="shared" si="22"/>
        <v>458.77608092323351</v>
      </c>
      <c r="D217" s="153">
        <v>-0.33829999999999999</v>
      </c>
      <c r="E217" s="93">
        <f t="shared" si="25"/>
        <v>3.1311594703546719</v>
      </c>
      <c r="F217" s="154">
        <f t="shared" si="26"/>
        <v>6.8243892886397095</v>
      </c>
      <c r="G217" s="96">
        <f t="shared" si="23"/>
        <v>1.6382965724556984</v>
      </c>
      <c r="H217" s="185"/>
      <c r="I217" s="188"/>
      <c r="J217" s="185"/>
    </row>
    <row r="218" spans="1:10">
      <c r="A218" s="91">
        <v>2011</v>
      </c>
      <c r="B218" s="92" t="s">
        <v>62</v>
      </c>
      <c r="C218" s="93">
        <f t="shared" si="22"/>
        <v>460.77680341213977</v>
      </c>
      <c r="D218" s="153">
        <v>0.43609999999999999</v>
      </c>
      <c r="E218" s="93">
        <f t="shared" si="25"/>
        <v>3.5809144568049067</v>
      </c>
      <c r="F218" s="154">
        <f t="shared" si="26"/>
        <v>7.1435709017629634</v>
      </c>
      <c r="G218" s="96">
        <f t="shared" si="23"/>
        <v>1.6311829834648082</v>
      </c>
      <c r="H218" s="185"/>
      <c r="I218" s="188"/>
      <c r="J218" s="185"/>
    </row>
    <row r="219" spans="1:10">
      <c r="A219" s="91">
        <v>2011</v>
      </c>
      <c r="B219" s="92" t="s">
        <v>63</v>
      </c>
      <c r="C219" s="93">
        <f t="shared" si="22"/>
        <v>462.55678420372084</v>
      </c>
      <c r="D219" s="153">
        <v>0.38629999999999998</v>
      </c>
      <c r="E219" s="93">
        <f t="shared" si="25"/>
        <v>3.9810475293515335</v>
      </c>
      <c r="F219" s="154">
        <f t="shared" si="26"/>
        <v>7.2871030165547523</v>
      </c>
      <c r="G219" s="96">
        <f t="shared" si="23"/>
        <v>1.624905971696146</v>
      </c>
      <c r="H219" s="185"/>
      <c r="I219" s="188"/>
      <c r="J219" s="185"/>
    </row>
    <row r="220" spans="1:10">
      <c r="A220" s="91">
        <v>2011</v>
      </c>
      <c r="B220" s="92" t="s">
        <v>64</v>
      </c>
      <c r="C220" s="93">
        <f t="shared" si="22"/>
        <v>465.72714840265309</v>
      </c>
      <c r="D220" s="153">
        <v>0.68540000000000001</v>
      </c>
      <c r="E220" s="93">
        <f t="shared" si="25"/>
        <v>4.6937336291176912</v>
      </c>
      <c r="F220" s="154">
        <f t="shared" si="26"/>
        <v>7.4539101818579923</v>
      </c>
      <c r="G220" s="96">
        <f t="shared" si="23"/>
        <v>1.6138446802576603</v>
      </c>
      <c r="H220" s="185"/>
      <c r="I220" s="188"/>
      <c r="J220" s="185"/>
    </row>
    <row r="221" spans="1:10">
      <c r="A221" s="91">
        <v>2011</v>
      </c>
      <c r="B221" s="92" t="s">
        <v>65</v>
      </c>
      <c r="C221" s="93">
        <f t="shared" si="22"/>
        <v>467.1527392039136</v>
      </c>
      <c r="D221" s="153">
        <v>0.30609999999999998</v>
      </c>
      <c r="E221" s="93">
        <f t="shared" si="25"/>
        <v>5.0142011477564141</v>
      </c>
      <c r="F221" s="154">
        <f t="shared" si="26"/>
        <v>6.7879896889821101</v>
      </c>
      <c r="G221" s="96">
        <f t="shared" si="23"/>
        <v>1.6089197768208117</v>
      </c>
      <c r="H221" s="185"/>
      <c r="I221" s="188"/>
      <c r="J221" s="185"/>
    </row>
    <row r="222" spans="1:10">
      <c r="A222" s="91">
        <v>2011</v>
      </c>
      <c r="B222" s="92" t="s">
        <v>66</v>
      </c>
      <c r="C222" s="93">
        <f t="shared" si="22"/>
        <v>469.5856706696876</v>
      </c>
      <c r="D222" s="153">
        <v>0.52080000000000004</v>
      </c>
      <c r="E222" s="93">
        <f t="shared" si="25"/>
        <v>5.5611151073339471</v>
      </c>
      <c r="F222" s="154">
        <f t="shared" si="26"/>
        <v>6.2427232275819922</v>
      </c>
      <c r="G222" s="96">
        <f t="shared" si="23"/>
        <v>1.6005839356837706</v>
      </c>
      <c r="H222" s="185"/>
      <c r="I222" s="188"/>
      <c r="J222" s="185"/>
    </row>
    <row r="223" spans="1:10">
      <c r="A223" s="91">
        <v>2011</v>
      </c>
      <c r="B223" s="92" t="s">
        <v>55</v>
      </c>
      <c r="C223" s="93">
        <f t="shared" si="22"/>
        <v>471.92232896694003</v>
      </c>
      <c r="D223" s="153">
        <v>0.49759999999999999</v>
      </c>
      <c r="E223" s="93">
        <f t="shared" si="25"/>
        <v>6.0863872161080357</v>
      </c>
      <c r="F223" s="154">
        <f t="shared" si="26"/>
        <v>6.0863872161080357</v>
      </c>
      <c r="G223" s="96">
        <f t="shared" si="23"/>
        <v>1.592658865170681</v>
      </c>
      <c r="H223" s="185"/>
      <c r="I223" s="188"/>
      <c r="J223" s="185"/>
    </row>
    <row r="224" spans="1:10">
      <c r="A224" s="91">
        <f>2012</f>
        <v>2012</v>
      </c>
      <c r="B224" s="92" t="s">
        <v>56</v>
      </c>
      <c r="C224" s="93">
        <f t="shared" si="22"/>
        <v>478.13848988409256</v>
      </c>
      <c r="D224" s="153">
        <v>1.3171999999999999</v>
      </c>
      <c r="E224" s="93">
        <f t="shared" ref="E224:E235" si="27">100*((C224/$C$223)-1)</f>
        <v>1.3171999999999962</v>
      </c>
      <c r="F224" s="154">
        <f t="shared" si="26"/>
        <v>6.1209518449260925</v>
      </c>
      <c r="G224" s="96">
        <f t="shared" si="23"/>
        <v>1.5719530989512946</v>
      </c>
      <c r="H224" s="185"/>
      <c r="I224" s="188"/>
      <c r="J224" s="185"/>
    </row>
    <row r="225" spans="1:10">
      <c r="A225" s="91">
        <f>2012</f>
        <v>2012</v>
      </c>
      <c r="B225" s="92" t="s">
        <v>57</v>
      </c>
      <c r="C225" s="93">
        <f t="shared" si="22"/>
        <v>478.76054805943176</v>
      </c>
      <c r="D225" s="153">
        <v>0.13009999999999999</v>
      </c>
      <c r="E225" s="93">
        <f t="shared" si="27"/>
        <v>1.4490136772000062</v>
      </c>
      <c r="F225" s="154">
        <f t="shared" si="26"/>
        <v>5.829348050192551</v>
      </c>
      <c r="G225" s="96">
        <f t="shared" si="23"/>
        <v>1.5699106452018869</v>
      </c>
      <c r="H225" s="185"/>
      <c r="I225" s="188"/>
      <c r="J225" s="185"/>
    </row>
    <row r="226" spans="1:10">
      <c r="A226" s="91">
        <f>2012</f>
        <v>2012</v>
      </c>
      <c r="B226" s="92" t="s">
        <v>58</v>
      </c>
      <c r="C226" s="93">
        <f t="shared" si="22"/>
        <v>481.58906537736686</v>
      </c>
      <c r="D226" s="153">
        <v>0.59079999999999999</v>
      </c>
      <c r="E226" s="93">
        <f t="shared" si="27"/>
        <v>2.0483744500048973</v>
      </c>
      <c r="F226" s="154">
        <f t="shared" si="26"/>
        <v>5.4931235107956944</v>
      </c>
      <c r="G226" s="96">
        <f t="shared" si="23"/>
        <v>1.5606900881610317</v>
      </c>
      <c r="H226" s="185"/>
      <c r="I226" s="188"/>
      <c r="J226" s="185"/>
    </row>
    <row r="227" spans="1:10">
      <c r="A227" s="91">
        <f>2012</f>
        <v>2012</v>
      </c>
      <c r="B227" s="92" t="s">
        <v>59</v>
      </c>
      <c r="C227" s="93">
        <f t="shared" si="22"/>
        <v>484.87639233763275</v>
      </c>
      <c r="D227" s="153">
        <v>0.68259999999999998</v>
      </c>
      <c r="E227" s="93">
        <f t="shared" si="27"/>
        <v>2.7449566540006298</v>
      </c>
      <c r="F227" s="154">
        <f t="shared" si="26"/>
        <v>5.3741254112307457</v>
      </c>
      <c r="G227" s="96">
        <f t="shared" si="23"/>
        <v>1.5501090438278629</v>
      </c>
      <c r="H227" s="186"/>
      <c r="I227" s="188"/>
      <c r="J227" s="185"/>
    </row>
    <row r="228" spans="1:10">
      <c r="A228" s="91">
        <f>2012</f>
        <v>2012</v>
      </c>
      <c r="B228" s="92" t="s">
        <v>60</v>
      </c>
      <c r="C228" s="93">
        <f t="shared" si="22"/>
        <v>486.95214817323017</v>
      </c>
      <c r="D228" s="153">
        <v>0.42809999999999998</v>
      </c>
      <c r="E228" s="93">
        <f t="shared" si="27"/>
        <v>3.1848078134363966</v>
      </c>
      <c r="F228" s="154">
        <f t="shared" si="26"/>
        <v>5.7824959137670495</v>
      </c>
      <c r="G228" s="96">
        <f t="shared" si="23"/>
        <v>1.5435013146996337</v>
      </c>
      <c r="H228" s="185"/>
      <c r="I228" s="188"/>
      <c r="J228" s="185"/>
    </row>
    <row r="229" spans="1:10">
      <c r="A229" s="91">
        <f>2012</f>
        <v>2012</v>
      </c>
      <c r="B229" s="92" t="s">
        <v>61</v>
      </c>
      <c r="C229" s="93">
        <f t="shared" si="22"/>
        <v>488.07311201832493</v>
      </c>
      <c r="D229" s="153">
        <v>0.23019999999999999</v>
      </c>
      <c r="E229" s="93">
        <f t="shared" si="27"/>
        <v>3.4223392410229314</v>
      </c>
      <c r="F229" s="154">
        <f t="shared" si="26"/>
        <v>6.3859107554462113</v>
      </c>
      <c r="G229" s="96">
        <f t="shared" si="23"/>
        <v>1.5399563352159664</v>
      </c>
      <c r="H229" s="185"/>
      <c r="I229" s="188"/>
      <c r="J229" s="185"/>
    </row>
    <row r="230" spans="1:10">
      <c r="A230" s="91">
        <f>2012</f>
        <v>2012</v>
      </c>
      <c r="B230" s="92" t="s">
        <v>62</v>
      </c>
      <c r="C230" s="93">
        <f t="shared" si="22"/>
        <v>490.1361970628264</v>
      </c>
      <c r="D230" s="153">
        <v>0.42270000000000002</v>
      </c>
      <c r="E230" s="93">
        <f t="shared" si="27"/>
        <v>3.8595054689947395</v>
      </c>
      <c r="F230" s="154">
        <f t="shared" si="26"/>
        <v>6.3717169426227072</v>
      </c>
      <c r="G230" s="96">
        <f t="shared" si="23"/>
        <v>1.5334743391842347</v>
      </c>
      <c r="H230" s="185"/>
      <c r="I230" s="188"/>
      <c r="J230" s="185"/>
    </row>
    <row r="231" spans="1:10">
      <c r="A231" s="91">
        <f>2012</f>
        <v>2012</v>
      </c>
      <c r="B231" s="92" t="s">
        <v>63</v>
      </c>
      <c r="C231" s="93">
        <f t="shared" si="22"/>
        <v>491.1287228618786</v>
      </c>
      <c r="D231" s="153">
        <v>0.20250000000000001</v>
      </c>
      <c r="E231" s="93">
        <f t="shared" si="27"/>
        <v>4.0698209675694486</v>
      </c>
      <c r="F231" s="154">
        <f t="shared" si="26"/>
        <v>6.1769580803670676</v>
      </c>
      <c r="G231" s="96">
        <f t="shared" si="23"/>
        <v>1.5303753291427207</v>
      </c>
      <c r="H231" s="185"/>
      <c r="I231" s="188"/>
      <c r="J231" s="185"/>
    </row>
    <row r="232" spans="1:10">
      <c r="A232" s="91">
        <f>2012</f>
        <v>2012</v>
      </c>
      <c r="B232" s="92" t="s">
        <v>64</v>
      </c>
      <c r="C232" s="93">
        <f t="shared" si="22"/>
        <v>493.20570623086149</v>
      </c>
      <c r="D232" s="153">
        <v>0.4229</v>
      </c>
      <c r="E232" s="93">
        <f t="shared" si="27"/>
        <v>4.5099322404412945</v>
      </c>
      <c r="F232" s="154">
        <f t="shared" si="26"/>
        <v>5.9001408705621206</v>
      </c>
      <c r="G232" s="96">
        <f t="shared" si="23"/>
        <v>1.5239306265231543</v>
      </c>
      <c r="H232" s="185"/>
      <c r="I232" s="188"/>
      <c r="J232" s="185"/>
    </row>
    <row r="233" spans="1:10">
      <c r="A233" s="91">
        <f>2012</f>
        <v>2012</v>
      </c>
      <c r="B233" s="92" t="s">
        <v>65</v>
      </c>
      <c r="C233" s="93">
        <f t="shared" si="22"/>
        <v>497.20708412551249</v>
      </c>
      <c r="D233" s="153">
        <v>0.81130000000000002</v>
      </c>
      <c r="E233" s="93">
        <f t="shared" si="27"/>
        <v>5.3578213207080116</v>
      </c>
      <c r="F233" s="154">
        <f t="shared" si="26"/>
        <v>6.433515721820493</v>
      </c>
      <c r="G233" s="96">
        <f t="shared" si="23"/>
        <v>1.51166647640012</v>
      </c>
      <c r="H233" s="185"/>
      <c r="I233" s="188"/>
      <c r="J233" s="185"/>
    </row>
    <row r="234" spans="1:10">
      <c r="A234" s="91">
        <f>2012</f>
        <v>2012</v>
      </c>
      <c r="B234" s="92" t="s">
        <v>66</v>
      </c>
      <c r="C234" s="93">
        <f t="shared" si="22"/>
        <v>500.01729856498991</v>
      </c>
      <c r="D234" s="153">
        <v>0.56520000000000004</v>
      </c>
      <c r="E234" s="93">
        <f t="shared" si="27"/>
        <v>5.9533037268126421</v>
      </c>
      <c r="F234" s="154">
        <f t="shared" si="26"/>
        <v>6.4805273661572738</v>
      </c>
      <c r="G234" s="96">
        <f t="shared" si="23"/>
        <v>1.5031705564152609</v>
      </c>
      <c r="H234" s="185"/>
      <c r="I234" s="188"/>
      <c r="J234" s="185"/>
    </row>
    <row r="235" spans="1:10">
      <c r="A235" s="91">
        <f>2012</f>
        <v>2012</v>
      </c>
      <c r="B235" s="92" t="s">
        <v>55</v>
      </c>
      <c r="C235" s="93">
        <f t="shared" si="22"/>
        <v>502.16937301801369</v>
      </c>
      <c r="D235" s="153">
        <v>0.4304</v>
      </c>
      <c r="E235" s="93">
        <f t="shared" si="27"/>
        <v>6.4093267460528569</v>
      </c>
      <c r="F235" s="154">
        <f t="shared" si="26"/>
        <v>6.4093267460528569</v>
      </c>
      <c r="G235" s="96">
        <f t="shared" si="23"/>
        <v>1.4967286363643486</v>
      </c>
      <c r="H235" s="185"/>
      <c r="I235" s="188"/>
      <c r="J235" s="185"/>
    </row>
    <row r="236" spans="1:10">
      <c r="A236" s="91">
        <f>2013</f>
        <v>2013</v>
      </c>
      <c r="B236" s="92" t="s">
        <v>56</v>
      </c>
      <c r="C236" s="93">
        <f t="shared" si="22"/>
        <v>511.06379695290872</v>
      </c>
      <c r="D236" s="94">
        <v>1.7712000000000001</v>
      </c>
      <c r="E236" s="93">
        <f t="shared" ref="E236:E247" si="28">100*((C236/$C$235)-1)</f>
        <v>1.771199999999995</v>
      </c>
      <c r="F236" s="154">
        <f t="shared" si="26"/>
        <v>6.8861444467266608</v>
      </c>
      <c r="G236" s="96">
        <f t="shared" si="23"/>
        <v>1.470679953036172</v>
      </c>
      <c r="H236" s="185"/>
      <c r="I236" s="188"/>
      <c r="J236" s="185"/>
    </row>
    <row r="237" spans="1:10">
      <c r="A237" s="91">
        <f>2013</f>
        <v>2013</v>
      </c>
      <c r="B237" s="92" t="s">
        <v>57</v>
      </c>
      <c r="C237" s="93">
        <f t="shared" si="22"/>
        <v>511.65560882978019</v>
      </c>
      <c r="D237" s="94">
        <v>0.1158</v>
      </c>
      <c r="E237" s="93">
        <f t="shared" si="28"/>
        <v>1.889051049599999</v>
      </c>
      <c r="F237" s="154">
        <f t="shared" si="26"/>
        <v>6.8708795876524453</v>
      </c>
      <c r="G237" s="96">
        <f t="shared" si="23"/>
        <v>1.4689788754983448</v>
      </c>
      <c r="H237" s="185"/>
      <c r="I237" s="188"/>
      <c r="J237" s="185"/>
    </row>
    <row r="238" spans="1:10">
      <c r="A238" s="91">
        <f>2013</f>
        <v>2013</v>
      </c>
      <c r="B238" s="92" t="s">
        <v>58</v>
      </c>
      <c r="C238" s="93">
        <f t="shared" si="22"/>
        <v>515.66852376983218</v>
      </c>
      <c r="D238" s="94">
        <v>0.7843</v>
      </c>
      <c r="E238" s="93">
        <f t="shared" si="28"/>
        <v>2.6881668769820122</v>
      </c>
      <c r="F238" s="154">
        <f t="shared" si="26"/>
        <v>7.0764601695765483</v>
      </c>
      <c r="G238" s="96">
        <f t="shared" si="23"/>
        <v>1.4575473317752317</v>
      </c>
      <c r="H238" s="185"/>
      <c r="I238" s="188"/>
      <c r="J238" s="185"/>
    </row>
    <row r="239" spans="1:10">
      <c r="A239" s="91">
        <f>2013</f>
        <v>2013</v>
      </c>
      <c r="B239" s="92" t="s">
        <v>59</v>
      </c>
      <c r="C239" s="93">
        <f t="shared" si="22"/>
        <v>517.28101924366047</v>
      </c>
      <c r="D239" s="94">
        <v>0.31269999999999998</v>
      </c>
      <c r="E239" s="93">
        <f t="shared" si="28"/>
        <v>3.0092727748063375</v>
      </c>
      <c r="F239" s="154">
        <f t="shared" si="26"/>
        <v>6.6830696272512036</v>
      </c>
      <c r="G239" s="96">
        <f t="shared" si="23"/>
        <v>1.4530037889272562</v>
      </c>
      <c r="H239" s="186"/>
      <c r="I239" s="188"/>
      <c r="J239" s="185"/>
    </row>
    <row r="240" spans="1:10">
      <c r="A240" s="91">
        <f>2013</f>
        <v>2013</v>
      </c>
      <c r="B240" s="92" t="s">
        <v>60</v>
      </c>
      <c r="C240" s="93">
        <f t="shared" si="22"/>
        <v>520.41160397212309</v>
      </c>
      <c r="D240" s="94">
        <v>0.60519999999999996</v>
      </c>
      <c r="E240" s="93">
        <f t="shared" si="28"/>
        <v>3.6326848936394596</v>
      </c>
      <c r="F240" s="154">
        <f t="shared" si="26"/>
        <v>6.8711999576167582</v>
      </c>
      <c r="G240" s="96">
        <f t="shared" si="23"/>
        <v>1.4442631085940449</v>
      </c>
      <c r="H240" s="186"/>
      <c r="I240" s="188"/>
      <c r="J240" s="185"/>
    </row>
    <row r="241" spans="1:10">
      <c r="A241" s="91">
        <f>2013</f>
        <v>2013</v>
      </c>
      <c r="B241" s="92" t="s">
        <v>61</v>
      </c>
      <c r="C241" s="93">
        <f t="shared" si="22"/>
        <v>522.20650359422291</v>
      </c>
      <c r="D241" s="94">
        <v>0.34489999999999998</v>
      </c>
      <c r="E241" s="93">
        <f t="shared" si="28"/>
        <v>3.9901140238376209</v>
      </c>
      <c r="F241" s="154">
        <f t="shared" si="26"/>
        <v>6.9934996899842394</v>
      </c>
      <c r="G241" s="96">
        <f t="shared" si="23"/>
        <v>1.439298966458729</v>
      </c>
      <c r="H241" s="186"/>
      <c r="I241" s="188"/>
      <c r="J241" s="185"/>
    </row>
    <row r="242" spans="1:10">
      <c r="A242" s="91">
        <f>2013</f>
        <v>2013</v>
      </c>
      <c r="B242" s="92" t="s">
        <v>62</v>
      </c>
      <c r="C242" s="93">
        <f t="shared" si="22"/>
        <v>522.70103315312667</v>
      </c>
      <c r="D242" s="94">
        <v>9.4700000000000006E-2</v>
      </c>
      <c r="E242" s="93">
        <f t="shared" si="28"/>
        <v>4.0885926618182022</v>
      </c>
      <c r="F242" s="154">
        <f t="shared" si="26"/>
        <v>6.644038184783585</v>
      </c>
      <c r="G242" s="96">
        <f t="shared" si="23"/>
        <v>1.4379372398925505</v>
      </c>
      <c r="H242" s="186"/>
      <c r="I242" s="188"/>
      <c r="J242" s="185"/>
    </row>
    <row r="243" spans="1:10">
      <c r="A243" s="91">
        <f>2013</f>
        <v>2013</v>
      </c>
      <c r="B243" s="92" t="s">
        <v>63</v>
      </c>
      <c r="C243" s="93">
        <f t="shared" si="22"/>
        <v>523.1871451139591</v>
      </c>
      <c r="D243" s="94">
        <v>9.2999999999999999E-2</v>
      </c>
      <c r="E243" s="93">
        <f t="shared" si="28"/>
        <v>4.1853950529936901</v>
      </c>
      <c r="F243" s="154">
        <f t="shared" si="26"/>
        <v>6.5274989549117368</v>
      </c>
      <c r="G243" s="96">
        <f t="shared" si="23"/>
        <v>1.4366012007758291</v>
      </c>
      <c r="H243" s="186"/>
      <c r="I243" s="188"/>
      <c r="J243" s="185"/>
    </row>
    <row r="244" spans="1:10">
      <c r="A244" s="91">
        <f>2013</f>
        <v>2013</v>
      </c>
      <c r="B244" s="92" t="s">
        <v>64</v>
      </c>
      <c r="C244" s="93">
        <f t="shared" si="22"/>
        <v>524.46110581231153</v>
      </c>
      <c r="D244" s="94">
        <v>0.24349999999999999</v>
      </c>
      <c r="E244" s="93">
        <f t="shared" si="28"/>
        <v>4.43908648994773</v>
      </c>
      <c r="F244" s="154">
        <f t="shared" si="26"/>
        <v>6.337193423877352</v>
      </c>
      <c r="G244" s="96">
        <f t="shared" si="23"/>
        <v>1.433111574092913</v>
      </c>
      <c r="H244" s="186"/>
      <c r="I244" s="188"/>
      <c r="J244" s="185"/>
    </row>
    <row r="245" spans="1:10">
      <c r="A245" s="91">
        <f>2013</f>
        <v>2013</v>
      </c>
      <c r="B245" s="92" t="s">
        <v>65</v>
      </c>
      <c r="C245" s="93">
        <f t="shared" si="22"/>
        <v>527.82971949494402</v>
      </c>
      <c r="D245" s="94">
        <v>0.64229999999999998</v>
      </c>
      <c r="E245" s="93">
        <f t="shared" si="28"/>
        <v>5.1098987424726516</v>
      </c>
      <c r="F245" s="154">
        <f t="shared" si="26"/>
        <v>6.1589298196124131</v>
      </c>
      <c r="G245" s="96">
        <f t="shared" si="23"/>
        <v>1.4239654440458067</v>
      </c>
      <c r="H245" s="186"/>
      <c r="I245" s="188"/>
      <c r="J245" s="185"/>
    </row>
    <row r="246" spans="1:10">
      <c r="A246" s="91">
        <f>2013</f>
        <v>2013</v>
      </c>
      <c r="B246" s="92" t="s">
        <v>66</v>
      </c>
      <c r="C246" s="93">
        <f t="shared" si="22"/>
        <v>530.1817287250135</v>
      </c>
      <c r="D246" s="94">
        <v>0.4456</v>
      </c>
      <c r="E246" s="93">
        <f t="shared" si="28"/>
        <v>5.5782684512691194</v>
      </c>
      <c r="F246" s="154">
        <f t="shared" si="26"/>
        <v>6.0326773186833993</v>
      </c>
      <c r="G246" s="96">
        <f t="shared" si="23"/>
        <v>1.4176484027630942</v>
      </c>
      <c r="H246" s="186"/>
      <c r="I246" s="188"/>
      <c r="J246" s="185"/>
    </row>
    <row r="247" spans="1:10">
      <c r="A247" s="91">
        <f>2013</f>
        <v>2013</v>
      </c>
      <c r="B247" s="92" t="s">
        <v>55</v>
      </c>
      <c r="C247" s="93">
        <f t="shared" si="22"/>
        <v>532.51187742275988</v>
      </c>
      <c r="D247" s="94">
        <v>0.4395</v>
      </c>
      <c r="E247" s="93">
        <f t="shared" si="28"/>
        <v>6.0422849411124302</v>
      </c>
      <c r="F247" s="154">
        <f t="shared" si="26"/>
        <v>6.0422849411124302</v>
      </c>
      <c r="G247" s="96">
        <f t="shared" si="23"/>
        <v>1.4114451015418181</v>
      </c>
      <c r="H247" s="186"/>
      <c r="I247" s="188"/>
      <c r="J247" s="185"/>
    </row>
    <row r="248" spans="1:10">
      <c r="A248" s="91">
        <f>2014</f>
        <v>2014</v>
      </c>
      <c r="B248" s="92" t="s">
        <v>56</v>
      </c>
      <c r="C248" s="93">
        <f t="shared" si="22"/>
        <v>542.89479400874882</v>
      </c>
      <c r="D248" s="94">
        <v>1.9498</v>
      </c>
      <c r="E248" s="93">
        <f t="shared" ref="E248:E259" si="29">100*((C248/$C$247)-1)</f>
        <v>1.9498000000000015</v>
      </c>
      <c r="F248" s="154">
        <f t="shared" si="26"/>
        <v>6.2283803403067273</v>
      </c>
      <c r="G248" s="96">
        <f t="shared" si="23"/>
        <v>1.3844510744913852</v>
      </c>
      <c r="H248" s="186"/>
      <c r="I248" s="188"/>
      <c r="J248" s="185"/>
    </row>
    <row r="249" spans="1:10">
      <c r="A249" s="91">
        <f>2014</f>
        <v>2014</v>
      </c>
      <c r="B249" s="92" t="s">
        <v>57</v>
      </c>
      <c r="C249" s="93">
        <f t="shared" si="22"/>
        <v>546.18039330208978</v>
      </c>
      <c r="D249" s="94">
        <v>0.60519999999999996</v>
      </c>
      <c r="E249" s="93">
        <f t="shared" si="29"/>
        <v>2.5668001896000048</v>
      </c>
      <c r="F249" s="154">
        <f t="shared" si="26"/>
        <v>6.7476607070275252</v>
      </c>
      <c r="G249" s="96">
        <f t="shared" si="23"/>
        <v>1.3761227794302733</v>
      </c>
      <c r="H249" s="186"/>
      <c r="I249" s="188"/>
      <c r="J249" s="185"/>
    </row>
    <row r="250" spans="1:10">
      <c r="A250" s="91">
        <f>2014</f>
        <v>2014</v>
      </c>
      <c r="B250" s="92" t="s">
        <v>58</v>
      </c>
      <c r="C250" s="93">
        <f t="shared" si="22"/>
        <v>550.6181089976692</v>
      </c>
      <c r="D250" s="94">
        <v>0.8125</v>
      </c>
      <c r="E250" s="93">
        <f t="shared" si="29"/>
        <v>3.4001554411404733</v>
      </c>
      <c r="F250" s="154">
        <f t="shared" si="26"/>
        <v>6.7775292880658089</v>
      </c>
      <c r="G250" s="96">
        <f t="shared" si="23"/>
        <v>1.3650318952811142</v>
      </c>
      <c r="H250" s="186"/>
      <c r="I250" s="188"/>
      <c r="J250" s="185"/>
    </row>
    <row r="251" spans="1:10">
      <c r="A251" s="91">
        <f>2014</f>
        <v>2014</v>
      </c>
      <c r="B251" s="92" t="s">
        <v>59</v>
      </c>
      <c r="C251" s="93">
        <f t="shared" si="22"/>
        <v>553.72965193161508</v>
      </c>
      <c r="D251" s="94">
        <v>0.56510000000000005</v>
      </c>
      <c r="E251" s="93">
        <f t="shared" si="29"/>
        <v>3.984469719538386</v>
      </c>
      <c r="F251" s="154">
        <f t="shared" si="26"/>
        <v>7.0461956522680502</v>
      </c>
      <c r="G251" s="96">
        <f t="shared" si="23"/>
        <v>1.3573614457511742</v>
      </c>
      <c r="H251" s="186"/>
      <c r="I251" s="188"/>
      <c r="J251" s="185"/>
    </row>
    <row r="252" spans="1:10">
      <c r="A252" s="91">
        <f>2014</f>
        <v>2014</v>
      </c>
      <c r="B252" s="92" t="s">
        <v>60</v>
      </c>
      <c r="C252" s="93">
        <f t="shared" si="22"/>
        <v>554.50653463327512</v>
      </c>
      <c r="D252" s="94">
        <v>0.14030000000000001</v>
      </c>
      <c r="E252" s="93">
        <f t="shared" si="29"/>
        <v>4.1303599305548833</v>
      </c>
      <c r="F252" s="154">
        <f t="shared" si="26"/>
        <v>6.5515315955518849</v>
      </c>
      <c r="G252" s="96">
        <f t="shared" si="23"/>
        <v>1.3554597357419285</v>
      </c>
      <c r="H252" s="186"/>
      <c r="I252" s="188"/>
      <c r="J252" s="185"/>
    </row>
    <row r="253" spans="1:10">
      <c r="A253" s="91">
        <f>2014</f>
        <v>2014</v>
      </c>
      <c r="B253" s="92" t="s">
        <v>61</v>
      </c>
      <c r="C253" s="93">
        <f t="shared" si="22"/>
        <v>554.51707025743315</v>
      </c>
      <c r="D253" s="94">
        <v>1.9E-3</v>
      </c>
      <c r="E253" s="93">
        <f t="shared" si="29"/>
        <v>4.1323384073935765</v>
      </c>
      <c r="F253" s="154">
        <f t="shared" si="26"/>
        <v>6.1873160216934009</v>
      </c>
      <c r="G253" s="96">
        <f t="shared" si="23"/>
        <v>1.3554339824962609</v>
      </c>
      <c r="H253" s="186"/>
      <c r="I253" s="188"/>
      <c r="J253" s="185"/>
    </row>
    <row r="254" spans="1:10">
      <c r="A254" s="91">
        <f>2014</f>
        <v>2014</v>
      </c>
      <c r="B254" s="92" t="s">
        <v>62</v>
      </c>
      <c r="C254" s="93">
        <f t="shared" si="22"/>
        <v>558.30331281315091</v>
      </c>
      <c r="D254" s="94">
        <v>0.68279999999999996</v>
      </c>
      <c r="E254" s="93">
        <f t="shared" si="29"/>
        <v>4.8433540140392584</v>
      </c>
      <c r="F254" s="154">
        <f t="shared" si="26"/>
        <v>6.8112127969707892</v>
      </c>
      <c r="G254" s="96">
        <f t="shared" si="23"/>
        <v>1.3462418431909531</v>
      </c>
      <c r="H254" s="186"/>
      <c r="I254" s="188"/>
      <c r="J254" s="185"/>
    </row>
    <row r="255" spans="1:10">
      <c r="A255" s="91">
        <f>2014</f>
        <v>2014</v>
      </c>
      <c r="B255" s="92" t="s">
        <v>63</v>
      </c>
      <c r="C255" s="93">
        <f t="shared" si="22"/>
        <v>558.39822437632915</v>
      </c>
      <c r="D255" s="94">
        <v>1.7000000000000001E-2</v>
      </c>
      <c r="E255" s="93">
        <f t="shared" si="29"/>
        <v>4.8611773842216488</v>
      </c>
      <c r="F255" s="154">
        <f t="shared" si="26"/>
        <v>6.7301116992659393</v>
      </c>
      <c r="G255" s="96">
        <f t="shared" si="23"/>
        <v>1.3460130209773868</v>
      </c>
      <c r="H255" s="186"/>
      <c r="I255" s="188"/>
      <c r="J255" s="185"/>
    </row>
    <row r="256" spans="1:10">
      <c r="A256" s="91">
        <f>2014</f>
        <v>2014</v>
      </c>
      <c r="B256" s="92" t="s">
        <v>64</v>
      </c>
      <c r="C256" s="93">
        <f t="shared" si="22"/>
        <v>559.66522994743912</v>
      </c>
      <c r="D256" s="94">
        <v>0.22689999999999999</v>
      </c>
      <c r="E256" s="93">
        <f t="shared" si="29"/>
        <v>5.0991073957064481</v>
      </c>
      <c r="F256" s="154">
        <f t="shared" si="26"/>
        <v>6.7124375373082579</v>
      </c>
      <c r="G256" s="96">
        <f t="shared" si="23"/>
        <v>1.3429658315057003</v>
      </c>
      <c r="H256" s="186"/>
      <c r="I256" s="188"/>
      <c r="J256" s="185"/>
    </row>
    <row r="257" spans="1:10">
      <c r="A257" s="91">
        <f>2014</f>
        <v>2014</v>
      </c>
      <c r="B257" s="92" t="s">
        <v>65</v>
      </c>
      <c r="C257" s="93">
        <f t="shared" ref="C257:C318" si="30">+C256*(1+D257/100)</f>
        <v>562.46019810579662</v>
      </c>
      <c r="D257" s="94">
        <v>0.49940000000000001</v>
      </c>
      <c r="E257" s="93">
        <f t="shared" si="29"/>
        <v>5.623972338040617</v>
      </c>
      <c r="F257" s="154">
        <f t="shared" si="26"/>
        <v>6.5609186697537458</v>
      </c>
      <c r="G257" s="96">
        <f t="shared" si="23"/>
        <v>1.3362923873234072</v>
      </c>
      <c r="H257" s="186"/>
      <c r="I257" s="188"/>
      <c r="J257" s="185"/>
    </row>
    <row r="258" spans="1:10">
      <c r="A258" s="91">
        <f>2014</f>
        <v>2014</v>
      </c>
      <c r="B258" s="92" t="s">
        <v>66</v>
      </c>
      <c r="C258" s="93">
        <f t="shared" si="30"/>
        <v>565.41198922545584</v>
      </c>
      <c r="D258" s="94">
        <v>0.52480000000000004</v>
      </c>
      <c r="E258" s="93">
        <f t="shared" si="29"/>
        <v>6.1782869448706368</v>
      </c>
      <c r="F258" s="154">
        <f t="shared" si="26"/>
        <v>6.6449405159933361</v>
      </c>
      <c r="G258" s="96">
        <f t="shared" si="23"/>
        <v>1.3293161362404176</v>
      </c>
      <c r="H258" s="186"/>
      <c r="I258" s="188"/>
      <c r="J258" s="185"/>
    </row>
    <row r="259" spans="1:10">
      <c r="A259" s="91">
        <f>2014</f>
        <v>2014</v>
      </c>
      <c r="B259" s="92" t="s">
        <v>55</v>
      </c>
      <c r="C259" s="93">
        <f t="shared" si="30"/>
        <v>568.36400522120186</v>
      </c>
      <c r="D259" s="94">
        <v>0.52210000000000001</v>
      </c>
      <c r="E259" s="93">
        <f t="shared" si="29"/>
        <v>6.732643781009795</v>
      </c>
      <c r="F259" s="154">
        <f t="shared" si="26"/>
        <v>6.732643781009795</v>
      </c>
      <c r="G259" s="96">
        <f t="shared" si="23"/>
        <v>1.3224118241067564</v>
      </c>
      <c r="H259" s="186"/>
      <c r="I259" s="188"/>
      <c r="J259" s="185"/>
    </row>
    <row r="260" spans="1:10">
      <c r="A260" s="91">
        <f>2015</f>
        <v>2015</v>
      </c>
      <c r="B260" s="92" t="s">
        <v>56</v>
      </c>
      <c r="C260" s="93">
        <f t="shared" si="30"/>
        <v>581.17151971485646</v>
      </c>
      <c r="D260" s="94">
        <v>2.2534000000000001</v>
      </c>
      <c r="E260" s="93">
        <f t="shared" ref="E260:E271" si="31">100*((C260/$C$259)-1)</f>
        <v>2.2534000000000054</v>
      </c>
      <c r="F260" s="154">
        <f t="shared" si="26"/>
        <v>7.0504867846441055</v>
      </c>
      <c r="G260" s="96">
        <f t="shared" si="23"/>
        <v>1.2932692938393797</v>
      </c>
      <c r="H260" s="186"/>
      <c r="I260" s="188"/>
      <c r="J260" s="185"/>
    </row>
    <row r="261" spans="1:10">
      <c r="A261" s="91">
        <f>2015</f>
        <v>2015</v>
      </c>
      <c r="B261" s="92" t="s">
        <v>57</v>
      </c>
      <c r="C261" s="93">
        <f t="shared" si="30"/>
        <v>589.32070676429817</v>
      </c>
      <c r="D261" s="94">
        <v>1.4021999999999999</v>
      </c>
      <c r="E261" s="93">
        <f t="shared" si="31"/>
        <v>3.6871971747999943</v>
      </c>
      <c r="F261" s="154">
        <f t="shared" si="26"/>
        <v>7.8985467056756242</v>
      </c>
      <c r="G261" s="96">
        <f t="shared" si="23"/>
        <v>1.2753858336795254</v>
      </c>
      <c r="H261" s="186"/>
      <c r="I261" s="188"/>
      <c r="J261" s="185"/>
    </row>
    <row r="262" spans="1:10">
      <c r="A262" s="91">
        <f>2015</f>
        <v>2015</v>
      </c>
      <c r="B262" s="92" t="s">
        <v>58</v>
      </c>
      <c r="C262" s="93">
        <f t="shared" si="30"/>
        <v>596.74143310387421</v>
      </c>
      <c r="D262" s="94">
        <v>1.2592000000000001</v>
      </c>
      <c r="E262" s="93">
        <f t="shared" si="31"/>
        <v>4.9928263616250801</v>
      </c>
      <c r="F262" s="154">
        <f t="shared" si="26"/>
        <v>8.3766449654492305</v>
      </c>
      <c r="G262" s="96">
        <f t="shared" si="23"/>
        <v>1.2595258837513286</v>
      </c>
      <c r="H262" s="186"/>
      <c r="I262" s="188"/>
      <c r="J262" s="185"/>
    </row>
    <row r="263" spans="1:10">
      <c r="A263" s="91">
        <f>2015</f>
        <v>2015</v>
      </c>
      <c r="B263" s="92" t="s">
        <v>59</v>
      </c>
      <c r="C263" s="93">
        <f t="shared" si="30"/>
        <v>600.01635008874825</v>
      </c>
      <c r="D263" s="94">
        <v>0.54879999999999995</v>
      </c>
      <c r="E263" s="93">
        <f t="shared" si="31"/>
        <v>5.5690269926976788</v>
      </c>
      <c r="F263" s="154">
        <f t="shared" si="26"/>
        <v>8.3590788385032191</v>
      </c>
      <c r="G263" s="96">
        <f t="shared" ref="G263:G315" si="32">+$C$322/C263</f>
        <v>1.2526513332345375</v>
      </c>
      <c r="H263" s="186"/>
      <c r="I263" s="188"/>
      <c r="J263" s="185"/>
    </row>
    <row r="264" spans="1:10">
      <c r="A264" s="91">
        <f>2015</f>
        <v>2015</v>
      </c>
      <c r="B264" s="92" t="s">
        <v>60</v>
      </c>
      <c r="C264" s="93">
        <f t="shared" si="30"/>
        <v>603.42564298995251</v>
      </c>
      <c r="D264" s="94">
        <v>0.56820000000000004</v>
      </c>
      <c r="E264" s="93">
        <f t="shared" si="31"/>
        <v>6.1688702040701759</v>
      </c>
      <c r="F264" s="154">
        <f t="shared" si="26"/>
        <v>8.8220977213605334</v>
      </c>
      <c r="G264" s="96">
        <f t="shared" si="32"/>
        <v>1.2455739818695548</v>
      </c>
      <c r="H264" s="186"/>
      <c r="I264" s="188"/>
      <c r="J264" s="185"/>
    </row>
    <row r="265" spans="1:10">
      <c r="A265" s="91">
        <f>2015</f>
        <v>2015</v>
      </c>
      <c r="B265" s="92" t="s">
        <v>61</v>
      </c>
      <c r="C265" s="93">
        <f t="shared" si="30"/>
        <v>608.34235512903467</v>
      </c>
      <c r="D265" s="94">
        <v>0.81479999999999997</v>
      </c>
      <c r="E265" s="93">
        <f t="shared" si="31"/>
        <v>7.0339341584929604</v>
      </c>
      <c r="F265" s="154">
        <f t="shared" si="26"/>
        <v>9.7066957463749937</v>
      </c>
      <c r="G265" s="96">
        <f t="shared" si="32"/>
        <v>1.2355070702610675</v>
      </c>
      <c r="H265" s="186"/>
      <c r="I265" s="188"/>
      <c r="J265" s="185"/>
    </row>
    <row r="266" spans="1:10">
      <c r="A266" s="91">
        <f>2015</f>
        <v>2015</v>
      </c>
      <c r="B266" s="92" t="s">
        <v>62</v>
      </c>
      <c r="C266" s="93">
        <f t="shared" si="30"/>
        <v>614.12039081805028</v>
      </c>
      <c r="D266" s="94">
        <v>0.94979999999999998</v>
      </c>
      <c r="E266" s="93">
        <f t="shared" si="31"/>
        <v>8.0505424651303272</v>
      </c>
      <c r="F266" s="154">
        <f t="shared" si="26"/>
        <v>9.9976261512135789</v>
      </c>
      <c r="G266" s="96">
        <f t="shared" si="32"/>
        <v>1.2238826330127128</v>
      </c>
      <c r="H266" s="186"/>
      <c r="I266" s="188"/>
      <c r="J266" s="185"/>
    </row>
    <row r="267" spans="1:10">
      <c r="A267" s="91">
        <f>2015</f>
        <v>2015</v>
      </c>
      <c r="B267" s="92" t="s">
        <v>63</v>
      </c>
      <c r="C267" s="93">
        <f t="shared" si="30"/>
        <v>614.49561837684007</v>
      </c>
      <c r="D267" s="94">
        <v>6.1100000000000002E-2</v>
      </c>
      <c r="E267" s="93">
        <f t="shared" si="31"/>
        <v>8.116561346576523</v>
      </c>
      <c r="F267" s="154">
        <f t="shared" si="26"/>
        <v>10.0461268592259</v>
      </c>
      <c r="G267" s="96">
        <f t="shared" si="32"/>
        <v>1.2231352973460343</v>
      </c>
      <c r="H267" s="186"/>
      <c r="I267" s="188"/>
      <c r="J267" s="185"/>
    </row>
    <row r="268" spans="1:10">
      <c r="A268" s="91">
        <f>2015</f>
        <v>2015</v>
      </c>
      <c r="B268" s="92" t="s">
        <v>64</v>
      </c>
      <c r="C268" s="93">
        <f t="shared" si="30"/>
        <v>617.47469313473096</v>
      </c>
      <c r="D268" s="94">
        <v>0.48480000000000001</v>
      </c>
      <c r="E268" s="93">
        <f t="shared" si="31"/>
        <v>8.6407104359847118</v>
      </c>
      <c r="F268" s="154">
        <f t="shared" si="26"/>
        <v>10.329293315706067</v>
      </c>
      <c r="G268" s="96">
        <f t="shared" si="32"/>
        <v>1.2172341462052314</v>
      </c>
      <c r="H268" s="186"/>
      <c r="I268" s="188"/>
      <c r="J268" s="185"/>
    </row>
    <row r="269" spans="1:10">
      <c r="A269" s="91">
        <f>2015</f>
        <v>2015</v>
      </c>
      <c r="B269" s="92" t="s">
        <v>65</v>
      </c>
      <c r="C269" s="93">
        <f t="shared" si="30"/>
        <v>622.31939957706606</v>
      </c>
      <c r="D269" s="94">
        <v>0.78459999999999996</v>
      </c>
      <c r="E269" s="93">
        <f t="shared" si="31"/>
        <v>9.4931054500654533</v>
      </c>
      <c r="F269" s="154">
        <f t="shared" si="26"/>
        <v>10.642388861088836</v>
      </c>
      <c r="G269" s="96">
        <f t="shared" si="32"/>
        <v>1.2077580763382814</v>
      </c>
      <c r="H269" s="186"/>
      <c r="I269" s="188"/>
      <c r="J269" s="185"/>
    </row>
    <row r="270" spans="1:10">
      <c r="A270" s="91">
        <f>2015</f>
        <v>2015</v>
      </c>
      <c r="B270" s="92" t="s">
        <v>66</v>
      </c>
      <c r="C270" s="93">
        <f t="shared" si="30"/>
        <v>628.68012616014323</v>
      </c>
      <c r="D270" s="94">
        <v>1.0221</v>
      </c>
      <c r="E270" s="93">
        <f t="shared" si="31"/>
        <v>10.612234480870564</v>
      </c>
      <c r="F270" s="154">
        <f t="shared" si="26"/>
        <v>11.189740957095173</v>
      </c>
      <c r="G270" s="96">
        <f t="shared" si="32"/>
        <v>1.1955384775591493</v>
      </c>
      <c r="H270" s="186"/>
      <c r="I270" s="188"/>
      <c r="J270" s="185"/>
    </row>
    <row r="271" spans="1:10">
      <c r="A271" s="91">
        <f>2015</f>
        <v>2015</v>
      </c>
      <c r="B271" s="92" t="s">
        <v>55</v>
      </c>
      <c r="C271" s="93">
        <f t="shared" si="30"/>
        <v>633.50461744829613</v>
      </c>
      <c r="D271" s="94">
        <v>0.76739999999999997</v>
      </c>
      <c r="E271" s="93">
        <f t="shared" si="31"/>
        <v>11.46107276827677</v>
      </c>
      <c r="F271" s="154">
        <f t="shared" si="26"/>
        <v>11.46107276827677</v>
      </c>
      <c r="G271" s="96">
        <f t="shared" si="32"/>
        <v>1.186433784695397</v>
      </c>
      <c r="H271" s="186"/>
      <c r="I271" s="188"/>
      <c r="J271" s="185"/>
    </row>
    <row r="272" spans="1:10">
      <c r="A272" s="91">
        <f>2016</f>
        <v>2016</v>
      </c>
      <c r="B272" s="92" t="s">
        <v>56</v>
      </c>
      <c r="C272" s="93">
        <f t="shared" si="30"/>
        <v>644.89566397463398</v>
      </c>
      <c r="D272" s="94">
        <v>1.7981</v>
      </c>
      <c r="E272" s="93">
        <f t="shared" ref="E272:E283" si="33">100*((C272/$C$271)-1)</f>
        <v>1.7981000000000025</v>
      </c>
      <c r="F272" s="154">
        <f t="shared" si="26"/>
        <v>10.964774098194429</v>
      </c>
      <c r="G272" s="96">
        <f t="shared" si="32"/>
        <v>1.16547733670412</v>
      </c>
      <c r="H272" s="186"/>
      <c r="I272" s="188"/>
      <c r="J272" s="185"/>
    </row>
    <row r="273" spans="1:10">
      <c r="A273" s="91">
        <f>2016</f>
        <v>2016</v>
      </c>
      <c r="B273" s="92" t="s">
        <v>57</v>
      </c>
      <c r="C273" s="93">
        <f t="shared" si="30"/>
        <v>649.44669267530298</v>
      </c>
      <c r="D273" s="94">
        <v>0.70569999999999999</v>
      </c>
      <c r="E273" s="93">
        <f t="shared" si="33"/>
        <v>2.5164891916999999</v>
      </c>
      <c r="F273" s="154">
        <f t="shared" si="26"/>
        <v>10.202591767245073</v>
      </c>
      <c r="G273" s="96">
        <f t="shared" si="32"/>
        <v>1.1573101986323713</v>
      </c>
      <c r="H273" s="186"/>
      <c r="I273" s="188"/>
      <c r="J273" s="185"/>
    </row>
    <row r="274" spans="1:10">
      <c r="A274" s="91">
        <f>2016</f>
        <v>2016</v>
      </c>
      <c r="B274" s="92" t="s">
        <v>58</v>
      </c>
      <c r="C274" s="93">
        <f t="shared" si="30"/>
        <v>652.30555701645972</v>
      </c>
      <c r="D274" s="94">
        <v>0.44019999999999998</v>
      </c>
      <c r="E274" s="93">
        <f t="shared" si="33"/>
        <v>2.9677667771218719</v>
      </c>
      <c r="F274" s="154">
        <f t="shared" si="26"/>
        <v>9.3112562376598937</v>
      </c>
      <c r="G274" s="96">
        <f t="shared" si="32"/>
        <v>1.1522380467505753</v>
      </c>
      <c r="H274" s="186"/>
      <c r="I274" s="188"/>
      <c r="J274" s="185"/>
    </row>
    <row r="275" spans="1:10">
      <c r="A275" s="91">
        <f>2016</f>
        <v>2016</v>
      </c>
      <c r="B275" s="92" t="s">
        <v>59</v>
      </c>
      <c r="C275" s="93">
        <f t="shared" si="30"/>
        <v>656.03609249703686</v>
      </c>
      <c r="D275" s="94">
        <v>0.57189999999999996</v>
      </c>
      <c r="E275" s="93">
        <f t="shared" si="33"/>
        <v>3.5566394353202302</v>
      </c>
      <c r="F275" s="154">
        <f t="shared" si="26"/>
        <v>9.3363693172698881</v>
      </c>
      <c r="G275" s="96">
        <f t="shared" si="32"/>
        <v>1.1456858692642531</v>
      </c>
      <c r="H275" s="186"/>
      <c r="I275" s="188"/>
      <c r="J275" s="185"/>
    </row>
    <row r="276" spans="1:10">
      <c r="A276" s="91">
        <f>2016</f>
        <v>2016</v>
      </c>
      <c r="B276" s="92" t="s">
        <v>60</v>
      </c>
      <c r="C276" s="93">
        <f t="shared" si="30"/>
        <v>660.40857305352961</v>
      </c>
      <c r="D276" s="94">
        <v>0.66649999999999998</v>
      </c>
      <c r="E276" s="93">
        <f t="shared" si="33"/>
        <v>4.2468444371566605</v>
      </c>
      <c r="F276" s="154">
        <f t="shared" si="26"/>
        <v>9.4432397306201121</v>
      </c>
      <c r="G276" s="96">
        <f t="shared" si="32"/>
        <v>1.1381004298989763</v>
      </c>
      <c r="H276" s="186"/>
      <c r="I276" s="188"/>
      <c r="J276" s="185"/>
    </row>
    <row r="277" spans="1:10">
      <c r="A277" s="91">
        <f>2016</f>
        <v>2016</v>
      </c>
      <c r="B277" s="92" t="s">
        <v>61</v>
      </c>
      <c r="C277" s="93">
        <f t="shared" si="30"/>
        <v>663.40286552375437</v>
      </c>
      <c r="D277" s="94">
        <v>0.45340000000000003</v>
      </c>
      <c r="E277" s="93">
        <f t="shared" si="33"/>
        <v>4.7194996298347336</v>
      </c>
      <c r="F277" s="154">
        <f t="shared" si="26"/>
        <v>9.050908576477612</v>
      </c>
      <c r="G277" s="96">
        <f t="shared" si="32"/>
        <v>1.132963573058728</v>
      </c>
      <c r="H277" s="186"/>
      <c r="I277" s="188"/>
      <c r="J277" s="185"/>
    </row>
    <row r="278" spans="1:10">
      <c r="A278" s="91">
        <f>2016</f>
        <v>2016</v>
      </c>
      <c r="B278" s="92" t="s">
        <v>62</v>
      </c>
      <c r="C278" s="93">
        <f t="shared" si="30"/>
        <v>664.80861619579923</v>
      </c>
      <c r="D278" s="94">
        <v>0.21190000000000001</v>
      </c>
      <c r="E278" s="93">
        <f t="shared" si="33"/>
        <v>4.9414002495503428</v>
      </c>
      <c r="F278" s="154">
        <f t="shared" ref="F278:F318" si="34">100*((C278/C266)-1)</f>
        <v>8.2537929265349419</v>
      </c>
      <c r="G278" s="96">
        <f t="shared" si="32"/>
        <v>1.1305678996793074</v>
      </c>
      <c r="H278" s="186"/>
      <c r="I278" s="188"/>
      <c r="J278" s="185"/>
    </row>
    <row r="279" spans="1:10">
      <c r="A279" s="91">
        <f>2016</f>
        <v>2016</v>
      </c>
      <c r="B279" s="92" t="s">
        <v>63</v>
      </c>
      <c r="C279" s="93">
        <f t="shared" si="30"/>
        <v>667.17334044360769</v>
      </c>
      <c r="D279" s="94">
        <v>0.35570000000000002</v>
      </c>
      <c r="E279" s="93">
        <f t="shared" si="33"/>
        <v>5.314676810238006</v>
      </c>
      <c r="F279" s="154">
        <f t="shared" si="34"/>
        <v>8.5725138620049499</v>
      </c>
      <c r="G279" s="96">
        <f t="shared" si="32"/>
        <v>1.1265607231869315</v>
      </c>
      <c r="H279" s="186"/>
      <c r="J279" s="185"/>
    </row>
    <row r="280" spans="1:10">
      <c r="A280" s="91">
        <f>2016</f>
        <v>2016</v>
      </c>
      <c r="B280" s="92" t="s">
        <v>64</v>
      </c>
      <c r="C280" s="93">
        <f t="shared" si="30"/>
        <v>667.36682071233622</v>
      </c>
      <c r="D280" s="94">
        <v>2.9000000000000001E-2</v>
      </c>
      <c r="E280" s="93">
        <f t="shared" si="33"/>
        <v>5.3452180665129578</v>
      </c>
      <c r="F280" s="154">
        <f t="shared" si="34"/>
        <v>8.080027915689648</v>
      </c>
      <c r="G280" s="96">
        <f t="shared" si="32"/>
        <v>1.1262341152934967</v>
      </c>
      <c r="H280" s="186"/>
      <c r="J280" s="185"/>
    </row>
    <row r="281" spans="1:10">
      <c r="A281" s="91">
        <f>2016</f>
        <v>2016</v>
      </c>
      <c r="B281" s="92" t="s">
        <v>65</v>
      </c>
      <c r="C281" s="93">
        <f t="shared" si="30"/>
        <v>669.82006114527474</v>
      </c>
      <c r="D281" s="94">
        <v>0.36759999999999998</v>
      </c>
      <c r="E281" s="93">
        <f t="shared" si="33"/>
        <v>5.732467088125448</v>
      </c>
      <c r="F281" s="154">
        <f t="shared" si="34"/>
        <v>7.6328428135922666</v>
      </c>
      <c r="G281" s="96">
        <f t="shared" si="32"/>
        <v>1.1221092417209306</v>
      </c>
      <c r="H281" s="186"/>
      <c r="J281" s="185"/>
    </row>
    <row r="282" spans="1:10">
      <c r="A282" s="91">
        <f>2016</f>
        <v>2016</v>
      </c>
      <c r="B282" s="92" t="s">
        <v>66</v>
      </c>
      <c r="C282" s="93">
        <f t="shared" si="30"/>
        <v>671.68149109519754</v>
      </c>
      <c r="D282" s="94">
        <v>0.27789999999999998</v>
      </c>
      <c r="E282" s="93">
        <f t="shared" si="33"/>
        <v>6.0262976141633562</v>
      </c>
      <c r="F282" s="154">
        <f t="shared" si="34"/>
        <v>6.8399434220544508</v>
      </c>
      <c r="G282" s="96">
        <f t="shared" si="32"/>
        <v>1.1189995419937298</v>
      </c>
      <c r="H282" s="186"/>
      <c r="I282" s="189"/>
      <c r="J282" s="185"/>
    </row>
    <row r="283" spans="1:10">
      <c r="A283" s="91">
        <f>2016</f>
        <v>2016</v>
      </c>
      <c r="B283" s="92" t="s">
        <v>55</v>
      </c>
      <c r="C283" s="93">
        <f t="shared" si="30"/>
        <v>672.48952392898514</v>
      </c>
      <c r="D283" s="94">
        <v>0.1203</v>
      </c>
      <c r="E283" s="93">
        <f t="shared" si="33"/>
        <v>6.1538472501932118</v>
      </c>
      <c r="F283" s="154">
        <f t="shared" si="34"/>
        <v>6.1538472501932118</v>
      </c>
      <c r="G283" s="96">
        <f t="shared" si="32"/>
        <v>1.1176550030250905</v>
      </c>
      <c r="H283" s="190"/>
      <c r="I283" s="189"/>
      <c r="J283" s="185"/>
    </row>
    <row r="284" spans="1:10">
      <c r="A284" s="91">
        <f>2017</f>
        <v>2017</v>
      </c>
      <c r="B284" s="92" t="s">
        <v>56</v>
      </c>
      <c r="C284" s="93">
        <f t="shared" si="30"/>
        <v>679.4975372578491</v>
      </c>
      <c r="D284" s="94">
        <v>1.0421</v>
      </c>
      <c r="E284" s="93">
        <f t="shared" ref="E284:E295" si="35">100*((C284/$C$283)-1)</f>
        <v>1.0421000000000014</v>
      </c>
      <c r="F284" s="154">
        <f t="shared" si="34"/>
        <v>5.3654994468339545</v>
      </c>
      <c r="G284" s="96">
        <f t="shared" si="32"/>
        <v>1.1061280426921951</v>
      </c>
      <c r="H284" s="190"/>
      <c r="I284" s="189"/>
      <c r="J284" s="185"/>
    </row>
    <row r="285" spans="1:10">
      <c r="A285" s="91">
        <f>2017</f>
        <v>2017</v>
      </c>
      <c r="B285" s="92" t="s">
        <v>57</v>
      </c>
      <c r="C285" s="93">
        <f t="shared" si="30"/>
        <v>678.54624070568809</v>
      </c>
      <c r="D285" s="94">
        <v>-0.14000000000000001</v>
      </c>
      <c r="E285" s="93">
        <f t="shared" si="35"/>
        <v>0.90064106000000699</v>
      </c>
      <c r="F285" s="154">
        <f t="shared" si="34"/>
        <v>4.4806676758201158</v>
      </c>
      <c r="G285" s="96">
        <f t="shared" si="32"/>
        <v>1.1076787930023986</v>
      </c>
      <c r="H285" s="190"/>
      <c r="I285" s="189"/>
      <c r="J285" s="185"/>
    </row>
    <row r="286" spans="1:10">
      <c r="A286" s="91">
        <f>2017</f>
        <v>2017</v>
      </c>
      <c r="B286" s="92" t="s">
        <v>58</v>
      </c>
      <c r="C286" s="93">
        <f t="shared" si="30"/>
        <v>678.59170330381539</v>
      </c>
      <c r="D286" s="94">
        <v>6.7000000000000002E-3</v>
      </c>
      <c r="E286" s="93">
        <f t="shared" si="35"/>
        <v>0.90740140295102467</v>
      </c>
      <c r="F286" s="154">
        <f t="shared" si="34"/>
        <v>4.0297290134372332</v>
      </c>
      <c r="G286" s="96">
        <f t="shared" si="32"/>
        <v>1.1076045834953043</v>
      </c>
      <c r="H286" s="190"/>
      <c r="I286" s="189"/>
      <c r="J286" s="185"/>
    </row>
    <row r="287" spans="1:10">
      <c r="A287" s="91">
        <f>2017</f>
        <v>2017</v>
      </c>
      <c r="B287" s="92" t="s">
        <v>59</v>
      </c>
      <c r="C287" s="93">
        <f t="shared" si="30"/>
        <v>677.40348923133047</v>
      </c>
      <c r="D287" s="94">
        <v>-0.17510000000000001</v>
      </c>
      <c r="E287" s="93">
        <f t="shared" si="35"/>
        <v>0.73071254309446942</v>
      </c>
      <c r="F287" s="154">
        <f t="shared" si="34"/>
        <v>3.2570459123619111</v>
      </c>
      <c r="G287" s="96">
        <f t="shared" si="32"/>
        <v>1.1095474009944455</v>
      </c>
      <c r="H287" s="190"/>
      <c r="I287" s="189"/>
      <c r="J287" s="185"/>
    </row>
    <row r="288" spans="1:10">
      <c r="A288" s="91">
        <f>2017</f>
        <v>2017</v>
      </c>
      <c r="B288" s="92" t="s">
        <v>60</v>
      </c>
      <c r="C288" s="93">
        <f t="shared" si="30"/>
        <v>679.87804417749248</v>
      </c>
      <c r="D288" s="94">
        <v>0.36530000000000001</v>
      </c>
      <c r="E288" s="93">
        <f t="shared" si="35"/>
        <v>1.0986818360143813</v>
      </c>
      <c r="F288" s="154">
        <f t="shared" si="34"/>
        <v>2.9480948489117864</v>
      </c>
      <c r="G288" s="96">
        <f t="shared" si="32"/>
        <v>1.105508976702551</v>
      </c>
      <c r="H288" s="190"/>
      <c r="I288" s="189"/>
      <c r="J288" s="185"/>
    </row>
    <row r="289" spans="1:10">
      <c r="A289" s="91">
        <f>2017</f>
        <v>2017</v>
      </c>
      <c r="B289" s="92" t="s">
        <v>61</v>
      </c>
      <c r="C289" s="93">
        <f t="shared" si="30"/>
        <v>677.76022406987965</v>
      </c>
      <c r="D289" s="94">
        <v>-0.3115</v>
      </c>
      <c r="E289" s="93">
        <f t="shared" si="35"/>
        <v>0.78375944209521098</v>
      </c>
      <c r="F289" s="154">
        <f t="shared" si="34"/>
        <v>2.1641990549423173</v>
      </c>
      <c r="G289" s="96">
        <f t="shared" si="32"/>
        <v>1.108963397686344</v>
      </c>
      <c r="H289" s="190"/>
      <c r="I289" s="189"/>
      <c r="J289" s="185"/>
    </row>
    <row r="290" spans="1:10">
      <c r="A290" s="91">
        <f>2017</f>
        <v>2017</v>
      </c>
      <c r="B290" s="92" t="s">
        <v>62</v>
      </c>
      <c r="C290" s="93">
        <f t="shared" si="30"/>
        <v>678.67452261214999</v>
      </c>
      <c r="D290" s="94">
        <v>0.13489999999999999</v>
      </c>
      <c r="E290" s="93">
        <f t="shared" si="35"/>
        <v>0.91971673358259842</v>
      </c>
      <c r="F290" s="154">
        <f t="shared" si="34"/>
        <v>2.0856989633640577</v>
      </c>
      <c r="G290" s="96">
        <f t="shared" si="32"/>
        <v>1.1074694214368257</v>
      </c>
      <c r="H290" s="190"/>
      <c r="I290" s="189"/>
      <c r="J290" s="185"/>
    </row>
    <row r="291" spans="1:10">
      <c r="A291" s="91">
        <f>2017</f>
        <v>2017</v>
      </c>
      <c r="B291" s="92" t="s">
        <v>63</v>
      </c>
      <c r="C291" s="93">
        <f t="shared" si="30"/>
        <v>678.60122576370793</v>
      </c>
      <c r="D291" s="94">
        <v>-1.0800000000000001E-2</v>
      </c>
      <c r="E291" s="93">
        <f t="shared" si="35"/>
        <v>0.90881740417538825</v>
      </c>
      <c r="F291" s="154">
        <f t="shared" si="34"/>
        <v>1.7128809901939102</v>
      </c>
      <c r="G291" s="96">
        <f t="shared" si="32"/>
        <v>1.1075890410532592</v>
      </c>
      <c r="H291" s="190"/>
      <c r="I291" s="189"/>
      <c r="J291" s="185"/>
    </row>
    <row r="292" spans="1:10">
      <c r="A292" s="91">
        <f>2017</f>
        <v>2017</v>
      </c>
      <c r="B292" s="92" t="s">
        <v>64</v>
      </c>
      <c r="C292" s="93">
        <f t="shared" si="30"/>
        <v>679.98896527039471</v>
      </c>
      <c r="D292" s="94">
        <v>0.20449999999999999</v>
      </c>
      <c r="E292" s="93">
        <f t="shared" si="35"/>
        <v>1.1151759357669322</v>
      </c>
      <c r="F292" s="154">
        <f t="shared" si="34"/>
        <v>1.8913353445689562</v>
      </c>
      <c r="G292" s="96">
        <f t="shared" si="32"/>
        <v>1.1053286439763277</v>
      </c>
      <c r="H292" s="190"/>
      <c r="I292" s="189"/>
      <c r="J292" s="185"/>
    </row>
    <row r="293" spans="1:10">
      <c r="A293" s="91">
        <f>2017</f>
        <v>2017</v>
      </c>
      <c r="B293" s="92" t="s">
        <v>65</v>
      </c>
      <c r="C293" s="93">
        <f t="shared" si="30"/>
        <v>685.98238801028799</v>
      </c>
      <c r="D293" s="94">
        <v>0.88139999999999996</v>
      </c>
      <c r="E293" s="93">
        <f t="shared" si="35"/>
        <v>2.0064050964647695</v>
      </c>
      <c r="F293" s="154">
        <f t="shared" si="34"/>
        <v>2.4129356229460441</v>
      </c>
      <c r="G293" s="96">
        <f t="shared" si="32"/>
        <v>1.0956713962894327</v>
      </c>
      <c r="H293" s="190"/>
      <c r="I293" s="189"/>
      <c r="J293" s="185"/>
    </row>
    <row r="294" spans="1:10">
      <c r="A294" s="91">
        <f>2017</f>
        <v>2017</v>
      </c>
      <c r="B294" s="92" t="s">
        <v>66</v>
      </c>
      <c r="C294" s="93">
        <f t="shared" si="30"/>
        <v>687.03125508155563</v>
      </c>
      <c r="D294" s="94">
        <v>0.15290000000000001</v>
      </c>
      <c r="E294" s="93">
        <f t="shared" si="35"/>
        <v>2.1623728898572558</v>
      </c>
      <c r="F294" s="154">
        <f t="shared" si="34"/>
        <v>2.2852742244437563</v>
      </c>
      <c r="G294" s="96">
        <f t="shared" si="32"/>
        <v>1.0939986723194564</v>
      </c>
      <c r="H294" s="190"/>
      <c r="I294" s="189"/>
      <c r="J294" s="185"/>
    </row>
    <row r="295" spans="1:10">
      <c r="A295" s="91">
        <f>2017</f>
        <v>2017</v>
      </c>
      <c r="B295" s="92" t="s">
        <v>55</v>
      </c>
      <c r="C295" s="93">
        <f t="shared" si="30"/>
        <v>688.92196509554014</v>
      </c>
      <c r="D295" s="94">
        <v>0.2752</v>
      </c>
      <c r="E295" s="93">
        <f t="shared" si="35"/>
        <v>2.4435237400501464</v>
      </c>
      <c r="F295" s="154">
        <f t="shared" si="34"/>
        <v>2.4435237400501464</v>
      </c>
      <c r="G295" s="96">
        <f t="shared" si="32"/>
        <v>1.0909962506377011</v>
      </c>
      <c r="H295" s="190"/>
      <c r="I295" s="189"/>
      <c r="J295" s="185"/>
    </row>
    <row r="296" spans="1:10">
      <c r="A296" s="91">
        <f>2018</f>
        <v>2018</v>
      </c>
      <c r="B296" s="92" t="s">
        <v>56</v>
      </c>
      <c r="C296" s="93">
        <f t="shared" si="30"/>
        <v>695.49772525237699</v>
      </c>
      <c r="D296" s="94">
        <v>0.95450000000000002</v>
      </c>
      <c r="E296" s="93">
        <f t="shared" ref="E296:E307" si="36">100*((C296/$C$295)-1)</f>
        <v>0.95449999999999147</v>
      </c>
      <c r="F296" s="154">
        <f t="shared" si="34"/>
        <v>2.3547087542211687</v>
      </c>
      <c r="G296" s="96">
        <f t="shared" si="32"/>
        <v>1.0806811490698298</v>
      </c>
      <c r="H296" s="190"/>
      <c r="J296" s="185"/>
    </row>
    <row r="297" spans="1:10">
      <c r="A297" s="91">
        <f>2018</f>
        <v>2018</v>
      </c>
      <c r="B297" s="92" t="s">
        <v>57</v>
      </c>
      <c r="C297" s="93">
        <f t="shared" si="30"/>
        <v>695.84547411500319</v>
      </c>
      <c r="D297" s="94">
        <v>0.05</v>
      </c>
      <c r="E297" s="93">
        <f t="shared" si="36"/>
        <v>1.0049772499999943</v>
      </c>
      <c r="F297" s="154">
        <f t="shared" si="34"/>
        <v>2.5494553460828184</v>
      </c>
      <c r="G297" s="96">
        <f t="shared" si="32"/>
        <v>1.0801410785305645</v>
      </c>
      <c r="H297" s="190"/>
      <c r="I297" s="191"/>
      <c r="J297" s="185"/>
    </row>
    <row r="298" spans="1:10">
      <c r="A298" s="91">
        <f>2018</f>
        <v>2018</v>
      </c>
      <c r="B298" s="92" t="s">
        <v>58</v>
      </c>
      <c r="C298" s="93">
        <f t="shared" si="30"/>
        <v>696.05422775723764</v>
      </c>
      <c r="D298" s="94">
        <v>0.03</v>
      </c>
      <c r="E298" s="93">
        <f t="shared" si="36"/>
        <v>1.0352787431749721</v>
      </c>
      <c r="F298" s="154">
        <f t="shared" si="34"/>
        <v>2.5733477683861361</v>
      </c>
      <c r="G298" s="96">
        <f t="shared" si="32"/>
        <v>1.0798171333905475</v>
      </c>
      <c r="H298" s="190"/>
      <c r="I298" s="191"/>
      <c r="J298" s="185"/>
    </row>
    <row r="299" spans="1:10">
      <c r="A299" s="91">
        <f>2018</f>
        <v>2018</v>
      </c>
      <c r="B299" s="92" t="s">
        <v>59</v>
      </c>
      <c r="C299" s="93">
        <f t="shared" si="30"/>
        <v>696.33264816001986</v>
      </c>
      <c r="D299" s="94">
        <v>3.9999814910873788E-2</v>
      </c>
      <c r="E299" s="93">
        <f t="shared" si="36"/>
        <v>1.0756926676669387</v>
      </c>
      <c r="F299" s="154">
        <f t="shared" si="34"/>
        <v>2.7943698592649557</v>
      </c>
      <c r="G299" s="96">
        <f t="shared" si="32"/>
        <v>1.079385381235878</v>
      </c>
      <c r="H299" s="190"/>
      <c r="I299" s="191"/>
      <c r="J299" s="185"/>
    </row>
    <row r="300" spans="1:10">
      <c r="A300" s="91">
        <f>2018</f>
        <v>2018</v>
      </c>
      <c r="B300" s="92" t="s">
        <v>60</v>
      </c>
      <c r="C300" s="93">
        <f t="shared" si="30"/>
        <v>696.82008101373185</v>
      </c>
      <c r="D300" s="94">
        <v>7.0000000000000007E-2</v>
      </c>
      <c r="E300" s="93">
        <f t="shared" si="36"/>
        <v>1.1464456525343003</v>
      </c>
      <c r="F300" s="154">
        <f t="shared" si="34"/>
        <v>2.4919229237260643</v>
      </c>
      <c r="G300" s="96">
        <f t="shared" si="32"/>
        <v>1.0786303399978796</v>
      </c>
      <c r="H300" s="190"/>
      <c r="I300" s="191"/>
      <c r="J300" s="185"/>
    </row>
    <row r="301" spans="1:10">
      <c r="A301" s="91">
        <f>2018</f>
        <v>2018</v>
      </c>
      <c r="B301" s="92" t="s">
        <v>61</v>
      </c>
      <c r="C301" s="93">
        <f t="shared" si="30"/>
        <v>706.43619813172143</v>
      </c>
      <c r="D301" s="94">
        <v>1.38</v>
      </c>
      <c r="E301" s="93">
        <f t="shared" si="36"/>
        <v>2.5422666025392893</v>
      </c>
      <c r="F301" s="154">
        <f t="shared" si="34"/>
        <v>4.2309909970292381</v>
      </c>
      <c r="G301" s="96">
        <f t="shared" si="32"/>
        <v>1.0639478595362788</v>
      </c>
      <c r="H301" s="190"/>
      <c r="I301" s="191"/>
      <c r="J301" s="185"/>
    </row>
    <row r="302" spans="1:10">
      <c r="A302" s="91">
        <f>2018</f>
        <v>2018</v>
      </c>
      <c r="B302" s="92" t="s">
        <v>62</v>
      </c>
      <c r="C302" s="93">
        <f t="shared" si="30"/>
        <v>707.42520880910592</v>
      </c>
      <c r="D302" s="94">
        <v>0.14000000000000001</v>
      </c>
      <c r="E302" s="93">
        <f t="shared" si="36"/>
        <v>2.6858257757828463</v>
      </c>
      <c r="F302" s="154">
        <f t="shared" si="34"/>
        <v>4.2362996162427669</v>
      </c>
      <c r="G302" s="96">
        <f t="shared" si="32"/>
        <v>1.0624604149553412</v>
      </c>
      <c r="H302" s="190"/>
      <c r="I302" s="191"/>
      <c r="J302" s="185"/>
    </row>
    <row r="303" spans="1:10">
      <c r="A303" s="91">
        <f>2018</f>
        <v>2018</v>
      </c>
      <c r="B303" s="92" t="s">
        <v>63</v>
      </c>
      <c r="C303" s="93">
        <f t="shared" si="30"/>
        <v>706.78852612117771</v>
      </c>
      <c r="D303" s="94">
        <v>-0.09</v>
      </c>
      <c r="E303" s="93">
        <f t="shared" si="36"/>
        <v>2.5934085325846512</v>
      </c>
      <c r="F303" s="154">
        <f t="shared" si="34"/>
        <v>4.1537355500275375</v>
      </c>
      <c r="G303" s="96">
        <f t="shared" si="32"/>
        <v>1.0634174906969684</v>
      </c>
      <c r="H303" s="190"/>
      <c r="I303" s="191"/>
      <c r="J303" s="185"/>
    </row>
    <row r="304" spans="1:10">
      <c r="A304" s="91">
        <f>2018</f>
        <v>2018</v>
      </c>
      <c r="B304" s="92" t="s">
        <v>64</v>
      </c>
      <c r="C304" s="93">
        <f t="shared" si="30"/>
        <v>710.67586301484425</v>
      </c>
      <c r="D304" s="94">
        <v>0.55000000000000004</v>
      </c>
      <c r="E304" s="93">
        <f t="shared" si="36"/>
        <v>3.1576722795138679</v>
      </c>
      <c r="F304" s="154">
        <f t="shared" si="34"/>
        <v>4.5128523125734787</v>
      </c>
      <c r="G304" s="96">
        <f t="shared" si="32"/>
        <v>1.0576006869189143</v>
      </c>
      <c r="H304" s="190"/>
      <c r="I304" s="191"/>
      <c r="J304" s="185"/>
    </row>
    <row r="305" spans="1:10">
      <c r="A305" s="91">
        <f>2018</f>
        <v>2018</v>
      </c>
      <c r="B305" s="92" t="s">
        <v>65</v>
      </c>
      <c r="C305" s="93">
        <f t="shared" si="30"/>
        <v>714.79778302033037</v>
      </c>
      <c r="D305" s="94">
        <v>0.57999999999999996</v>
      </c>
      <c r="E305" s="93">
        <f t="shared" si="36"/>
        <v>3.7559867787350543</v>
      </c>
      <c r="F305" s="154">
        <f t="shared" si="34"/>
        <v>4.2006027434060345</v>
      </c>
      <c r="G305" s="96">
        <f t="shared" si="32"/>
        <v>1.0515019754612391</v>
      </c>
      <c r="H305" s="190"/>
      <c r="I305" s="191"/>
      <c r="J305" s="185"/>
    </row>
    <row r="306" spans="1:10">
      <c r="A306" s="91">
        <f>2018</f>
        <v>2018</v>
      </c>
      <c r="B306" s="92" t="s">
        <v>66</v>
      </c>
      <c r="C306" s="93">
        <f t="shared" si="30"/>
        <v>717.08513592599547</v>
      </c>
      <c r="D306" s="94">
        <v>0.32</v>
      </c>
      <c r="E306" s="93">
        <f t="shared" si="36"/>
        <v>4.0880059364270194</v>
      </c>
      <c r="F306" s="154">
        <f t="shared" si="34"/>
        <v>4.3744561287640815</v>
      </c>
      <c r="G306" s="96">
        <f t="shared" si="32"/>
        <v>1.0481479021742814</v>
      </c>
      <c r="H306" s="190"/>
      <c r="I306" s="191"/>
      <c r="J306" s="185"/>
    </row>
    <row r="307" spans="1:10">
      <c r="A307" s="91">
        <f>2018</f>
        <v>2018</v>
      </c>
      <c r="B307" s="92" t="s">
        <v>55</v>
      </c>
      <c r="C307" s="93">
        <f t="shared" si="30"/>
        <v>715.57925714055091</v>
      </c>
      <c r="D307" s="94">
        <v>-0.21</v>
      </c>
      <c r="E307" s="93">
        <f t="shared" si="36"/>
        <v>3.8694211239605147</v>
      </c>
      <c r="F307" s="154">
        <f t="shared" si="34"/>
        <v>3.8694211239605147</v>
      </c>
      <c r="G307" s="96">
        <f t="shared" si="32"/>
        <v>1.050353644828421</v>
      </c>
      <c r="H307" s="190"/>
      <c r="I307" s="191"/>
      <c r="J307" s="185"/>
    </row>
    <row r="308" spans="1:10">
      <c r="A308" s="91">
        <f>2019</f>
        <v>2019</v>
      </c>
      <c r="B308" s="92" t="s">
        <v>56</v>
      </c>
      <c r="C308" s="93">
        <f t="shared" si="30"/>
        <v>718.65624794625523</v>
      </c>
      <c r="D308" s="94">
        <v>0.43</v>
      </c>
      <c r="E308" s="93">
        <f t="shared" ref="E308:E319" si="37">100*((C308/$C$307)-1)</f>
        <v>0.42999999999999705</v>
      </c>
      <c r="F308" s="154">
        <f t="shared" si="34"/>
        <v>3.3297769141480194</v>
      </c>
      <c r="G308" s="96">
        <f t="shared" si="32"/>
        <v>1.045856462041642</v>
      </c>
      <c r="H308" s="190"/>
      <c r="I308" s="191"/>
      <c r="J308" s="185"/>
    </row>
    <row r="309" spans="1:10">
      <c r="A309" s="97">
        <f>2019</f>
        <v>2019</v>
      </c>
      <c r="B309" s="98" t="s">
        <v>57</v>
      </c>
      <c r="C309" s="99">
        <f t="shared" si="30"/>
        <v>721.17154481406715</v>
      </c>
      <c r="D309" s="100">
        <v>0.35</v>
      </c>
      <c r="E309" s="99">
        <f t="shared" si="37"/>
        <v>0.78150500000000456</v>
      </c>
      <c r="F309" s="155">
        <f t="shared" si="34"/>
        <v>3.6396113276836894</v>
      </c>
      <c r="G309" s="96">
        <f t="shared" si="32"/>
        <v>1.0422087314814568</v>
      </c>
      <c r="H309" s="190"/>
      <c r="I309" s="191"/>
      <c r="J309" s="185"/>
    </row>
    <row r="310" spans="1:10">
      <c r="A310" s="97">
        <f>2019</f>
        <v>2019</v>
      </c>
      <c r="B310" s="98" t="s">
        <v>58</v>
      </c>
      <c r="C310" s="99">
        <f t="shared" si="30"/>
        <v>725.06587115606317</v>
      </c>
      <c r="D310" s="100">
        <v>0.54</v>
      </c>
      <c r="E310" s="99">
        <f t="shared" si="37"/>
        <v>1.3257251269999992</v>
      </c>
      <c r="F310" s="155">
        <f t="shared" si="34"/>
        <v>4.1680148244058746</v>
      </c>
      <c r="G310" s="96">
        <f t="shared" si="32"/>
        <v>1.0366110319091475</v>
      </c>
      <c r="H310" s="190"/>
      <c r="I310" s="191"/>
      <c r="J310" s="185"/>
    </row>
    <row r="311" spans="1:10">
      <c r="A311" s="97">
        <f>2019</f>
        <v>2019</v>
      </c>
      <c r="B311" s="98" t="s">
        <v>59</v>
      </c>
      <c r="C311" s="99">
        <f t="shared" si="30"/>
        <v>727.38608194376263</v>
      </c>
      <c r="D311" s="100">
        <v>0.32</v>
      </c>
      <c r="E311" s="99">
        <f t="shared" si="37"/>
        <v>1.6499674474064197</v>
      </c>
      <c r="F311" s="155">
        <f t="shared" si="34"/>
        <v>4.4595688376522169</v>
      </c>
      <c r="G311" s="96">
        <f t="shared" si="32"/>
        <v>1.0333044576446844</v>
      </c>
      <c r="H311" s="190"/>
      <c r="I311" s="191"/>
      <c r="J311" s="185"/>
    </row>
    <row r="312" spans="1:10">
      <c r="A312" s="97">
        <f>2019</f>
        <v>2019</v>
      </c>
      <c r="B312" s="98" t="s">
        <v>60</v>
      </c>
      <c r="C312" s="99">
        <f t="shared" si="30"/>
        <v>728.84085410765022</v>
      </c>
      <c r="D312" s="100">
        <v>0.2</v>
      </c>
      <c r="E312" s="99">
        <f t="shared" si="37"/>
        <v>1.8532673823012269</v>
      </c>
      <c r="F312" s="155">
        <f t="shared" si="34"/>
        <v>4.5952712854277378</v>
      </c>
      <c r="G312" s="96">
        <f t="shared" si="32"/>
        <v>1.0312419736972898</v>
      </c>
      <c r="H312" s="190"/>
      <c r="I312" s="191"/>
      <c r="J312" s="185"/>
    </row>
    <row r="313" spans="1:10">
      <c r="A313" s="97">
        <f>2019</f>
        <v>2019</v>
      </c>
      <c r="B313" s="98" t="s">
        <v>61</v>
      </c>
      <c r="C313" s="99">
        <f t="shared" si="30"/>
        <v>727.31028831402421</v>
      </c>
      <c r="D313" s="100">
        <v>-0.21</v>
      </c>
      <c r="E313" s="99">
        <f t="shared" si="37"/>
        <v>1.6393755207984029</v>
      </c>
      <c r="F313" s="155">
        <f t="shared" si="34"/>
        <v>2.9548443635118771</v>
      </c>
      <c r="G313" s="96">
        <f t="shared" si="32"/>
        <v>1.0334121391895876</v>
      </c>
      <c r="H313" s="190"/>
      <c r="I313" s="191"/>
      <c r="J313" s="185"/>
    </row>
    <row r="314" spans="1:10">
      <c r="A314" s="97">
        <f>2019</f>
        <v>2019</v>
      </c>
      <c r="B314" s="98" t="s">
        <v>62</v>
      </c>
      <c r="C314" s="99">
        <f t="shared" si="30"/>
        <v>728.54671580415811</v>
      </c>
      <c r="D314" s="100">
        <v>0.17</v>
      </c>
      <c r="E314" s="99">
        <f t="shared" si="37"/>
        <v>1.8121624591837859</v>
      </c>
      <c r="F314" s="155">
        <f t="shared" si="34"/>
        <v>2.9856876362391205</v>
      </c>
      <c r="G314" s="96">
        <f t="shared" si="32"/>
        <v>1.0316583200455103</v>
      </c>
      <c r="H314" s="190"/>
      <c r="I314" s="191"/>
      <c r="J314" s="185"/>
    </row>
    <row r="315" spans="1:10">
      <c r="A315" s="97">
        <f>2019</f>
        <v>2019</v>
      </c>
      <c r="B315" s="98" t="s">
        <v>63</v>
      </c>
      <c r="C315" s="99">
        <f t="shared" si="30"/>
        <v>729.05669850522099</v>
      </c>
      <c r="D315" s="100">
        <v>7.0000000000000007E-2</v>
      </c>
      <c r="E315" s="99">
        <f t="shared" si="37"/>
        <v>1.8834309729051979</v>
      </c>
      <c r="F315" s="155">
        <f t="shared" si="34"/>
        <v>3.1506131694369666</v>
      </c>
      <c r="G315" s="96">
        <f t="shared" si="32"/>
        <v>1.0309366643804441</v>
      </c>
      <c r="H315" s="190"/>
      <c r="I315" s="191"/>
      <c r="J315" s="185"/>
    </row>
    <row r="316" spans="1:10">
      <c r="A316" s="97">
        <f>2019</f>
        <v>2019</v>
      </c>
      <c r="B316" s="98" t="s">
        <v>64</v>
      </c>
      <c r="C316" s="99">
        <f t="shared" si="30"/>
        <v>728.25473613686529</v>
      </c>
      <c r="D316" s="100">
        <v>-0.11</v>
      </c>
      <c r="E316" s="99">
        <f t="shared" si="37"/>
        <v>1.7713591988350208</v>
      </c>
      <c r="F316" s="155">
        <f t="shared" si="34"/>
        <v>2.4735430084043664</v>
      </c>
      <c r="G316" s="96">
        <f t="shared" ref="G316:G322" si="38">+$C$322/C316</f>
        <v>1.0320719435183141</v>
      </c>
      <c r="H316" s="190"/>
    </row>
    <row r="317" spans="1:10">
      <c r="A317" s="91">
        <f>2019</f>
        <v>2019</v>
      </c>
      <c r="B317" s="92" t="s">
        <v>65</v>
      </c>
      <c r="C317" s="93">
        <f t="shared" si="30"/>
        <v>727.96343424241059</v>
      </c>
      <c r="D317" s="94">
        <v>-0.04</v>
      </c>
      <c r="E317" s="93">
        <f t="shared" si="37"/>
        <v>1.7306506551554746</v>
      </c>
      <c r="F317" s="154">
        <f t="shared" si="34"/>
        <v>1.8418707409037616</v>
      </c>
      <c r="G317" s="96">
        <f t="shared" si="38"/>
        <v>1.0324849374933114</v>
      </c>
      <c r="H317" s="190"/>
    </row>
    <row r="318" spans="1:10">
      <c r="A318" s="91">
        <f>2019</f>
        <v>2019</v>
      </c>
      <c r="B318" s="92" t="s">
        <v>66</v>
      </c>
      <c r="C318" s="93">
        <f t="shared" si="30"/>
        <v>731.31206603992564</v>
      </c>
      <c r="D318" s="94">
        <v>0.46</v>
      </c>
      <c r="E318" s="93">
        <f t="shared" si="37"/>
        <v>2.1986116481691909</v>
      </c>
      <c r="F318" s="154">
        <f t="shared" si="34"/>
        <v>1.9839945637080358</v>
      </c>
      <c r="G318" s="96">
        <f t="shared" si="38"/>
        <v>1.0277572541243394</v>
      </c>
      <c r="H318" s="190"/>
      <c r="I318" s="192"/>
      <c r="J318" s="193"/>
    </row>
    <row r="319" spans="1:10">
      <c r="A319" s="97">
        <f>2019</f>
        <v>2019</v>
      </c>
      <c r="B319" s="98" t="s">
        <v>55</v>
      </c>
      <c r="C319" s="99">
        <f>+C318*(1+D319/100)</f>
        <v>737.67448101447292</v>
      </c>
      <c r="D319" s="100">
        <v>0.87</v>
      </c>
      <c r="E319" s="99">
        <f t="shared" si="37"/>
        <v>3.0877395695082521</v>
      </c>
      <c r="F319" s="155">
        <f>100*((C319/C307)-1)</f>
        <v>3.0877395695082521</v>
      </c>
      <c r="G319" s="96">
        <f t="shared" si="38"/>
        <v>1.0188928860160003</v>
      </c>
      <c r="H319" s="190"/>
      <c r="I319" s="192"/>
      <c r="J319" s="193"/>
    </row>
    <row r="320" spans="1:10">
      <c r="A320" s="97">
        <f>2020</f>
        <v>2020</v>
      </c>
      <c r="B320" s="98" t="s">
        <v>56</v>
      </c>
      <c r="C320" s="99">
        <f>+C319*(1+D320/100)</f>
        <v>742.39559769296557</v>
      </c>
      <c r="D320" s="100">
        <v>0.64</v>
      </c>
      <c r="E320" s="99">
        <f>100*((C320/$C$319)-1)</f>
        <v>0.63999999999999613</v>
      </c>
      <c r="F320" s="155">
        <f>100*((C320/C308)-1)</f>
        <v>3.303296925971444</v>
      </c>
      <c r="G320" s="96">
        <f t="shared" si="38"/>
        <v>1.0124134400000002</v>
      </c>
      <c r="H320" s="190"/>
      <c r="I320" s="192"/>
      <c r="J320" s="193"/>
    </row>
    <row r="321" spans="1:10">
      <c r="A321" s="97">
        <f>2020</f>
        <v>2020</v>
      </c>
      <c r="B321" s="98" t="s">
        <v>57</v>
      </c>
      <c r="C321" s="99">
        <f>+C320*(1+D321/100)</f>
        <v>743.28647241019723</v>
      </c>
      <c r="D321" s="100">
        <v>0.12</v>
      </c>
      <c r="E321" s="99">
        <f>100*((C321/$C$319)-1)</f>
        <v>0.76076800000002276</v>
      </c>
      <c r="F321" s="155">
        <f>100*((C321/C309)-1)</f>
        <v>3.0665280341630519</v>
      </c>
      <c r="G321" s="102">
        <f t="shared" si="38"/>
        <v>1.0112000000000001</v>
      </c>
      <c r="H321" s="190"/>
      <c r="I321" s="191"/>
      <c r="J321" s="185"/>
    </row>
    <row r="322" spans="1:10" ht="16.5" thickBot="1">
      <c r="A322" s="103">
        <f>2020</f>
        <v>2020</v>
      </c>
      <c r="B322" s="104" t="s">
        <v>58</v>
      </c>
      <c r="C322" s="105">
        <f>+C321*(1+D322/100)</f>
        <v>751.61128090119155</v>
      </c>
      <c r="D322" s="106">
        <v>1.1200000000000001</v>
      </c>
      <c r="E322" s="105">
        <f>100*((C322/$C$319)-1)</f>
        <v>1.8892886016000254</v>
      </c>
      <c r="F322" s="156">
        <f>100*((C322/C310)-1)</f>
        <v>3.6611031909147496</v>
      </c>
      <c r="G322" s="108">
        <f t="shared" si="38"/>
        <v>1</v>
      </c>
      <c r="H322" s="190"/>
      <c r="I322" s="191"/>
      <c r="J322" s="185"/>
    </row>
    <row r="323" spans="1:10">
      <c r="A323" s="194" t="s">
        <v>115</v>
      </c>
      <c r="D323" s="161"/>
      <c r="G323" s="195"/>
    </row>
    <row r="324" spans="1:10">
      <c r="A324" s="705" t="s">
        <v>81</v>
      </c>
      <c r="B324" s="705"/>
      <c r="C324" s="705"/>
      <c r="D324" s="705"/>
      <c r="E324" s="705"/>
      <c r="F324" s="705"/>
      <c r="G324" s="163"/>
    </row>
    <row r="325" spans="1:10">
      <c r="A325" s="705"/>
      <c r="B325" s="705"/>
      <c r="C325" s="705"/>
      <c r="D325" s="705"/>
      <c r="E325" s="705"/>
      <c r="F325" s="705"/>
      <c r="G325" s="163"/>
    </row>
    <row r="326" spans="1:10">
      <c r="A326" s="196"/>
      <c r="B326" s="182"/>
      <c r="D326" s="161"/>
      <c r="E326" s="161"/>
      <c r="F326" s="161"/>
      <c r="G326" s="163"/>
    </row>
    <row r="327" spans="1:10">
      <c r="A327" s="196" t="s">
        <v>110</v>
      </c>
      <c r="D327" s="161"/>
      <c r="E327" s="161"/>
      <c r="F327" s="161"/>
      <c r="G327" s="163"/>
      <c r="H327" s="163"/>
    </row>
    <row r="328" spans="1:10">
      <c r="D328" s="161"/>
      <c r="E328" s="161"/>
      <c r="F328" s="161"/>
      <c r="G328" s="163"/>
    </row>
    <row r="329" spans="1:10">
      <c r="A329" s="111" t="s">
        <v>116</v>
      </c>
      <c r="D329" s="161"/>
      <c r="E329" s="161"/>
      <c r="F329" s="161"/>
    </row>
    <row r="330" spans="1:10">
      <c r="D330" s="161"/>
      <c r="E330" s="161"/>
      <c r="F330" s="161"/>
    </row>
  </sheetData>
  <mergeCells count="7">
    <mergeCell ref="A324:F325"/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0B3E5-8CD5-47D9-98C8-86EDB31452B9}">
  <sheetPr>
    <tabColor theme="9" tint="-0.249977111117893"/>
  </sheetPr>
  <dimension ref="A1:G405"/>
  <sheetViews>
    <sheetView showGridLines="0" workbookViewId="0">
      <pane ySplit="2610" topLeftCell="A393" activePane="bottomLeft"/>
      <selection pane="bottomLeft" activeCell="K405" sqref="K405"/>
      <selection activeCell="H1" sqref="H1:L1048576"/>
    </sheetView>
  </sheetViews>
  <sheetFormatPr defaultColWidth="12.42578125" defaultRowHeight="15.7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6384" width="12.42578125" style="55"/>
  </cols>
  <sheetData>
    <row r="1" spans="1:7" ht="21" customHeight="1">
      <c r="A1" s="738" t="s">
        <v>117</v>
      </c>
      <c r="B1" s="738"/>
      <c r="C1" s="738"/>
      <c r="D1" s="738"/>
      <c r="E1" s="738"/>
      <c r="F1" s="738"/>
      <c r="G1" s="738"/>
    </row>
    <row r="2" spans="1:7" ht="15.75" customHeight="1">
      <c r="A2" s="738"/>
      <c r="B2" s="738"/>
      <c r="C2" s="738"/>
      <c r="D2" s="738"/>
      <c r="E2" s="738"/>
      <c r="F2" s="738"/>
      <c r="G2" s="738"/>
    </row>
    <row r="3" spans="1:7" ht="15" customHeight="1" thickBot="1">
      <c r="A3" s="739"/>
      <c r="B3" s="739"/>
      <c r="C3" s="739"/>
      <c r="D3" s="739"/>
      <c r="E3" s="739"/>
      <c r="F3" s="739"/>
      <c r="G3" s="739"/>
    </row>
    <row r="4" spans="1:7" ht="17.25" customHeight="1" thickBot="1">
      <c r="A4" s="708" t="s">
        <v>87</v>
      </c>
      <c r="B4" s="709"/>
      <c r="C4" s="710"/>
      <c r="D4" s="711" t="s">
        <v>118</v>
      </c>
      <c r="E4" s="712"/>
      <c r="F4" s="712"/>
      <c r="G4" s="741"/>
    </row>
    <row r="5" spans="1:7" ht="15" customHeight="1" thickBot="1">
      <c r="A5" s="713" t="s">
        <v>46</v>
      </c>
      <c r="B5" s="714"/>
      <c r="C5" s="715"/>
      <c r="D5" s="742" t="s">
        <v>47</v>
      </c>
      <c r="E5" s="743"/>
      <c r="F5" s="744"/>
      <c r="G5" s="745" t="s">
        <v>96</v>
      </c>
    </row>
    <row r="6" spans="1:7" ht="15.75" customHeight="1" thickBot="1">
      <c r="A6" s="197" t="s">
        <v>49</v>
      </c>
      <c r="B6" s="198" t="s">
        <v>50</v>
      </c>
      <c r="C6" s="198" t="s">
        <v>51</v>
      </c>
      <c r="D6" s="199" t="s">
        <v>52</v>
      </c>
      <c r="E6" s="199" t="s">
        <v>53</v>
      </c>
      <c r="F6" s="199" t="s">
        <v>54</v>
      </c>
      <c r="G6" s="746"/>
    </row>
    <row r="7" spans="1:7" ht="16.5" hidden="1" thickBot="1">
      <c r="A7" s="67">
        <v>1994</v>
      </c>
      <c r="B7" s="68" t="s">
        <v>119</v>
      </c>
      <c r="C7" s="69">
        <v>100</v>
      </c>
      <c r="D7" s="166"/>
      <c r="E7" s="166"/>
      <c r="F7" s="167"/>
      <c r="G7" s="72">
        <f t="shared" ref="G7:G13" si="0">C$400/C7</f>
        <v>7.4828002803658844</v>
      </c>
    </row>
    <row r="8" spans="1:7" ht="16.5" hidden="1" thickBot="1">
      <c r="A8" s="73">
        <v>1994</v>
      </c>
      <c r="B8" s="74" t="s">
        <v>120</v>
      </c>
      <c r="C8" s="75">
        <v>106.95</v>
      </c>
      <c r="D8" s="81">
        <f>100*(C8/C7-1)</f>
        <v>6.9500000000000117</v>
      </c>
      <c r="E8" s="81"/>
      <c r="F8" s="82"/>
      <c r="G8" s="78">
        <f t="shared" si="0"/>
        <v>6.9965407016043795</v>
      </c>
    </row>
    <row r="9" spans="1:7" ht="16.5" hidden="1" thickBot="1">
      <c r="A9" s="73">
        <v>1994</v>
      </c>
      <c r="B9" s="74" t="s">
        <v>121</v>
      </c>
      <c r="C9" s="75">
        <v>109.0355</v>
      </c>
      <c r="D9" s="81">
        <f t="shared" ref="D9:D77" si="1">100*(C9/C8-1)</f>
        <v>1.9499766245909322</v>
      </c>
      <c r="E9" s="81"/>
      <c r="F9" s="82"/>
      <c r="G9" s="78">
        <f t="shared" si="0"/>
        <v>6.8627192798362771</v>
      </c>
    </row>
    <row r="10" spans="1:7" ht="16.5" hidden="1" thickBot="1">
      <c r="A10" s="73">
        <v>1994</v>
      </c>
      <c r="B10" s="74" t="s">
        <v>122</v>
      </c>
      <c r="C10" s="75">
        <v>109.92959999999999</v>
      </c>
      <c r="D10" s="81">
        <f t="shared" si="1"/>
        <v>0.82000816247917996</v>
      </c>
      <c r="E10" s="81"/>
      <c r="F10" s="82"/>
      <c r="G10" s="78">
        <f t="shared" si="0"/>
        <v>6.8069021267846734</v>
      </c>
    </row>
    <row r="11" spans="1:7" ht="16.5" hidden="1" thickBot="1">
      <c r="A11" s="73">
        <v>1994</v>
      </c>
      <c r="B11" s="74" t="s">
        <v>123</v>
      </c>
      <c r="C11" s="75">
        <v>113.4144</v>
      </c>
      <c r="D11" s="81">
        <f t="shared" si="1"/>
        <v>3.1700288184438152</v>
      </c>
      <c r="E11" s="81"/>
      <c r="F11" s="82"/>
      <c r="G11" s="78">
        <f t="shared" si="0"/>
        <v>6.5977515027773226</v>
      </c>
    </row>
    <row r="12" spans="1:7" ht="16.5" hidden="1" thickBot="1">
      <c r="A12" s="73">
        <v>1994</v>
      </c>
      <c r="B12" s="74" t="s">
        <v>124</v>
      </c>
      <c r="C12" s="75">
        <v>116.8395</v>
      </c>
      <c r="D12" s="81">
        <f t="shared" si="1"/>
        <v>3.0199868799729135</v>
      </c>
      <c r="E12" s="81"/>
      <c r="F12" s="82"/>
      <c r="G12" s="78">
        <f t="shared" si="0"/>
        <v>6.4043412376515514</v>
      </c>
    </row>
    <row r="13" spans="1:7" ht="16.5" hidden="1" thickBot="1">
      <c r="A13" s="73">
        <v>1994</v>
      </c>
      <c r="B13" s="74" t="s">
        <v>109</v>
      </c>
      <c r="C13" s="75">
        <v>118.3</v>
      </c>
      <c r="D13" s="81">
        <f t="shared" si="1"/>
        <v>1.2500053492183749</v>
      </c>
      <c r="E13" s="81"/>
      <c r="F13" s="82"/>
      <c r="G13" s="78">
        <f t="shared" si="0"/>
        <v>6.3252749622704014</v>
      </c>
    </row>
    <row r="14" spans="1:7" ht="16.5" hidden="1" thickBot="1">
      <c r="A14" s="73"/>
      <c r="B14" s="74"/>
      <c r="C14" s="75"/>
      <c r="D14" s="81"/>
      <c r="E14" s="81"/>
      <c r="F14" s="82"/>
      <c r="G14" s="78"/>
    </row>
    <row r="15" spans="1:7" ht="16.5" hidden="1" thickBot="1">
      <c r="A15" s="73">
        <v>1995</v>
      </c>
      <c r="B15" s="74" t="s">
        <v>125</v>
      </c>
      <c r="C15" s="75">
        <v>119.24639999999999</v>
      </c>
      <c r="D15" s="81">
        <f>100*(C15/C13-1)</f>
        <v>0.80000000000000071</v>
      </c>
      <c r="E15" s="81">
        <f>100*(C15/C$13-1)</f>
        <v>0.80000000000000071</v>
      </c>
      <c r="F15" s="82"/>
      <c r="G15" s="78">
        <f t="shared" ref="G15:G26" si="2">C$400/C15</f>
        <v>6.2750743673317473</v>
      </c>
    </row>
    <row r="16" spans="1:7" ht="16.5" hidden="1" thickBot="1">
      <c r="A16" s="73">
        <v>1995</v>
      </c>
      <c r="B16" s="74" t="s">
        <v>126</v>
      </c>
      <c r="C16" s="75">
        <v>120.82040000000001</v>
      </c>
      <c r="D16" s="81">
        <f t="shared" si="1"/>
        <v>1.3199559902856706</v>
      </c>
      <c r="E16" s="81">
        <f t="shared" ref="E16:E26" si="3">100*(C16/C$13-1)</f>
        <v>2.1305156382079637</v>
      </c>
      <c r="F16" s="82"/>
      <c r="G16" s="78">
        <f t="shared" si="2"/>
        <v>6.1933252003518309</v>
      </c>
    </row>
    <row r="17" spans="1:7" ht="16.5" hidden="1" thickBot="1">
      <c r="A17" s="73">
        <v>1995</v>
      </c>
      <c r="B17" s="74" t="s">
        <v>127</v>
      </c>
      <c r="C17" s="75">
        <v>123.14019999999999</v>
      </c>
      <c r="D17" s="81">
        <f t="shared" si="1"/>
        <v>1.9200399932461698</v>
      </c>
      <c r="E17" s="81">
        <f t="shared" si="3"/>
        <v>4.0914623837700725</v>
      </c>
      <c r="F17" s="82"/>
      <c r="G17" s="78">
        <f t="shared" si="2"/>
        <v>6.0766510695661404</v>
      </c>
    </row>
    <row r="18" spans="1:7" ht="16.5" hidden="1" thickBot="1">
      <c r="A18" s="73">
        <v>1995</v>
      </c>
      <c r="B18" s="74" t="s">
        <v>128</v>
      </c>
      <c r="C18" s="75">
        <v>126.39109999999999</v>
      </c>
      <c r="D18" s="81">
        <f t="shared" si="1"/>
        <v>2.6399989605344176</v>
      </c>
      <c r="E18" s="81">
        <f t="shared" si="3"/>
        <v>6.8394759087066825</v>
      </c>
      <c r="F18" s="82"/>
      <c r="G18" s="78">
        <f t="shared" si="2"/>
        <v>5.9203537910231692</v>
      </c>
    </row>
    <row r="19" spans="1:7" ht="16.5" hidden="1" thickBot="1">
      <c r="A19" s="73">
        <v>1995</v>
      </c>
      <c r="B19" s="74" t="s">
        <v>129</v>
      </c>
      <c r="C19" s="75">
        <v>128.881</v>
      </c>
      <c r="D19" s="81">
        <f t="shared" si="1"/>
        <v>1.9699963051195812</v>
      </c>
      <c r="E19" s="81">
        <f t="shared" si="3"/>
        <v>8.9442096365173427</v>
      </c>
      <c r="F19" s="82"/>
      <c r="G19" s="78">
        <f t="shared" si="2"/>
        <v>5.8059762729695485</v>
      </c>
    </row>
    <row r="20" spans="1:7" ht="16.5" hidden="1" thickBot="1">
      <c r="A20" s="73">
        <v>1995</v>
      </c>
      <c r="B20" s="74" t="s">
        <v>119</v>
      </c>
      <c r="C20" s="75">
        <v>132.3092</v>
      </c>
      <c r="D20" s="81">
        <f t="shared" si="1"/>
        <v>2.6599731535292381</v>
      </c>
      <c r="E20" s="81">
        <f t="shared" si="3"/>
        <v>11.842096365173305</v>
      </c>
      <c r="F20" s="82">
        <f t="shared" ref="F20:F26" si="4">100*(C20/C7-1)</f>
        <v>32.30919999999999</v>
      </c>
      <c r="G20" s="78">
        <f t="shared" si="2"/>
        <v>5.6555404162113323</v>
      </c>
    </row>
    <row r="21" spans="1:7" ht="16.5" hidden="1" thickBot="1">
      <c r="A21" s="73">
        <v>1995</v>
      </c>
      <c r="B21" s="74" t="s">
        <v>120</v>
      </c>
      <c r="C21" s="75">
        <v>137.2311</v>
      </c>
      <c r="D21" s="81">
        <f t="shared" si="1"/>
        <v>3.7199983069960307</v>
      </c>
      <c r="E21" s="81">
        <f t="shared" si="3"/>
        <v>16.002620456466609</v>
      </c>
      <c r="F21" s="82">
        <f t="shared" si="4"/>
        <v>28.313323983169703</v>
      </c>
      <c r="G21" s="78">
        <f t="shared" si="2"/>
        <v>5.4527000660680303</v>
      </c>
    </row>
    <row r="22" spans="1:7" ht="16.5" hidden="1" thickBot="1">
      <c r="A22" s="73">
        <v>1995</v>
      </c>
      <c r="B22" s="74" t="s">
        <v>121</v>
      </c>
      <c r="C22" s="75">
        <v>139.1935</v>
      </c>
      <c r="D22" s="81">
        <f t="shared" si="1"/>
        <v>1.4299965532594383</v>
      </c>
      <c r="E22" s="81">
        <f t="shared" si="3"/>
        <v>17.661453930684701</v>
      </c>
      <c r="F22" s="82">
        <f t="shared" si="4"/>
        <v>27.658881740350626</v>
      </c>
      <c r="G22" s="78">
        <f t="shared" si="2"/>
        <v>5.3758259404109277</v>
      </c>
    </row>
    <row r="23" spans="1:7" ht="16.5" hidden="1" thickBot="1">
      <c r="A23" s="73">
        <v>1995</v>
      </c>
      <c r="B23" s="74" t="s">
        <v>122</v>
      </c>
      <c r="C23" s="75">
        <v>140.2236</v>
      </c>
      <c r="D23" s="81">
        <f t="shared" si="1"/>
        <v>0.74004892469834438</v>
      </c>
      <c r="E23" s="81">
        <f t="shared" si="3"/>
        <v>18.532206255283178</v>
      </c>
      <c r="F23" s="82">
        <f t="shared" si="4"/>
        <v>27.557636887608083</v>
      </c>
      <c r="G23" s="78">
        <f t="shared" si="2"/>
        <v>5.3363344546609017</v>
      </c>
    </row>
    <row r="24" spans="1:7" ht="16.5" hidden="1" thickBot="1">
      <c r="A24" s="73">
        <v>1995</v>
      </c>
      <c r="B24" s="74" t="s">
        <v>123</v>
      </c>
      <c r="C24" s="75">
        <v>142.2989</v>
      </c>
      <c r="D24" s="81">
        <f t="shared" si="1"/>
        <v>1.4799933819984679</v>
      </c>
      <c r="E24" s="81">
        <f t="shared" si="3"/>
        <v>20.286475063398136</v>
      </c>
      <c r="F24" s="82">
        <f t="shared" si="4"/>
        <v>25.468106342757181</v>
      </c>
      <c r="G24" s="78">
        <f t="shared" si="2"/>
        <v>5.2585088713727819</v>
      </c>
    </row>
    <row r="25" spans="1:7" ht="16.5" hidden="1" thickBot="1">
      <c r="A25" s="73">
        <v>1995</v>
      </c>
      <c r="B25" s="74" t="s">
        <v>124</v>
      </c>
      <c r="C25" s="75">
        <v>143.96379999999999</v>
      </c>
      <c r="D25" s="81">
        <f t="shared" si="1"/>
        <v>1.1700020168813552</v>
      </c>
      <c r="E25" s="81">
        <f t="shared" si="3"/>
        <v>21.693829247675399</v>
      </c>
      <c r="F25" s="82">
        <f t="shared" si="4"/>
        <v>23.215008622940015</v>
      </c>
      <c r="G25" s="78">
        <f t="shared" si="2"/>
        <v>5.1976957265408972</v>
      </c>
    </row>
    <row r="26" spans="1:7" ht="16.5" hidden="1" thickBot="1">
      <c r="A26" s="73">
        <v>1995</v>
      </c>
      <c r="B26" s="74" t="s">
        <v>109</v>
      </c>
      <c r="C26" s="75">
        <v>145.70570000000001</v>
      </c>
      <c r="D26" s="81">
        <f t="shared" si="1"/>
        <v>1.2099569475104266</v>
      </c>
      <c r="E26" s="81">
        <f t="shared" si="3"/>
        <v>23.166272189349122</v>
      </c>
      <c r="F26" s="82">
        <f t="shared" si="4"/>
        <v>23.166272189349122</v>
      </c>
      <c r="G26" s="78">
        <f t="shared" si="2"/>
        <v>5.1355576894835853</v>
      </c>
    </row>
    <row r="27" spans="1:7" ht="16.5" hidden="1" thickBot="1">
      <c r="A27" s="73"/>
      <c r="B27" s="74"/>
      <c r="C27" s="75"/>
      <c r="D27" s="81"/>
      <c r="E27" s="81"/>
      <c r="F27" s="82"/>
      <c r="G27" s="78"/>
    </row>
    <row r="28" spans="1:7" ht="16.5" hidden="1" thickBot="1">
      <c r="A28" s="73">
        <v>1996</v>
      </c>
      <c r="B28" s="74" t="s">
        <v>125</v>
      </c>
      <c r="C28" s="75">
        <v>148.35759999999999</v>
      </c>
      <c r="D28" s="81">
        <f>100*(C28/C26-1)</f>
        <v>1.8200386120790002</v>
      </c>
      <c r="E28" s="81">
        <f>100*(C28/C$26-1)</f>
        <v>1.8200386120790002</v>
      </c>
      <c r="F28" s="82">
        <f t="shared" ref="F28:F39" si="5">100*(C28/C15-1)</f>
        <v>24.412644742315059</v>
      </c>
      <c r="G28" s="78">
        <f t="shared" ref="G28:G39" si="6">C$400/C28</f>
        <v>5.0437593223170802</v>
      </c>
    </row>
    <row r="29" spans="1:7" ht="16.5" hidden="1" thickBot="1">
      <c r="A29" s="73">
        <v>1996</v>
      </c>
      <c r="B29" s="74" t="s">
        <v>126</v>
      </c>
      <c r="C29" s="75">
        <v>148.95099999999999</v>
      </c>
      <c r="D29" s="81">
        <f t="shared" si="1"/>
        <v>0.39997950897021628</v>
      </c>
      <c r="E29" s="81">
        <f t="shared" ref="E29:E38" si="7">100*(C29/C$26-1)</f>
        <v>2.2272979025528716</v>
      </c>
      <c r="F29" s="82">
        <f t="shared" si="5"/>
        <v>23.282988634369683</v>
      </c>
      <c r="G29" s="78">
        <f t="shared" si="6"/>
        <v>5.0236656889620646</v>
      </c>
    </row>
    <row r="30" spans="1:7" ht="16.5" hidden="1" thickBot="1">
      <c r="A30" s="73">
        <v>1996</v>
      </c>
      <c r="B30" s="74" t="s">
        <v>127</v>
      </c>
      <c r="C30" s="75">
        <v>149.2936</v>
      </c>
      <c r="D30" s="81">
        <f t="shared" si="1"/>
        <v>0.23000852629389001</v>
      </c>
      <c r="E30" s="81">
        <f t="shared" si="7"/>
        <v>2.462429403928601</v>
      </c>
      <c r="F30" s="82">
        <f t="shared" si="5"/>
        <v>21.238718144034195</v>
      </c>
      <c r="G30" s="78">
        <f t="shared" si="6"/>
        <v>5.0121373457173544</v>
      </c>
    </row>
    <row r="31" spans="1:7" ht="16.5" hidden="1" thickBot="1">
      <c r="A31" s="73">
        <v>1996</v>
      </c>
      <c r="B31" s="74" t="s">
        <v>128</v>
      </c>
      <c r="C31" s="75">
        <v>151.7122</v>
      </c>
      <c r="D31" s="81">
        <f t="shared" si="1"/>
        <v>1.6200292577846609</v>
      </c>
      <c r="E31" s="81">
        <f t="shared" si="7"/>
        <v>4.1223507385091951</v>
      </c>
      <c r="F31" s="82">
        <f t="shared" si="5"/>
        <v>20.033926439440751</v>
      </c>
      <c r="G31" s="78">
        <f t="shared" si="6"/>
        <v>4.9322337164485681</v>
      </c>
    </row>
    <row r="32" spans="1:7" ht="16.5" hidden="1" thickBot="1">
      <c r="A32" s="73">
        <v>1996</v>
      </c>
      <c r="B32" s="74" t="s">
        <v>129</v>
      </c>
      <c r="C32" s="75">
        <v>153.74510000000001</v>
      </c>
      <c r="D32" s="81">
        <f t="shared" si="1"/>
        <v>1.3399713404723013</v>
      </c>
      <c r="E32" s="81">
        <f t="shared" si="7"/>
        <v>5.5175603974312537</v>
      </c>
      <c r="F32" s="82">
        <f t="shared" si="5"/>
        <v>19.292292890340711</v>
      </c>
      <c r="G32" s="78">
        <f t="shared" si="6"/>
        <v>4.8670170824084042</v>
      </c>
    </row>
    <row r="33" spans="1:7" ht="16.5" hidden="1" thickBot="1">
      <c r="A33" s="73">
        <v>1996</v>
      </c>
      <c r="B33" s="74" t="s">
        <v>119</v>
      </c>
      <c r="C33" s="75">
        <v>155.91290000000001</v>
      </c>
      <c r="D33" s="81">
        <f t="shared" si="1"/>
        <v>1.4099961559750573</v>
      </c>
      <c r="E33" s="81">
        <f t="shared" si="7"/>
        <v>7.0053539429137057</v>
      </c>
      <c r="F33" s="82">
        <f t="shared" si="5"/>
        <v>17.839802523180559</v>
      </c>
      <c r="G33" s="78">
        <f t="shared" si="6"/>
        <v>4.7993464815072286</v>
      </c>
    </row>
    <row r="34" spans="1:7" ht="16.5" hidden="1" thickBot="1">
      <c r="A34" s="73">
        <v>1996</v>
      </c>
      <c r="B34" s="74" t="s">
        <v>120</v>
      </c>
      <c r="C34" s="75">
        <v>157.9554</v>
      </c>
      <c r="D34" s="81">
        <f t="shared" si="1"/>
        <v>1.3100263031474491</v>
      </c>
      <c r="E34" s="81">
        <f t="shared" si="7"/>
        <v>8.4071522253418962</v>
      </c>
      <c r="F34" s="82">
        <f t="shared" si="5"/>
        <v>15.101751716629842</v>
      </c>
      <c r="G34" s="78">
        <f t="shared" si="6"/>
        <v>4.7372867786513693</v>
      </c>
    </row>
    <row r="35" spans="1:7" ht="16.5" hidden="1" thickBot="1">
      <c r="A35" s="73">
        <v>1996</v>
      </c>
      <c r="B35" s="74" t="s">
        <v>121</v>
      </c>
      <c r="C35" s="75">
        <v>158.4924</v>
      </c>
      <c r="D35" s="81">
        <f t="shared" si="1"/>
        <v>0.33996938376277264</v>
      </c>
      <c r="E35" s="81">
        <f t="shared" si="7"/>
        <v>8.7757033527171568</v>
      </c>
      <c r="F35" s="82">
        <f t="shared" si="5"/>
        <v>13.864799721251364</v>
      </c>
      <c r="G35" s="78">
        <f t="shared" si="6"/>
        <v>4.7212360216426053</v>
      </c>
    </row>
    <row r="36" spans="1:7" ht="16.5" hidden="1" thickBot="1">
      <c r="A36" s="73">
        <v>1996</v>
      </c>
      <c r="B36" s="74" t="s">
        <v>122</v>
      </c>
      <c r="C36" s="79">
        <v>158.60339999999999</v>
      </c>
      <c r="D36" s="81">
        <f t="shared" si="1"/>
        <v>7.0034903881821542E-2</v>
      </c>
      <c r="E36" s="81">
        <f t="shared" si="7"/>
        <v>8.8518843120070088</v>
      </c>
      <c r="F36" s="82">
        <f t="shared" si="5"/>
        <v>13.107494030961963</v>
      </c>
      <c r="G36" s="78">
        <f t="shared" si="6"/>
        <v>4.7179318226254194</v>
      </c>
    </row>
    <row r="37" spans="1:7" ht="16.5" hidden="1" thickBot="1">
      <c r="A37" s="73">
        <v>1996</v>
      </c>
      <c r="B37" s="74" t="s">
        <v>123</v>
      </c>
      <c r="C37" s="79">
        <v>159.52330000000001</v>
      </c>
      <c r="D37" s="81">
        <f t="shared" si="1"/>
        <v>0.58000017654098457</v>
      </c>
      <c r="E37" s="81">
        <f t="shared" si="7"/>
        <v>9.4832254331848276</v>
      </c>
      <c r="F37" s="82">
        <f t="shared" si="5"/>
        <v>12.104380286846904</v>
      </c>
      <c r="G37" s="78">
        <f t="shared" si="6"/>
        <v>4.6907256058305489</v>
      </c>
    </row>
    <row r="38" spans="1:7" ht="16.5" hidden="1" thickBot="1">
      <c r="A38" s="73">
        <v>1996</v>
      </c>
      <c r="B38" s="74" t="s">
        <v>124</v>
      </c>
      <c r="C38" s="79">
        <v>160.06559999999999</v>
      </c>
      <c r="D38" s="81">
        <f t="shared" si="1"/>
        <v>0.33995033954286047</v>
      </c>
      <c r="E38" s="81">
        <f t="shared" si="7"/>
        <v>9.8554140297874238</v>
      </c>
      <c r="F38" s="82">
        <f t="shared" si="5"/>
        <v>11.184617244057193</v>
      </c>
      <c r="G38" s="78">
        <f t="shared" si="6"/>
        <v>4.6748334934963447</v>
      </c>
    </row>
    <row r="39" spans="1:7" ht="16.5" hidden="1" thickBot="1">
      <c r="A39" s="73">
        <v>1996</v>
      </c>
      <c r="B39" s="74" t="s">
        <v>109</v>
      </c>
      <c r="C39" s="79">
        <v>160.33779999999999</v>
      </c>
      <c r="D39" s="81">
        <f t="shared" si="1"/>
        <v>0.17005527733628956</v>
      </c>
      <c r="E39" s="81">
        <f>100*(C39/C$26-1)</f>
        <v>10.042228958784705</v>
      </c>
      <c r="F39" s="82">
        <f t="shared" si="5"/>
        <v>10.042228958784705</v>
      </c>
      <c r="G39" s="78">
        <f t="shared" si="6"/>
        <v>4.666897188539374</v>
      </c>
    </row>
    <row r="40" spans="1:7" ht="16.5" hidden="1" thickBot="1">
      <c r="A40" s="73"/>
      <c r="B40" s="74"/>
      <c r="C40" s="79"/>
      <c r="D40" s="81"/>
      <c r="E40" s="81"/>
      <c r="F40" s="82"/>
      <c r="G40" s="78"/>
    </row>
    <row r="41" spans="1:7" ht="16.5" hidden="1" thickBot="1">
      <c r="A41" s="73">
        <v>1997</v>
      </c>
      <c r="B41" s="74" t="s">
        <v>125</v>
      </c>
      <c r="C41" s="79">
        <v>162.3099</v>
      </c>
      <c r="D41" s="81">
        <f>100*(C41/C39-1)</f>
        <v>1.229965734842331</v>
      </c>
      <c r="E41" s="81">
        <f>100*(C41/C$39-1)</f>
        <v>1.229965734842331</v>
      </c>
      <c r="F41" s="82">
        <f t="shared" ref="F41:F52" si="8">100*(C41/C28-1)</f>
        <v>9.4045064088391861</v>
      </c>
      <c r="G41" s="78">
        <f t="shared" ref="G41:G52" si="9">C$400/C41</f>
        <v>4.6101933895380895</v>
      </c>
    </row>
    <row r="42" spans="1:7" ht="16.5" hidden="1" thickBot="1">
      <c r="A42" s="73">
        <v>1997</v>
      </c>
      <c r="B42" s="74" t="s">
        <v>126</v>
      </c>
      <c r="C42" s="79">
        <v>162.3261</v>
      </c>
      <c r="D42" s="81">
        <f t="shared" si="1"/>
        <v>9.9809068947687152E-3</v>
      </c>
      <c r="E42" s="81">
        <f t="shared" ref="E42:E52" si="10">100*(C42/C$39-1)</f>
        <v>1.2400694034719217</v>
      </c>
      <c r="F42" s="82">
        <f t="shared" si="8"/>
        <v>8.9795301810662522</v>
      </c>
      <c r="G42" s="78">
        <f t="shared" si="9"/>
        <v>4.6097332963496838</v>
      </c>
    </row>
    <row r="43" spans="1:7" ht="16.5" hidden="1" thickBot="1">
      <c r="A43" s="73">
        <v>1997</v>
      </c>
      <c r="B43" s="74" t="s">
        <v>127</v>
      </c>
      <c r="C43" s="75">
        <v>162.667</v>
      </c>
      <c r="D43" s="81">
        <f t="shared" si="1"/>
        <v>0.21000935770649765</v>
      </c>
      <c r="E43" s="81">
        <f t="shared" si="10"/>
        <v>1.4526830229677712</v>
      </c>
      <c r="F43" s="82">
        <f t="shared" si="8"/>
        <v>8.9577851964183441</v>
      </c>
      <c r="G43" s="78">
        <f t="shared" si="9"/>
        <v>4.6000727131906807</v>
      </c>
    </row>
    <row r="44" spans="1:7" ht="16.5" hidden="1" thickBot="1">
      <c r="A44" s="73">
        <v>1997</v>
      </c>
      <c r="B44" s="74" t="s">
        <v>128</v>
      </c>
      <c r="C44" s="75">
        <v>163.7081</v>
      </c>
      <c r="D44" s="81">
        <f t="shared" si="1"/>
        <v>0.64001918028857574</v>
      </c>
      <c r="E44" s="81">
        <f t="shared" si="10"/>
        <v>2.1019996532321228</v>
      </c>
      <c r="F44" s="82">
        <f t="shared" si="8"/>
        <v>7.9070107743477447</v>
      </c>
      <c r="G44" s="78">
        <f t="shared" si="9"/>
        <v>4.5708185974706712</v>
      </c>
    </row>
    <row r="45" spans="1:7" ht="16.5" hidden="1" thickBot="1">
      <c r="A45" s="73">
        <v>1997</v>
      </c>
      <c r="B45" s="74" t="s">
        <v>129</v>
      </c>
      <c r="C45" s="75">
        <v>164.60849999999999</v>
      </c>
      <c r="D45" s="81">
        <f t="shared" si="1"/>
        <v>0.55000332909611593</v>
      </c>
      <c r="E45" s="81">
        <f t="shared" si="10"/>
        <v>2.6635640503986036</v>
      </c>
      <c r="F45" s="82">
        <f t="shared" si="8"/>
        <v>7.0658512043635824</v>
      </c>
      <c r="G45" s="78">
        <f t="shared" si="9"/>
        <v>4.5458164556301073</v>
      </c>
    </row>
    <row r="46" spans="1:7" ht="16.5" hidden="1" thickBot="1">
      <c r="A46" s="73">
        <v>1997</v>
      </c>
      <c r="B46" s="74" t="s">
        <v>119</v>
      </c>
      <c r="C46" s="75">
        <v>166.94589999999999</v>
      </c>
      <c r="D46" s="81">
        <f t="shared" si="1"/>
        <v>1.4199752746668626</v>
      </c>
      <c r="E46" s="81">
        <f t="shared" si="10"/>
        <v>4.1213612760060414</v>
      </c>
      <c r="F46" s="82">
        <f t="shared" si="8"/>
        <v>7.0763868801106078</v>
      </c>
      <c r="G46" s="78">
        <f t="shared" si="9"/>
        <v>4.4821707393628021</v>
      </c>
    </row>
    <row r="47" spans="1:7" ht="16.5" hidden="1" thickBot="1">
      <c r="A47" s="73">
        <v>1997</v>
      </c>
      <c r="B47" s="74" t="s">
        <v>120</v>
      </c>
      <c r="C47" s="75">
        <v>167.12960000000001</v>
      </c>
      <c r="D47" s="81">
        <f t="shared" si="1"/>
        <v>0.11003564627822815</v>
      </c>
      <c r="E47" s="81">
        <f t="shared" si="10"/>
        <v>4.2359318887997821</v>
      </c>
      <c r="F47" s="82">
        <f t="shared" si="8"/>
        <v>5.8080951964921912</v>
      </c>
      <c r="G47" s="78">
        <f t="shared" si="9"/>
        <v>4.4772441747996066</v>
      </c>
    </row>
    <row r="48" spans="1:7" ht="16.5" hidden="1" thickBot="1">
      <c r="A48" s="73">
        <v>1997</v>
      </c>
      <c r="B48" s="74" t="s">
        <v>121</v>
      </c>
      <c r="C48" s="75">
        <v>165.85939999999999</v>
      </c>
      <c r="D48" s="81">
        <f t="shared" si="1"/>
        <v>-0.76000899900438013</v>
      </c>
      <c r="E48" s="81">
        <f t="shared" si="10"/>
        <v>3.4437294262488427</v>
      </c>
      <c r="F48" s="82">
        <f t="shared" si="8"/>
        <v>4.6481724044812101</v>
      </c>
      <c r="G48" s="78">
        <f t="shared" si="9"/>
        <v>4.5115322257079695</v>
      </c>
    </row>
    <row r="49" spans="1:7" ht="16.5" hidden="1" thickBot="1">
      <c r="A49" s="73">
        <v>1997</v>
      </c>
      <c r="B49" s="74" t="s">
        <v>122</v>
      </c>
      <c r="C49" s="75">
        <v>165.876</v>
      </c>
      <c r="D49" s="81">
        <f t="shared" si="1"/>
        <v>1.00084770594977E-2</v>
      </c>
      <c r="E49" s="81">
        <f t="shared" si="10"/>
        <v>3.4540825681779408</v>
      </c>
      <c r="F49" s="82">
        <f t="shared" si="8"/>
        <v>4.5853998085791492</v>
      </c>
      <c r="G49" s="78">
        <f t="shared" si="9"/>
        <v>4.5110807352274493</v>
      </c>
    </row>
    <row r="50" spans="1:7" ht="16.5" hidden="1" thickBot="1">
      <c r="A50" s="73">
        <v>1997</v>
      </c>
      <c r="B50" s="74" t="s">
        <v>123</v>
      </c>
      <c r="C50" s="75">
        <v>166.24090000000001</v>
      </c>
      <c r="D50" s="81">
        <f t="shared" si="1"/>
        <v>0.21998360220887303</v>
      </c>
      <c r="E50" s="81">
        <f t="shared" si="10"/>
        <v>3.6816645856435848</v>
      </c>
      <c r="F50" s="82">
        <f t="shared" si="8"/>
        <v>4.2110462860284414</v>
      </c>
      <c r="G50" s="78">
        <f t="shared" si="9"/>
        <v>4.5011788797858312</v>
      </c>
    </row>
    <row r="51" spans="1:7" ht="16.5" hidden="1" thickBot="1">
      <c r="A51" s="73">
        <v>1997</v>
      </c>
      <c r="B51" s="74" t="s">
        <v>124</v>
      </c>
      <c r="C51" s="75">
        <v>167.12200000000001</v>
      </c>
      <c r="D51" s="81">
        <f t="shared" si="1"/>
        <v>0.5300139736972076</v>
      </c>
      <c r="E51" s="81">
        <f t="shared" si="10"/>
        <v>4.2311918961093653</v>
      </c>
      <c r="F51" s="82">
        <f t="shared" si="8"/>
        <v>4.4084425385592096</v>
      </c>
      <c r="G51" s="78">
        <f t="shared" si="9"/>
        <v>4.4774477808821604</v>
      </c>
    </row>
    <row r="52" spans="1:7" ht="16.5" hidden="1" thickBot="1">
      <c r="A52" s="73">
        <v>1997</v>
      </c>
      <c r="B52" s="74" t="s">
        <v>109</v>
      </c>
      <c r="C52" s="75">
        <v>168.0746</v>
      </c>
      <c r="D52" s="81">
        <f t="shared" si="1"/>
        <v>0.57000275248022536</v>
      </c>
      <c r="E52" s="81">
        <f t="shared" si="10"/>
        <v>4.8253125588601176</v>
      </c>
      <c r="F52" s="82">
        <f t="shared" si="8"/>
        <v>4.8253125588601176</v>
      </c>
      <c r="G52" s="78">
        <f t="shared" si="9"/>
        <v>4.4520708544693157</v>
      </c>
    </row>
    <row r="53" spans="1:7" ht="16.5" hidden="1" thickBot="1">
      <c r="A53" s="73"/>
      <c r="B53" s="74"/>
      <c r="C53" s="75"/>
      <c r="D53" s="81"/>
      <c r="E53" s="81"/>
      <c r="F53" s="82"/>
      <c r="G53" s="78"/>
    </row>
    <row r="54" spans="1:7" ht="16.5" hidden="1" thickBot="1">
      <c r="A54" s="73">
        <v>1998</v>
      </c>
      <c r="B54" s="74" t="s">
        <v>125</v>
      </c>
      <c r="C54" s="75">
        <v>168.47800000000001</v>
      </c>
      <c r="D54" s="81">
        <f>100*(C54/C52-1)</f>
        <v>0.2400124706529061</v>
      </c>
      <c r="E54" s="81">
        <f>100*(C54/C$52-1)</f>
        <v>0.2400124706529061</v>
      </c>
      <c r="F54" s="82">
        <f t="shared" ref="F54:F65" si="11">100*(C54/C41-1)</f>
        <v>3.8001994949168338</v>
      </c>
      <c r="G54" s="78">
        <f t="shared" ref="G54:G65" si="12">C$400/C54</f>
        <v>4.4414109144018115</v>
      </c>
    </row>
    <row r="55" spans="1:7" ht="16.5" hidden="1" thickBot="1">
      <c r="A55" s="73">
        <v>1998</v>
      </c>
      <c r="B55" s="74" t="s">
        <v>126</v>
      </c>
      <c r="C55" s="75">
        <v>168.20840000000001</v>
      </c>
      <c r="D55" s="81">
        <f t="shared" si="1"/>
        <v>-0.16002089293557509</v>
      </c>
      <c r="E55" s="81">
        <f t="shared" ref="E55:E65" si="13">100*(C55/C$52-1)</f>
        <v>7.9607507618639772E-2</v>
      </c>
      <c r="F55" s="82">
        <f t="shared" si="11"/>
        <v>3.6237548983188761</v>
      </c>
      <c r="G55" s="78">
        <f t="shared" si="12"/>
        <v>4.4485294910158375</v>
      </c>
    </row>
    <row r="56" spans="1:7" ht="16.5" hidden="1" thickBot="1">
      <c r="A56" s="73">
        <v>1998</v>
      </c>
      <c r="B56" s="74" t="s">
        <v>127</v>
      </c>
      <c r="C56" s="75">
        <v>167.82149999999999</v>
      </c>
      <c r="D56" s="81">
        <f t="shared" si="1"/>
        <v>-0.23001229427307424</v>
      </c>
      <c r="E56" s="81">
        <f t="shared" si="13"/>
        <v>-0.15058789370910874</v>
      </c>
      <c r="F56" s="82">
        <f t="shared" si="11"/>
        <v>3.1687435066731329</v>
      </c>
      <c r="G56" s="78">
        <f t="shared" si="12"/>
        <v>4.4587852452551582</v>
      </c>
    </row>
    <row r="57" spans="1:7" ht="16.5" hidden="1" thickBot="1">
      <c r="A57" s="73">
        <v>1998</v>
      </c>
      <c r="B57" s="74" t="s">
        <v>128</v>
      </c>
      <c r="C57" s="75">
        <v>168.86199999999999</v>
      </c>
      <c r="D57" s="81">
        <f t="shared" si="1"/>
        <v>0.62000399233710368</v>
      </c>
      <c r="E57" s="81">
        <f t="shared" si="13"/>
        <v>0.46848244767501157</v>
      </c>
      <c r="F57" s="82">
        <f t="shared" si="11"/>
        <v>3.148225408516736</v>
      </c>
      <c r="G57" s="78">
        <f t="shared" si="12"/>
        <v>4.4313109405111186</v>
      </c>
    </row>
    <row r="58" spans="1:7" ht="16.5" hidden="1" thickBot="1">
      <c r="A58" s="73">
        <v>1998</v>
      </c>
      <c r="B58" s="74" t="s">
        <v>129</v>
      </c>
      <c r="C58" s="75">
        <v>169.74010000000001</v>
      </c>
      <c r="D58" s="81">
        <f t="shared" si="1"/>
        <v>0.52001042271205833</v>
      </c>
      <c r="E58" s="81">
        <f t="shared" si="13"/>
        <v>0.99092902794355453</v>
      </c>
      <c r="F58" s="82">
        <f t="shared" si="11"/>
        <v>3.1174574824508028</v>
      </c>
      <c r="G58" s="78">
        <f t="shared" si="12"/>
        <v>4.4083868693171997</v>
      </c>
    </row>
    <row r="59" spans="1:7" ht="16.5" hidden="1" thickBot="1">
      <c r="A59" s="73">
        <v>1998</v>
      </c>
      <c r="B59" s="74" t="s">
        <v>119</v>
      </c>
      <c r="C59" s="75">
        <v>170.0626</v>
      </c>
      <c r="D59" s="81">
        <f t="shared" si="1"/>
        <v>0.18999635324827846</v>
      </c>
      <c r="E59" s="81">
        <f t="shared" si="13"/>
        <v>1.1828081102082111</v>
      </c>
      <c r="F59" s="82">
        <f t="shared" si="11"/>
        <v>1.8668922087933915</v>
      </c>
      <c r="G59" s="78">
        <f t="shared" si="12"/>
        <v>4.4000269785160784</v>
      </c>
    </row>
    <row r="60" spans="1:7" ht="16.5" hidden="1" thickBot="1">
      <c r="A60" s="73">
        <v>1998</v>
      </c>
      <c r="B60" s="74" t="s">
        <v>120</v>
      </c>
      <c r="C60" s="75">
        <v>168.75309999999999</v>
      </c>
      <c r="D60" s="81">
        <f t="shared" si="1"/>
        <v>-0.77001057257739536</v>
      </c>
      <c r="E60" s="81">
        <f t="shared" si="13"/>
        <v>0.40368979012890271</v>
      </c>
      <c r="F60" s="82">
        <f t="shared" si="11"/>
        <v>0.97140183426513982</v>
      </c>
      <c r="G60" s="78">
        <f t="shared" si="12"/>
        <v>4.4341705606391137</v>
      </c>
    </row>
    <row r="61" spans="1:7" ht="16.5" hidden="1" thickBot="1">
      <c r="A61" s="73">
        <v>1998</v>
      </c>
      <c r="B61" s="74" t="s">
        <v>121</v>
      </c>
      <c r="C61" s="75">
        <v>167.06559999999999</v>
      </c>
      <c r="D61" s="81">
        <f t="shared" si="1"/>
        <v>-0.99998162996709494</v>
      </c>
      <c r="E61" s="81">
        <f t="shared" si="13"/>
        <v>-0.60032866358153969</v>
      </c>
      <c r="F61" s="82">
        <f t="shared" si="11"/>
        <v>0.72724247163560296</v>
      </c>
      <c r="G61" s="78">
        <f t="shared" si="12"/>
        <v>4.4789593311644555</v>
      </c>
    </row>
    <row r="62" spans="1:7" ht="16.5" hidden="1" thickBot="1">
      <c r="A62" s="73">
        <v>1998</v>
      </c>
      <c r="B62" s="74" t="s">
        <v>122</v>
      </c>
      <c r="C62" s="75">
        <v>165.96289999999999</v>
      </c>
      <c r="D62" s="81">
        <f t="shared" si="1"/>
        <v>-0.66004012794973477</v>
      </c>
      <c r="E62" s="81">
        <f t="shared" si="13"/>
        <v>-1.2564063814520576</v>
      </c>
      <c r="F62" s="82">
        <f t="shared" si="11"/>
        <v>5.2388531191960297E-2</v>
      </c>
      <c r="G62" s="78">
        <f t="shared" si="12"/>
        <v>4.5087186837334636</v>
      </c>
    </row>
    <row r="63" spans="1:7" ht="16.5" hidden="1" thickBot="1">
      <c r="A63" s="73">
        <v>1998</v>
      </c>
      <c r="B63" s="74" t="s">
        <v>123</v>
      </c>
      <c r="C63" s="75">
        <v>165.99610000000001</v>
      </c>
      <c r="D63" s="81">
        <f t="shared" si="1"/>
        <v>2.0004470878753899E-2</v>
      </c>
      <c r="E63" s="81">
        <f t="shared" si="13"/>
        <v>-1.2366532480220016</v>
      </c>
      <c r="F63" s="82">
        <f t="shared" si="11"/>
        <v>-0.14725618063905488</v>
      </c>
      <c r="G63" s="78">
        <f t="shared" si="12"/>
        <v>4.5078169188106729</v>
      </c>
    </row>
    <row r="64" spans="1:7" ht="16.5" hidden="1" thickBot="1">
      <c r="A64" s="73">
        <v>1998</v>
      </c>
      <c r="B64" s="74" t="s">
        <v>124</v>
      </c>
      <c r="C64" s="75">
        <v>165.26580000000001</v>
      </c>
      <c r="D64" s="81">
        <f t="shared" si="1"/>
        <v>-0.43995009521308193</v>
      </c>
      <c r="E64" s="81">
        <f t="shared" si="13"/>
        <v>-1.6711626860929529</v>
      </c>
      <c r="F64" s="82">
        <f t="shared" si="11"/>
        <v>-1.1106856069218907</v>
      </c>
      <c r="G64" s="78">
        <f t="shared" si="12"/>
        <v>4.5277367007365612</v>
      </c>
    </row>
    <row r="65" spans="1:7" ht="16.5" hidden="1" thickBot="1">
      <c r="A65" s="73">
        <v>1998</v>
      </c>
      <c r="B65" s="74" t="s">
        <v>109</v>
      </c>
      <c r="C65" s="75">
        <v>165.06739999999999</v>
      </c>
      <c r="D65" s="81">
        <f t="shared" si="1"/>
        <v>-0.12004903615873141</v>
      </c>
      <c r="E65" s="81">
        <f t="shared" si="13"/>
        <v>-1.7892055075543922</v>
      </c>
      <c r="F65" s="82">
        <f t="shared" si="11"/>
        <v>-1.7892055075543922</v>
      </c>
      <c r="G65" s="78">
        <f t="shared" si="12"/>
        <v>4.5331787381190258</v>
      </c>
    </row>
    <row r="66" spans="1:7" ht="16.5" hidden="1" thickBot="1">
      <c r="A66" s="73"/>
      <c r="B66" s="74"/>
      <c r="C66" s="75"/>
      <c r="D66" s="81"/>
      <c r="E66" s="81"/>
      <c r="F66" s="82"/>
      <c r="G66" s="78"/>
    </row>
    <row r="67" spans="1:7" ht="16.5" hidden="1" thickBot="1">
      <c r="A67" s="73">
        <v>1999</v>
      </c>
      <c r="B67" s="74" t="s">
        <v>125</v>
      </c>
      <c r="C67" s="75">
        <v>165.89279999999999</v>
      </c>
      <c r="D67" s="81">
        <f>100*(C67/C65-1)</f>
        <v>0.50003816622785635</v>
      </c>
      <c r="E67" s="81">
        <f>100*(C67/C$65-1)</f>
        <v>0.50003816622785635</v>
      </c>
      <c r="F67" s="82">
        <f t="shared" ref="F67:F78" si="14">100*(C67/C54-1)</f>
        <v>-1.5344436662353633</v>
      </c>
      <c r="G67" s="78">
        <f t="shared" ref="G67:G78" si="15">C$400/C67</f>
        <v>4.5106238970985384</v>
      </c>
    </row>
    <row r="68" spans="1:7" ht="16.5" hidden="1" thickBot="1">
      <c r="A68" s="73">
        <v>1999</v>
      </c>
      <c r="B68" s="74" t="s">
        <v>126</v>
      </c>
      <c r="C68" s="75">
        <v>168.2319</v>
      </c>
      <c r="D68" s="81">
        <f t="shared" si="1"/>
        <v>1.4100069442435137</v>
      </c>
      <c r="E68" s="81">
        <f t="shared" ref="E68:E78" si="16">100*(C68/C$65-1)</f>
        <v>1.9170956833390429</v>
      </c>
      <c r="F68" s="82">
        <f t="shared" si="14"/>
        <v>1.3970764836934713E-2</v>
      </c>
      <c r="G68" s="78">
        <f t="shared" si="15"/>
        <v>4.4479080842372252</v>
      </c>
    </row>
    <row r="69" spans="1:7" ht="16.5" hidden="1" thickBot="1">
      <c r="A69" s="73">
        <v>1999</v>
      </c>
      <c r="B69" s="74" t="s">
        <v>127</v>
      </c>
      <c r="C69" s="75">
        <v>169.17400000000001</v>
      </c>
      <c r="D69" s="81">
        <f t="shared" si="1"/>
        <v>0.56000080840792332</v>
      </c>
      <c r="E69" s="81">
        <f t="shared" si="16"/>
        <v>2.4878322430716304</v>
      </c>
      <c r="F69" s="82">
        <f t="shared" si="14"/>
        <v>0.80591580935698293</v>
      </c>
      <c r="G69" s="78">
        <f t="shared" si="15"/>
        <v>4.4231384730312486</v>
      </c>
    </row>
    <row r="70" spans="1:7" ht="16.5" hidden="1" thickBot="1">
      <c r="A70" s="73">
        <v>1999</v>
      </c>
      <c r="B70" s="74" t="s">
        <v>128</v>
      </c>
      <c r="C70" s="75">
        <v>169.9691</v>
      </c>
      <c r="D70" s="81">
        <f t="shared" si="1"/>
        <v>0.46998947828862381</v>
      </c>
      <c r="E70" s="81">
        <f t="shared" si="16"/>
        <v>2.9695142711401612</v>
      </c>
      <c r="F70" s="82">
        <f t="shared" si="14"/>
        <v>0.65562411910318197</v>
      </c>
      <c r="G70" s="78">
        <f t="shared" si="15"/>
        <v>4.4024474333075156</v>
      </c>
    </row>
    <row r="71" spans="1:7" ht="16.5" hidden="1" thickBot="1">
      <c r="A71" s="73">
        <v>1999</v>
      </c>
      <c r="B71" s="74" t="s">
        <v>129</v>
      </c>
      <c r="C71" s="75">
        <v>169.34020000000001</v>
      </c>
      <c r="D71" s="81">
        <f t="shared" si="1"/>
        <v>-0.37000843094420199</v>
      </c>
      <c r="E71" s="81">
        <f t="shared" si="16"/>
        <v>2.588518387034644</v>
      </c>
      <c r="F71" s="82">
        <f t="shared" si="14"/>
        <v>-0.2355954780278835</v>
      </c>
      <c r="G71" s="78">
        <f t="shared" si="15"/>
        <v>4.4187973560713187</v>
      </c>
    </row>
    <row r="72" spans="1:7" ht="16.5" hidden="1" thickBot="1">
      <c r="A72" s="73">
        <v>1999</v>
      </c>
      <c r="B72" s="74" t="s">
        <v>119</v>
      </c>
      <c r="C72" s="75">
        <v>169.2047</v>
      </c>
      <c r="D72" s="81">
        <f t="shared" si="1"/>
        <v>-8.0016440278218859E-2</v>
      </c>
      <c r="E72" s="81">
        <f t="shared" si="16"/>
        <v>2.5064307064871727</v>
      </c>
      <c r="F72" s="82">
        <f t="shared" si="14"/>
        <v>-0.50446129836895226</v>
      </c>
      <c r="G72" s="78">
        <f t="shared" si="15"/>
        <v>4.4223359518771543</v>
      </c>
    </row>
    <row r="73" spans="1:7" ht="16.5" hidden="1" thickBot="1">
      <c r="A73" s="73">
        <v>1999</v>
      </c>
      <c r="B73" s="74" t="s">
        <v>120</v>
      </c>
      <c r="C73" s="75">
        <v>171.04910000000001</v>
      </c>
      <c r="D73" s="81">
        <f t="shared" si="1"/>
        <v>1.090040643079071</v>
      </c>
      <c r="E73" s="81">
        <f t="shared" si="16"/>
        <v>3.6237924629575646</v>
      </c>
      <c r="F73" s="82">
        <f t="shared" si="14"/>
        <v>1.3605675984619037</v>
      </c>
      <c r="G73" s="78">
        <f t="shared" si="15"/>
        <v>4.3746504836131166</v>
      </c>
    </row>
    <row r="74" spans="1:7" ht="16.5" hidden="1" thickBot="1">
      <c r="A74" s="73">
        <v>1999</v>
      </c>
      <c r="B74" s="74" t="s">
        <v>121</v>
      </c>
      <c r="C74" s="75">
        <v>172.31479999999999</v>
      </c>
      <c r="D74" s="81">
        <f t="shared" si="1"/>
        <v>0.73996296969698339</v>
      </c>
      <c r="E74" s="81">
        <f t="shared" si="16"/>
        <v>4.3905701549791232</v>
      </c>
      <c r="F74" s="82">
        <f t="shared" si="14"/>
        <v>3.1419993104505162</v>
      </c>
      <c r="G74" s="78">
        <f t="shared" si="15"/>
        <v>4.3425174624384466</v>
      </c>
    </row>
    <row r="75" spans="1:7" ht="16.5" hidden="1" thickBot="1">
      <c r="A75" s="73">
        <v>1999</v>
      </c>
      <c r="B75" s="74" t="s">
        <v>122</v>
      </c>
      <c r="C75" s="75">
        <v>173.88290000000001</v>
      </c>
      <c r="D75" s="81">
        <f t="shared" si="1"/>
        <v>0.91002049736876867</v>
      </c>
      <c r="E75" s="81">
        <f t="shared" si="16"/>
        <v>5.340545740709568</v>
      </c>
      <c r="F75" s="82">
        <f t="shared" si="14"/>
        <v>4.7721508843241667</v>
      </c>
      <c r="G75" s="78">
        <f t="shared" si="15"/>
        <v>4.3033560403960847</v>
      </c>
    </row>
    <row r="76" spans="1:7" ht="16.5" hidden="1" thickBot="1">
      <c r="A76" s="73">
        <v>1999</v>
      </c>
      <c r="B76" s="74" t="s">
        <v>123</v>
      </c>
      <c r="C76" s="75">
        <v>175.84780000000001</v>
      </c>
      <c r="D76" s="81">
        <f t="shared" si="1"/>
        <v>1.1300133595655515</v>
      </c>
      <c r="E76" s="81">
        <f t="shared" si="16"/>
        <v>6.5309079806188386</v>
      </c>
      <c r="F76" s="82">
        <f t="shared" si="14"/>
        <v>5.9348984705062335</v>
      </c>
      <c r="G76" s="78">
        <f t="shared" si="15"/>
        <v>4.2552709106203679</v>
      </c>
    </row>
    <row r="77" spans="1:7" ht="16.5" hidden="1" thickBot="1">
      <c r="A77" s="73">
        <v>1999</v>
      </c>
      <c r="B77" s="74" t="s">
        <v>124</v>
      </c>
      <c r="C77" s="75">
        <v>178.4503</v>
      </c>
      <c r="D77" s="81">
        <f t="shared" si="1"/>
        <v>1.4799730221248142</v>
      </c>
      <c r="E77" s="81">
        <f t="shared" si="16"/>
        <v>8.1075366789566061</v>
      </c>
      <c r="F77" s="82">
        <f t="shared" si="14"/>
        <v>7.9777546231585728</v>
      </c>
      <c r="G77" s="78">
        <f t="shared" si="15"/>
        <v>4.1932124969057964</v>
      </c>
    </row>
    <row r="78" spans="1:7" ht="16.5" hidden="1" thickBot="1">
      <c r="A78" s="73">
        <v>1999</v>
      </c>
      <c r="B78" s="74" t="s">
        <v>109</v>
      </c>
      <c r="C78" s="75">
        <v>179.32470000000001</v>
      </c>
      <c r="D78" s="81">
        <f t="shared" ref="D78:D116" si="17">100*(C78/C77-1)</f>
        <v>0.48999637434063992</v>
      </c>
      <c r="E78" s="81">
        <f t="shared" si="16"/>
        <v>8.637259689072474</v>
      </c>
      <c r="F78" s="82">
        <f t="shared" si="14"/>
        <v>8.637259689072474</v>
      </c>
      <c r="G78" s="78">
        <f t="shared" si="15"/>
        <v>4.1727660943338449</v>
      </c>
    </row>
    <row r="79" spans="1:7" ht="16.5" hidden="1" thickBot="1">
      <c r="A79" s="73"/>
      <c r="B79" s="74"/>
      <c r="C79" s="75"/>
      <c r="D79" s="81"/>
      <c r="E79" s="81"/>
      <c r="F79" s="82"/>
      <c r="G79" s="78"/>
    </row>
    <row r="80" spans="1:7" ht="16.5" hidden="1" thickBot="1">
      <c r="A80" s="73">
        <v>2000</v>
      </c>
      <c r="B80" s="80" t="s">
        <v>125</v>
      </c>
      <c r="C80" s="75">
        <v>180.34690000000001</v>
      </c>
      <c r="D80" s="81">
        <f>100*(C80/C78-1)</f>
        <v>0.57002744184153631</v>
      </c>
      <c r="E80" s="81">
        <f>100*(C80/C$78-1)</f>
        <v>0.57002744184153631</v>
      </c>
      <c r="F80" s="82">
        <f t="shared" ref="F80:F91" si="18">100*(C80/C67-1)</f>
        <v>8.7129158106922233</v>
      </c>
      <c r="G80" s="78">
        <f t="shared" ref="G80:G91" si="19">C$400/C80</f>
        <v>4.1491150002389192</v>
      </c>
    </row>
    <row r="81" spans="1:7" ht="16.5" hidden="1" thickBot="1">
      <c r="A81" s="73">
        <v>2000</v>
      </c>
      <c r="B81" s="80" t="s">
        <v>126</v>
      </c>
      <c r="C81" s="75">
        <v>179.93209999999999</v>
      </c>
      <c r="D81" s="81">
        <f t="shared" si="17"/>
        <v>-0.23000118105718226</v>
      </c>
      <c r="E81" s="81">
        <f t="shared" ref="E81:E91" si="20">100*(C81/C$78-1)</f>
        <v>0.33871519093575664</v>
      </c>
      <c r="F81" s="82">
        <f t="shared" si="18"/>
        <v>6.9548046476322289</v>
      </c>
      <c r="G81" s="78">
        <f t="shared" si="19"/>
        <v>4.1586800133860962</v>
      </c>
    </row>
    <row r="82" spans="1:7" ht="16.5" hidden="1" thickBot="1">
      <c r="A82" s="73">
        <v>2000</v>
      </c>
      <c r="B82" s="80" t="s">
        <v>127</v>
      </c>
      <c r="C82" s="75">
        <v>180.3459</v>
      </c>
      <c r="D82" s="81">
        <f t="shared" si="17"/>
        <v>0.22997564081117527</v>
      </c>
      <c r="E82" s="81">
        <f t="shared" si="20"/>
        <v>0.56946979417782373</v>
      </c>
      <c r="F82" s="82">
        <f t="shared" si="18"/>
        <v>6.6037925449537127</v>
      </c>
      <c r="G82" s="78">
        <f t="shared" si="19"/>
        <v>4.1491380066671235</v>
      </c>
    </row>
    <row r="83" spans="1:7" ht="16.5" hidden="1" thickBot="1">
      <c r="A83" s="73">
        <v>2000</v>
      </c>
      <c r="B83" s="80" t="s">
        <v>128</v>
      </c>
      <c r="C83" s="75">
        <v>180.50819999999999</v>
      </c>
      <c r="D83" s="81">
        <f t="shared" si="17"/>
        <v>8.9993728717963073E-2</v>
      </c>
      <c r="E83" s="81">
        <f t="shared" si="20"/>
        <v>0.65997600999749828</v>
      </c>
      <c r="F83" s="82">
        <f t="shared" si="18"/>
        <v>6.2005976380412609</v>
      </c>
      <c r="G83" s="78">
        <f t="shared" si="19"/>
        <v>4.1454073999773335</v>
      </c>
    </row>
    <row r="84" spans="1:7" ht="16.5" hidden="1" thickBot="1">
      <c r="A84" s="73">
        <v>2000</v>
      </c>
      <c r="B84" s="80" t="s">
        <v>129</v>
      </c>
      <c r="C84" s="75">
        <v>180.5624</v>
      </c>
      <c r="D84" s="81">
        <f t="shared" si="17"/>
        <v>3.0026336753685712E-2</v>
      </c>
      <c r="E84" s="81">
        <f t="shared" si="20"/>
        <v>0.69020051337043142</v>
      </c>
      <c r="F84" s="82">
        <f t="shared" si="18"/>
        <v>6.627014731292391</v>
      </c>
      <c r="G84" s="78">
        <f t="shared" si="19"/>
        <v>4.1441630596214294</v>
      </c>
    </row>
    <row r="85" spans="1:7" ht="16.5" hidden="1" thickBot="1">
      <c r="A85" s="73">
        <v>2000</v>
      </c>
      <c r="B85" s="80" t="s">
        <v>119</v>
      </c>
      <c r="C85" s="75">
        <v>180.88740000000001</v>
      </c>
      <c r="D85" s="81">
        <f t="shared" si="17"/>
        <v>0.17999317687404925</v>
      </c>
      <c r="E85" s="81">
        <f t="shared" si="20"/>
        <v>0.87143600407528776</v>
      </c>
      <c r="F85" s="82">
        <f t="shared" si="18"/>
        <v>6.9044772396984255</v>
      </c>
      <c r="G85" s="78">
        <f t="shared" si="19"/>
        <v>4.1367172508233763</v>
      </c>
    </row>
    <row r="86" spans="1:7" ht="16.5" hidden="1" thickBot="1">
      <c r="A86" s="73">
        <v>2000</v>
      </c>
      <c r="B86" s="80" t="s">
        <v>120</v>
      </c>
      <c r="C86" s="75">
        <v>183.41980000000001</v>
      </c>
      <c r="D86" s="81">
        <f t="shared" si="17"/>
        <v>1.3999869532095532</v>
      </c>
      <c r="E86" s="81">
        <f t="shared" si="20"/>
        <v>2.283622947647479</v>
      </c>
      <c r="F86" s="82">
        <f t="shared" si="18"/>
        <v>7.2322508566253774</v>
      </c>
      <c r="G86" s="78">
        <f t="shared" si="19"/>
        <v>4.0796033363714734</v>
      </c>
    </row>
    <row r="87" spans="1:7" ht="16.5" hidden="1" thickBot="1">
      <c r="A87" s="73">
        <v>2000</v>
      </c>
      <c r="B87" s="80" t="s">
        <v>121</v>
      </c>
      <c r="C87" s="75">
        <v>186.2628</v>
      </c>
      <c r="D87" s="81">
        <f t="shared" si="17"/>
        <v>1.5499962381378518</v>
      </c>
      <c r="E87" s="81">
        <f t="shared" si="20"/>
        <v>3.869015255567132</v>
      </c>
      <c r="F87" s="82">
        <f t="shared" si="18"/>
        <v>8.0944875309607802</v>
      </c>
      <c r="G87" s="78">
        <f t="shared" si="19"/>
        <v>4.0173347981271004</v>
      </c>
    </row>
    <row r="88" spans="1:7" ht="16.5" hidden="1" thickBot="1">
      <c r="A88" s="73">
        <v>2000</v>
      </c>
      <c r="B88" s="80" t="s">
        <v>122</v>
      </c>
      <c r="C88" s="75">
        <v>186.76570000000001</v>
      </c>
      <c r="D88" s="81">
        <f t="shared" si="17"/>
        <v>0.26999486746683843</v>
      </c>
      <c r="E88" s="81">
        <f t="shared" si="20"/>
        <v>4.1494562656455125</v>
      </c>
      <c r="F88" s="82">
        <f t="shared" si="18"/>
        <v>7.408894146577949</v>
      </c>
      <c r="G88" s="78">
        <f t="shared" si="19"/>
        <v>4.0065174067646705</v>
      </c>
    </row>
    <row r="89" spans="1:7" ht="16.5" hidden="1" thickBot="1">
      <c r="A89" s="73">
        <v>2000</v>
      </c>
      <c r="B89" s="80" t="s">
        <v>123</v>
      </c>
      <c r="C89" s="75">
        <v>186.78440000000001</v>
      </c>
      <c r="D89" s="81">
        <f t="shared" si="17"/>
        <v>1.0012545130066997E-2</v>
      </c>
      <c r="E89" s="81">
        <f t="shared" si="20"/>
        <v>4.1598842769568156</v>
      </c>
      <c r="F89" s="82">
        <f t="shared" si="18"/>
        <v>6.2193556018329543</v>
      </c>
      <c r="G89" s="78">
        <f t="shared" si="19"/>
        <v>4.0061162925629139</v>
      </c>
    </row>
    <row r="90" spans="1:7" ht="16.5" hidden="1" thickBot="1">
      <c r="A90" s="73">
        <v>2000</v>
      </c>
      <c r="B90" s="80" t="s">
        <v>124</v>
      </c>
      <c r="C90" s="75">
        <v>186.691</v>
      </c>
      <c r="D90" s="81">
        <f t="shared" si="17"/>
        <v>-5.0004175937601314E-2</v>
      </c>
      <c r="E90" s="81">
        <f t="shared" si="20"/>
        <v>4.1077999851665714</v>
      </c>
      <c r="F90" s="82">
        <f t="shared" si="18"/>
        <v>4.6179244304997091</v>
      </c>
      <c r="G90" s="78">
        <f t="shared" si="19"/>
        <v>4.0081205201996264</v>
      </c>
    </row>
    <row r="91" spans="1:7" ht="16.5" hidden="1" thickBot="1">
      <c r="A91" s="73">
        <v>2000</v>
      </c>
      <c r="B91" s="80" t="s">
        <v>109</v>
      </c>
      <c r="C91" s="75">
        <v>187.1764</v>
      </c>
      <c r="D91" s="81">
        <f t="shared" si="17"/>
        <v>0.26000182119116921</v>
      </c>
      <c r="E91" s="81">
        <f t="shared" si="20"/>
        <v>4.3784821611300595</v>
      </c>
      <c r="F91" s="82">
        <f t="shared" si="18"/>
        <v>4.3784821611300595</v>
      </c>
      <c r="G91" s="78">
        <f t="shared" si="19"/>
        <v>3.99772635886035</v>
      </c>
    </row>
    <row r="92" spans="1:7" ht="16.5" hidden="1" thickBot="1">
      <c r="A92" s="73"/>
      <c r="B92" s="80"/>
      <c r="C92" s="75"/>
      <c r="D92" s="81"/>
      <c r="E92" s="81"/>
      <c r="F92" s="82"/>
      <c r="G92" s="78"/>
    </row>
    <row r="93" spans="1:7" ht="16.5" hidden="1" thickBot="1">
      <c r="A93" s="73">
        <v>2001</v>
      </c>
      <c r="B93" s="80" t="s">
        <v>125</v>
      </c>
      <c r="C93" s="75">
        <v>187.8877</v>
      </c>
      <c r="D93" s="81">
        <f>100*(C93/C91-1)</f>
        <v>0.38001585669988902</v>
      </c>
      <c r="E93" s="81">
        <f>100*(C93/C$91-1)</f>
        <v>0.38001585669988902</v>
      </c>
      <c r="F93" s="82">
        <f t="shared" ref="F93:F104" si="21">100*(C93/C80-1)</f>
        <v>4.1812750870683146</v>
      </c>
      <c r="G93" s="78">
        <f t="shared" ref="G93:G104" si="22">C$400/C93</f>
        <v>3.9825918782154894</v>
      </c>
    </row>
    <row r="94" spans="1:7" ht="16.5" hidden="1" thickBot="1">
      <c r="A94" s="73">
        <v>2001</v>
      </c>
      <c r="B94" s="80" t="s">
        <v>126</v>
      </c>
      <c r="C94" s="75">
        <v>188.0943</v>
      </c>
      <c r="D94" s="81">
        <f t="shared" si="17"/>
        <v>0.10995930015642585</v>
      </c>
      <c r="E94" s="81">
        <f t="shared" ref="E94:E104" si="23">100*(C94/C$91-1)</f>
        <v>0.49039301963282877</v>
      </c>
      <c r="F94" s="82">
        <f t="shared" si="21"/>
        <v>4.5362667361743769</v>
      </c>
      <c r="G94" s="78">
        <f t="shared" si="22"/>
        <v>3.978217458139818</v>
      </c>
    </row>
    <row r="95" spans="1:7" ht="16.5" hidden="1" thickBot="1">
      <c r="A95" s="73">
        <v>2001</v>
      </c>
      <c r="B95" s="80" t="s">
        <v>127</v>
      </c>
      <c r="C95" s="75">
        <v>189.05359999999999</v>
      </c>
      <c r="D95" s="81">
        <f t="shared" si="17"/>
        <v>0.51001013853155808</v>
      </c>
      <c r="E95" s="81">
        <f t="shared" si="23"/>
        <v>1.0029042122831733</v>
      </c>
      <c r="F95" s="82">
        <f t="shared" si="21"/>
        <v>4.8283326651728631</v>
      </c>
      <c r="G95" s="78">
        <f t="shared" si="22"/>
        <v>3.9580310982524982</v>
      </c>
    </row>
    <row r="96" spans="1:7" ht="16.5" hidden="1" thickBot="1">
      <c r="A96" s="73">
        <v>2001</v>
      </c>
      <c r="B96" s="80" t="s">
        <v>128</v>
      </c>
      <c r="C96" s="75">
        <v>190.20689999999999</v>
      </c>
      <c r="D96" s="81">
        <f t="shared" si="17"/>
        <v>0.61003863454596186</v>
      </c>
      <c r="E96" s="81">
        <f t="shared" si="23"/>
        <v>1.6190609499915576</v>
      </c>
      <c r="F96" s="82">
        <f t="shared" si="21"/>
        <v>5.3729969054037374</v>
      </c>
      <c r="G96" s="78">
        <f t="shared" si="22"/>
        <v>3.9340319832592217</v>
      </c>
    </row>
    <row r="97" spans="1:7" ht="16.5" hidden="1" thickBot="1">
      <c r="A97" s="73">
        <v>2001</v>
      </c>
      <c r="B97" s="80" t="s">
        <v>129</v>
      </c>
      <c r="C97" s="75">
        <v>190.53020000000001</v>
      </c>
      <c r="D97" s="81">
        <f t="shared" si="17"/>
        <v>0.16997280330000031</v>
      </c>
      <c r="E97" s="81">
        <f t="shared" si="23"/>
        <v>1.7917857165753892</v>
      </c>
      <c r="F97" s="82">
        <f t="shared" si="21"/>
        <v>5.5204184259845857</v>
      </c>
      <c r="G97" s="78">
        <f t="shared" si="22"/>
        <v>3.9273565452436854</v>
      </c>
    </row>
    <row r="98" spans="1:7" ht="16.5" hidden="1" thickBot="1">
      <c r="A98" s="73">
        <v>2001</v>
      </c>
      <c r="B98" s="80" t="s">
        <v>119</v>
      </c>
      <c r="C98" s="75">
        <v>192.1497</v>
      </c>
      <c r="D98" s="81">
        <f t="shared" si="17"/>
        <v>0.84999648349710633</v>
      </c>
      <c r="E98" s="81">
        <f t="shared" si="23"/>
        <v>2.6570123156551828</v>
      </c>
      <c r="F98" s="82">
        <f t="shared" si="21"/>
        <v>6.2261384706729039</v>
      </c>
      <c r="G98" s="78">
        <f t="shared" si="22"/>
        <v>3.8942555103473406</v>
      </c>
    </row>
    <row r="99" spans="1:7" ht="16.5" hidden="1" thickBot="1">
      <c r="A99" s="73">
        <v>2001</v>
      </c>
      <c r="B99" s="80" t="s">
        <v>120</v>
      </c>
      <c r="C99" s="75">
        <v>194.47470000000001</v>
      </c>
      <c r="D99" s="81">
        <f t="shared" si="17"/>
        <v>1.2099940827386302</v>
      </c>
      <c r="E99" s="81">
        <f t="shared" si="23"/>
        <v>3.8991560901908695</v>
      </c>
      <c r="F99" s="82">
        <f t="shared" si="21"/>
        <v>6.0271028536722948</v>
      </c>
      <c r="G99" s="78">
        <f t="shared" si="22"/>
        <v>3.847698585145463</v>
      </c>
    </row>
    <row r="100" spans="1:7" ht="16.5" hidden="1" thickBot="1">
      <c r="A100" s="73">
        <v>2001</v>
      </c>
      <c r="B100" s="80" t="s">
        <v>121</v>
      </c>
      <c r="C100" s="75">
        <v>196.71119999999999</v>
      </c>
      <c r="D100" s="81">
        <f t="shared" si="17"/>
        <v>1.1500210567235714</v>
      </c>
      <c r="E100" s="81">
        <f t="shared" si="23"/>
        <v>5.0940182629861441</v>
      </c>
      <c r="F100" s="82">
        <f t="shared" si="21"/>
        <v>5.6094936831186937</v>
      </c>
      <c r="G100" s="78">
        <f t="shared" si="22"/>
        <v>3.8039523323358733</v>
      </c>
    </row>
    <row r="101" spans="1:7" ht="16.5" hidden="1" thickBot="1">
      <c r="A101" s="73">
        <v>2001</v>
      </c>
      <c r="B101" s="80" t="s">
        <v>122</v>
      </c>
      <c r="C101" s="75">
        <v>197.3407</v>
      </c>
      <c r="D101" s="81">
        <f t="shared" si="17"/>
        <v>0.32001228196463227</v>
      </c>
      <c r="E101" s="81">
        <f t="shared" si="23"/>
        <v>5.4303320290378432</v>
      </c>
      <c r="F101" s="82">
        <f t="shared" si="21"/>
        <v>5.662174585590396</v>
      </c>
      <c r="G101" s="78">
        <f t="shared" si="22"/>
        <v>3.7918180488697386</v>
      </c>
    </row>
    <row r="102" spans="1:7" ht="16.5" hidden="1" thickBot="1">
      <c r="A102" s="73">
        <v>2001</v>
      </c>
      <c r="B102" s="80" t="s">
        <v>123</v>
      </c>
      <c r="C102" s="75">
        <v>198.80099999999999</v>
      </c>
      <c r="D102" s="81">
        <f t="shared" si="17"/>
        <v>0.73998926729255121</v>
      </c>
      <c r="E102" s="81">
        <f t="shared" si="23"/>
        <v>6.2105051705236169</v>
      </c>
      <c r="F102" s="82">
        <f t="shared" si="21"/>
        <v>6.4334066442379489</v>
      </c>
      <c r="G102" s="78">
        <f t="shared" si="22"/>
        <v>3.7639651110235284</v>
      </c>
    </row>
    <row r="103" spans="1:7" ht="16.5" hidden="1" thickBot="1">
      <c r="A103" s="73">
        <v>2001</v>
      </c>
      <c r="B103" s="80" t="s">
        <v>124</v>
      </c>
      <c r="C103" s="75">
        <v>200.0137</v>
      </c>
      <c r="D103" s="81">
        <f t="shared" si="17"/>
        <v>0.61000699191655627</v>
      </c>
      <c r="E103" s="81">
        <f t="shared" si="23"/>
        <v>6.8583966782137074</v>
      </c>
      <c r="F103" s="82">
        <f t="shared" si="21"/>
        <v>7.1362304556727318</v>
      </c>
      <c r="G103" s="78">
        <f t="shared" si="22"/>
        <v>3.7411438718277217</v>
      </c>
    </row>
    <row r="104" spans="1:7" ht="16.5" hidden="1" thickBot="1">
      <c r="A104" s="73">
        <v>2001</v>
      </c>
      <c r="B104" s="80" t="s">
        <v>109</v>
      </c>
      <c r="C104" s="75">
        <v>200.5137</v>
      </c>
      <c r="D104" s="81">
        <f t="shared" si="17"/>
        <v>0.24998287617297166</v>
      </c>
      <c r="E104" s="81">
        <f t="shared" si="23"/>
        <v>7.1255243716622285</v>
      </c>
      <c r="F104" s="82">
        <f t="shared" si="21"/>
        <v>7.1255243716622285</v>
      </c>
      <c r="G104" s="78">
        <f t="shared" si="22"/>
        <v>3.7318149734237034</v>
      </c>
    </row>
    <row r="105" spans="1:7" ht="16.5" hidden="1" thickBot="1">
      <c r="A105" s="73"/>
      <c r="B105" s="80"/>
      <c r="C105" s="75"/>
      <c r="D105" s="81"/>
      <c r="E105" s="81"/>
      <c r="F105" s="82"/>
      <c r="G105" s="78"/>
    </row>
    <row r="106" spans="1:7" ht="16.5" hidden="1" thickBot="1">
      <c r="A106" s="73">
        <v>2002</v>
      </c>
      <c r="B106" s="80" t="s">
        <v>125</v>
      </c>
      <c r="C106" s="75">
        <v>201.6566</v>
      </c>
      <c r="D106" s="81">
        <f>100*(C106/C104-1)</f>
        <v>0.56998599098216918</v>
      </c>
      <c r="E106" s="81">
        <f>100*(C106/C$104-1)</f>
        <v>0.56998599098216918</v>
      </c>
      <c r="F106" s="82">
        <f t="shared" ref="F106:F117" si="24">100*(C106/C93-1)</f>
        <v>7.3282604449359967</v>
      </c>
      <c r="G106" s="78">
        <f t="shared" ref="G106:G117" si="25">C$400/C106</f>
        <v>3.7106647044360979</v>
      </c>
    </row>
    <row r="107" spans="1:7" ht="16.5" hidden="1" thickBot="1">
      <c r="A107" s="73">
        <v>2002</v>
      </c>
      <c r="B107" s="80" t="s">
        <v>126</v>
      </c>
      <c r="C107" s="75">
        <v>202.18090000000001</v>
      </c>
      <c r="D107" s="81">
        <f t="shared" si="17"/>
        <v>0.25999644940954969</v>
      </c>
      <c r="E107" s="81">
        <f t="shared" ref="E107:E116" si="26">100*(C107/C$104-1)</f>
        <v>0.83146438373038478</v>
      </c>
      <c r="F107" s="82">
        <f t="shared" si="24"/>
        <v>7.4891158317928808</v>
      </c>
      <c r="G107" s="78">
        <f t="shared" si="25"/>
        <v>3.7010421263165236</v>
      </c>
    </row>
    <row r="108" spans="1:7" ht="16.5" hidden="1" thickBot="1">
      <c r="A108" s="73">
        <v>2002</v>
      </c>
      <c r="B108" s="80" t="s">
        <v>127</v>
      </c>
      <c r="C108" s="75">
        <v>202.32249999999999</v>
      </c>
      <c r="D108" s="81">
        <f t="shared" si="17"/>
        <v>7.0036289283503805E-2</v>
      </c>
      <c r="E108" s="81">
        <f t="shared" si="26"/>
        <v>0.9020829998149793</v>
      </c>
      <c r="F108" s="82">
        <f t="shared" si="24"/>
        <v>7.018591552871789</v>
      </c>
      <c r="G108" s="78">
        <f t="shared" si="25"/>
        <v>3.698451867867333</v>
      </c>
    </row>
    <row r="109" spans="1:7" ht="16.5" hidden="1" thickBot="1">
      <c r="A109" s="73">
        <v>2002</v>
      </c>
      <c r="B109" s="80" t="s">
        <v>128</v>
      </c>
      <c r="C109" s="75">
        <v>202.44390000000001</v>
      </c>
      <c r="D109" s="81">
        <f t="shared" si="17"/>
        <v>6.0003212692616437E-2</v>
      </c>
      <c r="E109" s="81">
        <f t="shared" si="26"/>
        <v>0.96262749128863678</v>
      </c>
      <c r="F109" s="82">
        <f t="shared" si="24"/>
        <v>6.433520550516314</v>
      </c>
      <c r="G109" s="78">
        <f t="shared" si="25"/>
        <v>3.6962340087134677</v>
      </c>
    </row>
    <row r="110" spans="1:7" ht="16.5" hidden="1" thickBot="1">
      <c r="A110" s="73">
        <v>2002</v>
      </c>
      <c r="B110" s="80" t="s">
        <v>129</v>
      </c>
      <c r="C110" s="75">
        <v>202.56530000000001</v>
      </c>
      <c r="D110" s="81">
        <f t="shared" si="17"/>
        <v>5.996723042778207E-2</v>
      </c>
      <c r="E110" s="81">
        <f t="shared" si="26"/>
        <v>1.0231719827622721</v>
      </c>
      <c r="F110" s="82">
        <f t="shared" si="24"/>
        <v>6.3166364177437595</v>
      </c>
      <c r="G110" s="78">
        <f t="shared" si="25"/>
        <v>3.6940188079428626</v>
      </c>
    </row>
    <row r="111" spans="1:7" ht="16.5" hidden="1" thickBot="1">
      <c r="A111" s="73">
        <v>2002</v>
      </c>
      <c r="B111" s="80" t="s">
        <v>119</v>
      </c>
      <c r="C111" s="75">
        <v>203.19329999999999</v>
      </c>
      <c r="D111" s="81">
        <f t="shared" si="17"/>
        <v>0.3100234837852156</v>
      </c>
      <c r="E111" s="81">
        <f t="shared" si="26"/>
        <v>1.3363675399735708</v>
      </c>
      <c r="F111" s="82">
        <f t="shared" si="24"/>
        <v>5.7473938288740589</v>
      </c>
      <c r="G111" s="78">
        <f t="shared" si="25"/>
        <v>3.68260187730889</v>
      </c>
    </row>
    <row r="112" spans="1:7" ht="16.5" hidden="1" thickBot="1">
      <c r="A112" s="73">
        <v>2002</v>
      </c>
      <c r="B112" s="80" t="s">
        <v>120</v>
      </c>
      <c r="C112" s="75">
        <v>204.5547</v>
      </c>
      <c r="D112" s="81">
        <f t="shared" si="17"/>
        <v>0.67000240657542065</v>
      </c>
      <c r="E112" s="81">
        <f t="shared" si="26"/>
        <v>2.0153236412274955</v>
      </c>
      <c r="F112" s="82">
        <f t="shared" si="24"/>
        <v>5.1831934950921532</v>
      </c>
      <c r="G112" s="78">
        <f t="shared" si="25"/>
        <v>3.6580925690614219</v>
      </c>
    </row>
    <row r="113" spans="1:7" ht="16.5" hidden="1" thickBot="1">
      <c r="A113" s="73">
        <v>2002</v>
      </c>
      <c r="B113" s="80" t="s">
        <v>121</v>
      </c>
      <c r="C113" s="75">
        <v>206.6207</v>
      </c>
      <c r="D113" s="81">
        <f t="shared" si="17"/>
        <v>1.0099987924990339</v>
      </c>
      <c r="E113" s="81">
        <f t="shared" si="26"/>
        <v>3.0456771781678826</v>
      </c>
      <c r="F113" s="82">
        <f t="shared" si="24"/>
        <v>5.0375880986949451</v>
      </c>
      <c r="G113" s="78">
        <f t="shared" si="25"/>
        <v>3.6215153081786502</v>
      </c>
    </row>
    <row r="114" spans="1:7" ht="16.5" hidden="1" thickBot="1">
      <c r="A114" s="73">
        <v>2002</v>
      </c>
      <c r="B114" s="80" t="s">
        <v>122</v>
      </c>
      <c r="C114" s="75">
        <v>208.191</v>
      </c>
      <c r="D114" s="81">
        <f t="shared" si="17"/>
        <v>0.75999161749040756</v>
      </c>
      <c r="E114" s="81">
        <f t="shared" si="26"/>
        <v>3.8288156869081824</v>
      </c>
      <c r="F114" s="82">
        <f t="shared" si="24"/>
        <v>5.4982575819382484</v>
      </c>
      <c r="G114" s="78">
        <f t="shared" si="25"/>
        <v>3.5941996918050654</v>
      </c>
    </row>
    <row r="115" spans="1:7" ht="16.5" hidden="1" thickBot="1">
      <c r="A115" s="73">
        <v>2002</v>
      </c>
      <c r="B115" s="80" t="s">
        <v>123</v>
      </c>
      <c r="C115" s="75">
        <v>210.85579999999999</v>
      </c>
      <c r="D115" s="81">
        <f t="shared" si="17"/>
        <v>1.2799784812984161</v>
      </c>
      <c r="E115" s="81">
        <f t="shared" si="26"/>
        <v>5.1578021850875899</v>
      </c>
      <c r="F115" s="82">
        <f t="shared" si="24"/>
        <v>6.0637521944054695</v>
      </c>
      <c r="G115" s="78">
        <f t="shared" si="25"/>
        <v>3.5487761211054591</v>
      </c>
    </row>
    <row r="116" spans="1:7" ht="16.5" hidden="1" thickBot="1">
      <c r="A116" s="73">
        <v>2002</v>
      </c>
      <c r="B116" s="80" t="s">
        <v>124</v>
      </c>
      <c r="C116" s="75">
        <v>216.4435</v>
      </c>
      <c r="D116" s="81">
        <f t="shared" si="17"/>
        <v>2.6500101016903477</v>
      </c>
      <c r="E116" s="81">
        <f t="shared" si="26"/>
        <v>7.9444945657079824</v>
      </c>
      <c r="F116" s="82">
        <f t="shared" si="24"/>
        <v>8.2143373178937154</v>
      </c>
      <c r="G116" s="78">
        <f t="shared" si="25"/>
        <v>3.4571610052350308</v>
      </c>
    </row>
    <row r="117" spans="1:7" ht="16.5" hidden="1" thickBot="1">
      <c r="A117" s="73">
        <v>2002</v>
      </c>
      <c r="B117" s="80" t="s">
        <v>109</v>
      </c>
      <c r="C117" s="75">
        <v>220.40440000000001</v>
      </c>
      <c r="D117" s="81">
        <f>100*(C117/C116-1)</f>
        <v>1.829992584669915</v>
      </c>
      <c r="E117" s="81">
        <f>100*(C117/C$104-1)</f>
        <v>9.9198708118198411</v>
      </c>
      <c r="F117" s="82">
        <f t="shared" si="24"/>
        <v>9.9198708118198411</v>
      </c>
      <c r="G117" s="78">
        <f t="shared" si="25"/>
        <v>3.3950321683078397</v>
      </c>
    </row>
    <row r="118" spans="1:7" ht="16.5" hidden="1" thickBot="1">
      <c r="A118" s="73"/>
      <c r="B118" s="80"/>
      <c r="C118" s="75"/>
      <c r="D118" s="81"/>
      <c r="E118" s="81"/>
      <c r="F118" s="82"/>
      <c r="G118" s="78"/>
    </row>
    <row r="119" spans="1:7" ht="16.5" hidden="1" thickBot="1">
      <c r="A119" s="73">
        <v>2003</v>
      </c>
      <c r="B119" s="80" t="s">
        <v>56</v>
      </c>
      <c r="C119" s="75">
        <v>225.2313</v>
      </c>
      <c r="D119" s="81">
        <f>100*(C119/C117-1)</f>
        <v>2.1900197999676907</v>
      </c>
      <c r="E119" s="81">
        <f t="shared" ref="E119:E130" si="27">100*(C119/C$117-1)</f>
        <v>2.1900197999676907</v>
      </c>
      <c r="F119" s="82">
        <f t="shared" ref="F119:F130" si="28">100*(C119/C106-1)</f>
        <v>11.690517444011261</v>
      </c>
      <c r="G119" s="78">
        <f t="shared" ref="G119:G130" si="29">C$400/C119</f>
        <v>3.3222737161157814</v>
      </c>
    </row>
    <row r="120" spans="1:7" ht="16.5" hidden="1" thickBot="1">
      <c r="A120" s="73">
        <v>2003</v>
      </c>
      <c r="B120" s="80" t="s">
        <v>57</v>
      </c>
      <c r="C120" s="75">
        <v>228.85749999999999</v>
      </c>
      <c r="D120" s="81">
        <f t="shared" ref="D120:D126" si="30">100*(C120/C119-1)</f>
        <v>1.6099893753665606</v>
      </c>
      <c r="E120" s="81">
        <f t="shared" si="27"/>
        <v>3.8352682614321676</v>
      </c>
      <c r="F120" s="82">
        <f t="shared" si="28"/>
        <v>13.194421431500203</v>
      </c>
      <c r="G120" s="78">
        <f t="shared" si="29"/>
        <v>3.2696329726427513</v>
      </c>
    </row>
    <row r="121" spans="1:7" ht="16.5" hidden="1" thickBot="1">
      <c r="A121" s="73">
        <v>2003</v>
      </c>
      <c r="B121" s="80" t="s">
        <v>58</v>
      </c>
      <c r="C121" s="75">
        <v>230.39089999999999</v>
      </c>
      <c r="D121" s="81">
        <f t="shared" si="30"/>
        <v>0.67002392318364912</v>
      </c>
      <c r="E121" s="81">
        <f t="shared" si="27"/>
        <v>4.5309893994856631</v>
      </c>
      <c r="F121" s="82">
        <f t="shared" si="28"/>
        <v>13.873098642019555</v>
      </c>
      <c r="G121" s="78">
        <f t="shared" si="29"/>
        <v>3.2478714568873528</v>
      </c>
    </row>
    <row r="122" spans="1:7" ht="16.5" hidden="1" thickBot="1">
      <c r="A122" s="73">
        <v>2003</v>
      </c>
      <c r="B122" s="80" t="s">
        <v>59</v>
      </c>
      <c r="C122" s="75">
        <v>231.70410000000001</v>
      </c>
      <c r="D122" s="81">
        <f t="shared" si="30"/>
        <v>0.56998779031638414</v>
      </c>
      <c r="E122" s="81">
        <f t="shared" si="27"/>
        <v>5.1268032761596416</v>
      </c>
      <c r="F122" s="82">
        <f t="shared" si="28"/>
        <v>14.453485632315921</v>
      </c>
      <c r="G122" s="78">
        <f t="shared" si="29"/>
        <v>3.2294639069252051</v>
      </c>
    </row>
    <row r="123" spans="1:7" ht="16.5" hidden="1" thickBot="1">
      <c r="A123" s="73">
        <v>2003</v>
      </c>
      <c r="B123" s="80" t="s">
        <v>60</v>
      </c>
      <c r="C123" s="75">
        <v>232.42240000000001</v>
      </c>
      <c r="D123" s="81">
        <f t="shared" si="30"/>
        <v>0.31000746210361196</v>
      </c>
      <c r="E123" s="81">
        <f t="shared" si="27"/>
        <v>5.4527042109867141</v>
      </c>
      <c r="F123" s="82">
        <f t="shared" si="28"/>
        <v>14.739493881726041</v>
      </c>
      <c r="G123" s="78">
        <f t="shared" si="29"/>
        <v>3.2194832685515182</v>
      </c>
    </row>
    <row r="124" spans="1:7" ht="16.5" hidden="1" thickBot="1">
      <c r="A124" s="73">
        <v>2003</v>
      </c>
      <c r="B124" s="80" t="s">
        <v>61</v>
      </c>
      <c r="C124" s="75">
        <v>232.0505</v>
      </c>
      <c r="D124" s="81">
        <f t="shared" si="30"/>
        <v>-0.16001039486728263</v>
      </c>
      <c r="E124" s="81">
        <f t="shared" si="27"/>
        <v>5.2839689225804953</v>
      </c>
      <c r="F124" s="82">
        <f t="shared" si="28"/>
        <v>14.201846222291792</v>
      </c>
      <c r="G124" s="78">
        <f t="shared" si="29"/>
        <v>3.2246430326010436</v>
      </c>
    </row>
    <row r="125" spans="1:7" ht="16.5" hidden="1" thickBot="1">
      <c r="A125" s="73">
        <v>2003</v>
      </c>
      <c r="B125" s="80" t="s">
        <v>62</v>
      </c>
      <c r="C125" s="75">
        <v>231.86490000000001</v>
      </c>
      <c r="D125" s="81">
        <f t="shared" si="30"/>
        <v>-7.9982589996574482E-2</v>
      </c>
      <c r="E125" s="81">
        <f t="shared" si="27"/>
        <v>5.1997600773850294</v>
      </c>
      <c r="F125" s="82">
        <f t="shared" si="28"/>
        <v>13.351049865879405</v>
      </c>
      <c r="G125" s="78">
        <f t="shared" si="29"/>
        <v>3.2272242501413038</v>
      </c>
    </row>
    <row r="126" spans="1:7" ht="16.5" hidden="1" thickBot="1">
      <c r="A126" s="73">
        <v>2003</v>
      </c>
      <c r="B126" s="80" t="s">
        <v>63</v>
      </c>
      <c r="C126" s="75">
        <v>233.32560000000001</v>
      </c>
      <c r="D126" s="81">
        <f t="shared" si="30"/>
        <v>0.62997892307115055</v>
      </c>
      <c r="E126" s="81">
        <f t="shared" si="27"/>
        <v>5.8624963929939655</v>
      </c>
      <c r="F126" s="82">
        <f t="shared" si="28"/>
        <v>12.924600487753658</v>
      </c>
      <c r="G126" s="78">
        <f t="shared" si="29"/>
        <v>3.2070206956998648</v>
      </c>
    </row>
    <row r="127" spans="1:7" ht="16.5" hidden="1" thickBot="1">
      <c r="A127" s="73">
        <v>2003</v>
      </c>
      <c r="B127" s="80" t="s">
        <v>64</v>
      </c>
      <c r="C127" s="75">
        <v>235.28550000000001</v>
      </c>
      <c r="D127" s="81">
        <f>100*(C127/C126-1)</f>
        <v>0.83998498235942076</v>
      </c>
      <c r="E127" s="81">
        <f t="shared" si="27"/>
        <v>6.7517254646459079</v>
      </c>
      <c r="F127" s="82">
        <f t="shared" si="28"/>
        <v>13.014251336513105</v>
      </c>
      <c r="G127" s="78">
        <f t="shared" si="29"/>
        <v>3.1803065978846483</v>
      </c>
    </row>
    <row r="128" spans="1:7" ht="16.5" hidden="1" thickBot="1">
      <c r="A128" s="73">
        <v>2003</v>
      </c>
      <c r="B128" s="80" t="s">
        <v>65</v>
      </c>
      <c r="C128" s="75">
        <v>236.76779999999999</v>
      </c>
      <c r="D128" s="81">
        <f>100*(C128/C127-1)</f>
        <v>0.63000057377100571</v>
      </c>
      <c r="E128" s="81">
        <f t="shared" si="27"/>
        <v>7.4242619475836102</v>
      </c>
      <c r="F128" s="82">
        <f t="shared" si="28"/>
        <v>12.28896715195884</v>
      </c>
      <c r="G128" s="78">
        <f t="shared" si="29"/>
        <v>3.1603960844193697</v>
      </c>
    </row>
    <row r="129" spans="1:7" ht="16.5" hidden="1" thickBot="1">
      <c r="A129" s="73">
        <v>2003</v>
      </c>
      <c r="B129" s="80" t="s">
        <v>66</v>
      </c>
      <c r="C129" s="75">
        <v>237.40710000000001</v>
      </c>
      <c r="D129" s="81">
        <f>100*(C129/C128-1)</f>
        <v>0.27001137823641219</v>
      </c>
      <c r="E129" s="81">
        <f t="shared" si="27"/>
        <v>7.714319677828585</v>
      </c>
      <c r="F129" s="82">
        <f t="shared" si="28"/>
        <v>9.6854837405604854</v>
      </c>
      <c r="G129" s="78">
        <f t="shared" si="29"/>
        <v>3.1518856345770128</v>
      </c>
    </row>
    <row r="130" spans="1:7" ht="16.5" hidden="1" thickBot="1">
      <c r="A130" s="73">
        <v>2003</v>
      </c>
      <c r="B130" s="80" t="s">
        <v>55</v>
      </c>
      <c r="C130" s="75">
        <v>238.4042</v>
      </c>
      <c r="D130" s="81">
        <f>100*(C130/C129-1)</f>
        <v>0.41999586364518393</v>
      </c>
      <c r="E130" s="81">
        <f t="shared" si="27"/>
        <v>8.166715365028999</v>
      </c>
      <c r="F130" s="82">
        <f t="shared" si="28"/>
        <v>8.166715365028999</v>
      </c>
      <c r="G130" s="78">
        <f t="shared" si="29"/>
        <v>3.1387032109190542</v>
      </c>
    </row>
    <row r="131" spans="1:7" ht="16.5" hidden="1" thickBot="1">
      <c r="A131" s="73"/>
      <c r="B131" s="80"/>
      <c r="C131" s="75"/>
      <c r="D131" s="81"/>
      <c r="E131" s="81"/>
      <c r="F131" s="82"/>
      <c r="G131" s="78"/>
    </row>
    <row r="132" spans="1:7" ht="16.5" hidden="1" thickBot="1">
      <c r="A132" s="73">
        <v>2004</v>
      </c>
      <c r="B132" s="80" t="s">
        <v>56</v>
      </c>
      <c r="C132" s="75">
        <v>239.9538</v>
      </c>
      <c r="D132" s="81">
        <f>100*(C132/C130-1)</f>
        <v>0.64998854885944812</v>
      </c>
      <c r="E132" s="81">
        <f t="shared" ref="E132:E143" si="31">100*(C132/C$130-1)</f>
        <v>0.64998854885944812</v>
      </c>
      <c r="F132" s="82">
        <f t="shared" ref="F132:F143" si="32">100*(C132/C119-1)</f>
        <v>6.5366136944554398</v>
      </c>
      <c r="G132" s="78">
        <f t="shared" ref="G132:G195" si="33">C$400/C132</f>
        <v>3.1184337486490668</v>
      </c>
    </row>
    <row r="133" spans="1:7" ht="16.5" hidden="1" thickBot="1">
      <c r="A133" s="73">
        <v>2004</v>
      </c>
      <c r="B133" s="80" t="s">
        <v>57</v>
      </c>
      <c r="C133" s="75">
        <v>240.40979999999999</v>
      </c>
      <c r="D133" s="81">
        <f t="shared" ref="D133:D169" si="34">100*(C133/C132-1)</f>
        <v>0.19003658204204132</v>
      </c>
      <c r="E133" s="81">
        <f t="shared" si="31"/>
        <v>0.84126034692342255</v>
      </c>
      <c r="F133" s="82">
        <f t="shared" si="32"/>
        <v>5.0478135957965131</v>
      </c>
      <c r="G133" s="78">
        <f t="shared" si="33"/>
        <v>3.1125188242600279</v>
      </c>
    </row>
    <row r="134" spans="1:7" ht="16.5" hidden="1" thickBot="1">
      <c r="A134" s="73">
        <v>2004</v>
      </c>
      <c r="B134" s="80" t="s">
        <v>58</v>
      </c>
      <c r="C134" s="75">
        <v>240.69820000000001</v>
      </c>
      <c r="D134" s="81">
        <f t="shared" si="34"/>
        <v>0.11996183183882181</v>
      </c>
      <c r="E134" s="81">
        <f t="shared" si="31"/>
        <v>0.96223137008493165</v>
      </c>
      <c r="F134" s="82">
        <f t="shared" si="32"/>
        <v>4.4738312146877401</v>
      </c>
      <c r="G134" s="78">
        <f t="shared" si="33"/>
        <v>3.1087894634716355</v>
      </c>
    </row>
    <row r="135" spans="1:7" ht="16.5" hidden="1" thickBot="1">
      <c r="A135" s="73">
        <v>2004</v>
      </c>
      <c r="B135" s="80" t="s">
        <v>59</v>
      </c>
      <c r="C135" s="75">
        <v>241.3963</v>
      </c>
      <c r="D135" s="81">
        <f t="shared" si="34"/>
        <v>0.29003125075302005</v>
      </c>
      <c r="E135" s="81">
        <f t="shared" si="31"/>
        <v>1.2550533925157259</v>
      </c>
      <c r="F135" s="82">
        <f t="shared" si="32"/>
        <v>4.1830075514416754</v>
      </c>
      <c r="G135" s="78">
        <f t="shared" si="33"/>
        <v>3.0997990774365158</v>
      </c>
    </row>
    <row r="136" spans="1:7" ht="16.5" hidden="1" thickBot="1">
      <c r="A136" s="73">
        <v>2004</v>
      </c>
      <c r="B136" s="80" t="s">
        <v>60</v>
      </c>
      <c r="C136" s="75">
        <v>242.7722</v>
      </c>
      <c r="D136" s="81">
        <f t="shared" si="34"/>
        <v>0.56997559614624382</v>
      </c>
      <c r="E136" s="81">
        <f t="shared" si="31"/>
        <v>1.8321824867179259</v>
      </c>
      <c r="F136" s="82">
        <f t="shared" si="32"/>
        <v>4.4530131347064517</v>
      </c>
      <c r="G136" s="78">
        <f t="shared" si="33"/>
        <v>3.0822311122796946</v>
      </c>
    </row>
    <row r="137" spans="1:7" ht="16.5" hidden="1" thickBot="1">
      <c r="A137" s="73">
        <v>2004</v>
      </c>
      <c r="B137" s="80" t="s">
        <v>61</v>
      </c>
      <c r="C137" s="75">
        <v>245.00569999999999</v>
      </c>
      <c r="D137" s="81">
        <f t="shared" si="34"/>
        <v>0.91999825350679298</v>
      </c>
      <c r="E137" s="81">
        <f t="shared" si="31"/>
        <v>2.7690367871035848</v>
      </c>
      <c r="F137" s="82">
        <f t="shared" si="32"/>
        <v>5.5829226827780909</v>
      </c>
      <c r="G137" s="78">
        <f t="shared" si="33"/>
        <v>3.0541331407252503</v>
      </c>
    </row>
    <row r="138" spans="1:7" ht="16.5" hidden="1" thickBot="1">
      <c r="A138" s="73">
        <v>2004</v>
      </c>
      <c r="B138" s="80" t="s">
        <v>62</v>
      </c>
      <c r="C138" s="75">
        <v>246.4513</v>
      </c>
      <c r="D138" s="81">
        <f t="shared" si="34"/>
        <v>0.59002708916569002</v>
      </c>
      <c r="E138" s="81">
        <f t="shared" si="31"/>
        <v>3.3754019434221405</v>
      </c>
      <c r="F138" s="82">
        <f t="shared" si="32"/>
        <v>6.2909047466865431</v>
      </c>
      <c r="G138" s="78">
        <f t="shared" si="33"/>
        <v>3.036218628331798</v>
      </c>
    </row>
    <row r="139" spans="1:7" ht="16.5" hidden="1" thickBot="1">
      <c r="A139" s="73">
        <v>2004</v>
      </c>
      <c r="B139" s="80" t="s">
        <v>63</v>
      </c>
      <c r="C139" s="75">
        <v>248.89109999999999</v>
      </c>
      <c r="D139" s="81">
        <f t="shared" si="34"/>
        <v>0.98997246109069348</v>
      </c>
      <c r="E139" s="81">
        <f t="shared" si="31"/>
        <v>4.3987899542038189</v>
      </c>
      <c r="F139" s="82">
        <f t="shared" si="32"/>
        <v>6.6711496723891317</v>
      </c>
      <c r="G139" s="78">
        <f t="shared" si="33"/>
        <v>3.0064555463678229</v>
      </c>
    </row>
    <row r="140" spans="1:7" ht="16.5" hidden="1" thickBot="1">
      <c r="A140" s="73">
        <v>2004</v>
      </c>
      <c r="B140" s="80" t="s">
        <v>64</v>
      </c>
      <c r="C140" s="75">
        <v>249.41380000000001</v>
      </c>
      <c r="D140" s="81">
        <f t="shared" si="34"/>
        <v>0.2100115271297387</v>
      </c>
      <c r="E140" s="81">
        <f t="shared" si="31"/>
        <v>4.618039447291622</v>
      </c>
      <c r="F140" s="82">
        <f t="shared" si="32"/>
        <v>6.0047474238744014</v>
      </c>
      <c r="G140" s="78">
        <f t="shared" si="33"/>
        <v>3.0001548752979521</v>
      </c>
    </row>
    <row r="141" spans="1:7" ht="16.5" hidden="1" thickBot="1">
      <c r="A141" s="73">
        <v>2004</v>
      </c>
      <c r="B141" s="80" t="s">
        <v>65</v>
      </c>
      <c r="C141" s="75">
        <v>250.96019999999999</v>
      </c>
      <c r="D141" s="81">
        <f t="shared" si="34"/>
        <v>0.62001380837788389</v>
      </c>
      <c r="E141" s="81">
        <f t="shared" si="31"/>
        <v>5.2666857379190413</v>
      </c>
      <c r="F141" s="82">
        <f t="shared" si="32"/>
        <v>5.9942272555643106</v>
      </c>
      <c r="G141" s="78">
        <f t="shared" si="33"/>
        <v>2.9816681212263476</v>
      </c>
    </row>
    <row r="142" spans="1:7" ht="16.5" hidden="1" thickBot="1">
      <c r="A142" s="73">
        <v>2004</v>
      </c>
      <c r="B142" s="80" t="s">
        <v>66</v>
      </c>
      <c r="C142" s="75">
        <v>252.3656</v>
      </c>
      <c r="D142" s="81">
        <f t="shared" si="34"/>
        <v>0.56000911698350642</v>
      </c>
      <c r="E142" s="81">
        <f t="shared" si="31"/>
        <v>5.856188775197757</v>
      </c>
      <c r="F142" s="82">
        <f t="shared" si="32"/>
        <v>6.3007803894660208</v>
      </c>
      <c r="G142" s="78">
        <f t="shared" si="33"/>
        <v>2.9650634953281605</v>
      </c>
    </row>
    <row r="143" spans="1:7" ht="16.5" hidden="1" thickBot="1">
      <c r="A143" s="73">
        <v>2004</v>
      </c>
      <c r="B143" s="80" t="s">
        <v>55</v>
      </c>
      <c r="C143" s="75">
        <v>254.0564</v>
      </c>
      <c r="D143" s="81">
        <f t="shared" si="34"/>
        <v>0.66998037767429519</v>
      </c>
      <c r="E143" s="81">
        <f t="shared" si="31"/>
        <v>6.5654044685454327</v>
      </c>
      <c r="F143" s="82">
        <f t="shared" si="32"/>
        <v>6.5654044685454327</v>
      </c>
      <c r="G143" s="78">
        <f t="shared" si="33"/>
        <v>2.9453303598594189</v>
      </c>
    </row>
    <row r="144" spans="1:7" ht="16.5" hidden="1" thickBot="1">
      <c r="A144" s="73">
        <v>2005</v>
      </c>
      <c r="B144" s="80" t="s">
        <v>56</v>
      </c>
      <c r="C144" s="75">
        <v>255.47909999999999</v>
      </c>
      <c r="D144" s="81">
        <f t="shared" si="34"/>
        <v>0.55999376516395749</v>
      </c>
      <c r="E144" s="81">
        <f t="shared" ref="E144:E150" si="35">100*(C144/C$143-1)</f>
        <v>0.55999376516395749</v>
      </c>
      <c r="F144" s="82">
        <f t="shared" ref="F144:F207" si="36">100*(C144/C132-1)</f>
        <v>6.4701204981959082</v>
      </c>
      <c r="G144" s="78">
        <f t="shared" si="33"/>
        <v>2.9289285426345577</v>
      </c>
    </row>
    <row r="145" spans="1:7" ht="16.5" hidden="1" thickBot="1">
      <c r="A145" s="73">
        <v>2005</v>
      </c>
      <c r="B145" s="80" t="s">
        <v>57</v>
      </c>
      <c r="C145" s="75">
        <v>256.39879999999999</v>
      </c>
      <c r="D145" s="81">
        <f t="shared" si="34"/>
        <v>0.35999030840487833</v>
      </c>
      <c r="E145" s="81">
        <f t="shared" si="35"/>
        <v>0.92199999685109724</v>
      </c>
      <c r="F145" s="82">
        <f t="shared" si="36"/>
        <v>6.6507272166109743</v>
      </c>
      <c r="G145" s="78">
        <f t="shared" si="33"/>
        <v>2.9184225044601941</v>
      </c>
    </row>
    <row r="146" spans="1:7" ht="16.5" hidden="1" thickBot="1">
      <c r="A146" s="73">
        <v>2005</v>
      </c>
      <c r="B146" s="80" t="s">
        <v>58</v>
      </c>
      <c r="C146" s="75">
        <v>258.42439999999999</v>
      </c>
      <c r="D146" s="81">
        <f t="shared" si="34"/>
        <v>0.79001929806223892</v>
      </c>
      <c r="E146" s="81">
        <f t="shared" si="35"/>
        <v>1.7193032728165747</v>
      </c>
      <c r="F146" s="82">
        <f t="shared" si="36"/>
        <v>7.3644921316403655</v>
      </c>
      <c r="G146" s="78">
        <f t="shared" si="33"/>
        <v>2.8955471234008416</v>
      </c>
    </row>
    <row r="147" spans="1:7" ht="16.5" hidden="1" thickBot="1">
      <c r="A147" s="73">
        <v>2005</v>
      </c>
      <c r="B147" s="80" t="s">
        <v>59</v>
      </c>
      <c r="C147" s="75">
        <v>260.5693</v>
      </c>
      <c r="D147" s="81">
        <f t="shared" si="34"/>
        <v>0.82999128565259817</v>
      </c>
      <c r="E147" s="81">
        <f t="shared" si="35"/>
        <v>2.5635646258074907</v>
      </c>
      <c r="F147" s="82">
        <f t="shared" si="36"/>
        <v>7.9425409585813789</v>
      </c>
      <c r="G147" s="78">
        <f t="shared" si="33"/>
        <v>2.8717121627013942</v>
      </c>
    </row>
    <row r="148" spans="1:7" ht="16.5" hidden="1" thickBot="1">
      <c r="A148" s="83">
        <v>2005</v>
      </c>
      <c r="B148" s="80" t="s">
        <v>60</v>
      </c>
      <c r="C148" s="75">
        <v>261.48129999999998</v>
      </c>
      <c r="D148" s="81">
        <f t="shared" si="34"/>
        <v>0.35000285912423212</v>
      </c>
      <c r="E148" s="81">
        <f t="shared" si="35"/>
        <v>2.9225400344175423</v>
      </c>
      <c r="F148" s="82">
        <f t="shared" si="36"/>
        <v>7.7064425004180759</v>
      </c>
      <c r="G148" s="78">
        <f t="shared" si="33"/>
        <v>2.8616961443766282</v>
      </c>
    </row>
    <row r="149" spans="1:7" ht="16.5" hidden="1" thickBot="1">
      <c r="A149" s="83">
        <v>2005</v>
      </c>
      <c r="B149" s="80" t="s">
        <v>61</v>
      </c>
      <c r="C149" s="75">
        <v>260.95830000000001</v>
      </c>
      <c r="D149" s="81">
        <f t="shared" si="34"/>
        <v>-0.2000143031260615</v>
      </c>
      <c r="E149" s="81">
        <f t="shared" si="35"/>
        <v>2.7166802332080575</v>
      </c>
      <c r="F149" s="82">
        <f t="shared" si="36"/>
        <v>6.5111138230661725</v>
      </c>
      <c r="G149" s="78">
        <f t="shared" si="33"/>
        <v>2.8674314173436461</v>
      </c>
    </row>
    <row r="150" spans="1:7" ht="16.5" hidden="1" thickBot="1">
      <c r="A150" s="83">
        <v>2005</v>
      </c>
      <c r="B150" s="80" t="s">
        <v>62</v>
      </c>
      <c r="C150" s="75">
        <v>261.74119999999999</v>
      </c>
      <c r="D150" s="81">
        <f t="shared" si="34"/>
        <v>0.30000961839495854</v>
      </c>
      <c r="E150" s="81">
        <f t="shared" si="35"/>
        <v>3.0248401536036917</v>
      </c>
      <c r="F150" s="82">
        <f t="shared" si="36"/>
        <v>6.2040248925446795</v>
      </c>
      <c r="G150" s="78">
        <f t="shared" si="33"/>
        <v>2.858854578631826</v>
      </c>
    </row>
    <row r="151" spans="1:7" ht="16.5" hidden="1" thickBot="1">
      <c r="A151" s="83">
        <v>2005</v>
      </c>
      <c r="B151" s="80" t="s">
        <v>63</v>
      </c>
      <c r="C151" s="75">
        <v>261.21769999999998</v>
      </c>
      <c r="D151" s="81">
        <f t="shared" si="34"/>
        <v>-0.20000672419933085</v>
      </c>
      <c r="E151" s="81">
        <f>100*(C151/C$143-1)</f>
        <v>2.8187835457008648</v>
      </c>
      <c r="F151" s="82">
        <f t="shared" si="36"/>
        <v>4.9526077871004492</v>
      </c>
      <c r="G151" s="78">
        <f t="shared" si="33"/>
        <v>2.8645839391304206</v>
      </c>
    </row>
    <row r="152" spans="1:7" ht="16.5" hidden="1" thickBot="1">
      <c r="A152" s="83">
        <v>2005</v>
      </c>
      <c r="B152" s="80" t="s">
        <v>64</v>
      </c>
      <c r="C152" s="75">
        <v>262.36709999999999</v>
      </c>
      <c r="D152" s="81">
        <f t="shared" si="34"/>
        <v>0.44001612448161254</v>
      </c>
      <c r="E152" s="81">
        <f>100*(C152/C$143-1)</f>
        <v>3.2712027722977988</v>
      </c>
      <c r="F152" s="82">
        <f t="shared" si="36"/>
        <v>5.1934977134384663</v>
      </c>
      <c r="G152" s="78">
        <f t="shared" si="33"/>
        <v>2.8520345273343666</v>
      </c>
    </row>
    <row r="153" spans="1:7" ht="16.5" hidden="1" thickBot="1">
      <c r="A153" s="73">
        <v>2005</v>
      </c>
      <c r="B153" s="80" t="s">
        <v>65</v>
      </c>
      <c r="C153" s="75">
        <v>264.02</v>
      </c>
      <c r="D153" s="81">
        <f t="shared" si="34"/>
        <v>0.62999514801969081</v>
      </c>
      <c r="E153" s="81">
        <f>100*(C153/C$143-1)</f>
        <v>3.9218063390648705</v>
      </c>
      <c r="F153" s="82">
        <f t="shared" si="36"/>
        <v>5.2039327351508291</v>
      </c>
      <c r="G153" s="78">
        <f t="shared" si="33"/>
        <v>2.8341793350374536</v>
      </c>
    </row>
    <row r="154" spans="1:7" ht="16.5" hidden="1" thickBot="1">
      <c r="A154" s="73">
        <v>2005</v>
      </c>
      <c r="B154" s="80" t="s">
        <v>68</v>
      </c>
      <c r="C154" s="75">
        <v>264.78570000000002</v>
      </c>
      <c r="D154" s="81">
        <f t="shared" si="34"/>
        <v>0.29001590788577669</v>
      </c>
      <c r="E154" s="81">
        <f>100*(C154/C$143-1)</f>
        <v>4.2231961092104031</v>
      </c>
      <c r="F154" s="82">
        <f t="shared" si="36"/>
        <v>4.9214710721271038</v>
      </c>
      <c r="G154" s="78">
        <f t="shared" si="33"/>
        <v>2.8259835332368342</v>
      </c>
    </row>
    <row r="155" spans="1:7" ht="16.5" hidden="1" thickBot="1">
      <c r="A155" s="73">
        <v>2005</v>
      </c>
      <c r="B155" s="80" t="s">
        <v>55</v>
      </c>
      <c r="C155" s="75">
        <v>265.55349999999999</v>
      </c>
      <c r="D155" s="81">
        <f t="shared" si="34"/>
        <v>0.28997034205395789</v>
      </c>
      <c r="E155" s="81">
        <f>100*(C155/C$143-1)</f>
        <v>4.5254124674678486</v>
      </c>
      <c r="F155" s="82">
        <f t="shared" si="36"/>
        <v>4.5254124674678486</v>
      </c>
      <c r="G155" s="78">
        <f t="shared" si="33"/>
        <v>2.8178127120771839</v>
      </c>
    </row>
    <row r="156" spans="1:7" ht="16.5" hidden="1" thickBot="1">
      <c r="A156" s="73">
        <v>2006</v>
      </c>
      <c r="B156" s="80" t="s">
        <v>56</v>
      </c>
      <c r="C156" s="75">
        <v>266.88130000000001</v>
      </c>
      <c r="D156" s="81">
        <f t="shared" si="34"/>
        <v>0.50001223858846533</v>
      </c>
      <c r="E156" s="81">
        <f t="shared" ref="E156:E167" si="37">100*(C156/C$155-1)</f>
        <v>0.50001223858846533</v>
      </c>
      <c r="F156" s="82">
        <f t="shared" si="36"/>
        <v>4.4630656676025726</v>
      </c>
      <c r="G156" s="78">
        <f t="shared" si="33"/>
        <v>2.8037934019228339</v>
      </c>
    </row>
    <row r="157" spans="1:7" ht="16.5" hidden="1" thickBot="1">
      <c r="A157" s="73">
        <v>2006</v>
      </c>
      <c r="B157" s="80" t="s">
        <v>57</v>
      </c>
      <c r="C157" s="75">
        <v>266.80119999999999</v>
      </c>
      <c r="D157" s="81">
        <f t="shared" si="34"/>
        <v>-3.0013343010548699E-2</v>
      </c>
      <c r="E157" s="81">
        <f t="shared" si="37"/>
        <v>0.46984882518965598</v>
      </c>
      <c r="F157" s="82">
        <f t="shared" si="36"/>
        <v>4.0571172719997106</v>
      </c>
      <c r="G157" s="78">
        <f t="shared" si="33"/>
        <v>2.8046351666956086</v>
      </c>
    </row>
    <row r="158" spans="1:7" ht="16.5" hidden="1" thickBot="1">
      <c r="A158" s="73">
        <v>2006</v>
      </c>
      <c r="B158" s="80" t="s">
        <v>58</v>
      </c>
      <c r="C158" s="75">
        <v>267.1748</v>
      </c>
      <c r="D158" s="81">
        <f t="shared" si="34"/>
        <v>0.14002935519030757</v>
      </c>
      <c r="E158" s="81">
        <f t="shared" si="37"/>
        <v>0.61053610666024216</v>
      </c>
      <c r="F158" s="82">
        <f t="shared" si="36"/>
        <v>3.3860579728539619</v>
      </c>
      <c r="G158" s="78">
        <f t="shared" si="33"/>
        <v>2.8007133458566766</v>
      </c>
    </row>
    <row r="159" spans="1:7" ht="16.5" hidden="1" thickBot="1">
      <c r="A159" s="73">
        <v>2006</v>
      </c>
      <c r="B159" s="80" t="s">
        <v>59</v>
      </c>
      <c r="C159" s="75">
        <v>267.20150000000001</v>
      </c>
      <c r="D159" s="81">
        <f t="shared" si="34"/>
        <v>9.9934574667948084E-3</v>
      </c>
      <c r="E159" s="81">
        <f t="shared" si="37"/>
        <v>0.62059057779317861</v>
      </c>
      <c r="F159" s="82">
        <f t="shared" si="36"/>
        <v>2.545272984960234</v>
      </c>
      <c r="G159" s="78">
        <f t="shared" si="33"/>
        <v>2.8004334857273943</v>
      </c>
    </row>
    <row r="160" spans="1:7" ht="16.5" hidden="1" thickBot="1">
      <c r="A160" s="73">
        <v>2006</v>
      </c>
      <c r="B160" s="80" t="s">
        <v>74</v>
      </c>
      <c r="C160" s="75">
        <v>266.61360000000002</v>
      </c>
      <c r="D160" s="81">
        <f t="shared" si="34"/>
        <v>-0.22002121994075807</v>
      </c>
      <c r="E160" s="81">
        <f t="shared" si="37"/>
        <v>0.39920392689234419</v>
      </c>
      <c r="F160" s="82">
        <f t="shared" si="36"/>
        <v>1.9627789826653252</v>
      </c>
      <c r="G160" s="78">
        <f t="shared" si="33"/>
        <v>2.8066086202526366</v>
      </c>
    </row>
    <row r="161" spans="1:7" ht="16.5" hidden="1" thickBot="1">
      <c r="A161" s="73">
        <v>2006</v>
      </c>
      <c r="B161" s="80" t="s">
        <v>75</v>
      </c>
      <c r="C161" s="75">
        <v>265.78710000000001</v>
      </c>
      <c r="D161" s="81">
        <f t="shared" si="34"/>
        <v>-0.30999918983878327</v>
      </c>
      <c r="E161" s="81">
        <f t="shared" si="37"/>
        <v>8.7967208114392292E-2</v>
      </c>
      <c r="F161" s="82">
        <f t="shared" si="36"/>
        <v>1.8504105828402562</v>
      </c>
      <c r="G161" s="78">
        <f t="shared" si="33"/>
        <v>2.8153361394762513</v>
      </c>
    </row>
    <row r="162" spans="1:7" ht="16.5" hidden="1" thickBot="1">
      <c r="A162" s="84">
        <v>2006</v>
      </c>
      <c r="B162" s="80" t="s">
        <v>76</v>
      </c>
      <c r="C162" s="75">
        <v>266.35320000000002</v>
      </c>
      <c r="D162" s="81">
        <f t="shared" si="34"/>
        <v>0.21299002096037967</v>
      </c>
      <c r="E162" s="81">
        <f t="shared" si="37"/>
        <v>0.30114459044976449</v>
      </c>
      <c r="F162" s="82">
        <f t="shared" si="36"/>
        <v>1.7620458682087614</v>
      </c>
      <c r="G162" s="78">
        <f t="shared" si="33"/>
        <v>2.8093524989997807</v>
      </c>
    </row>
    <row r="163" spans="1:7" ht="16.5" hidden="1" thickBot="1">
      <c r="A163" s="84">
        <v>2006</v>
      </c>
      <c r="B163" s="80" t="s">
        <v>77</v>
      </c>
      <c r="C163" s="75">
        <v>266.6739</v>
      </c>
      <c r="D163" s="81">
        <f t="shared" si="34"/>
        <v>0.12040403494306684</v>
      </c>
      <c r="E163" s="81">
        <f t="shared" si="37"/>
        <v>0.42191121563075473</v>
      </c>
      <c r="F163" s="82">
        <f t="shared" si="36"/>
        <v>2.0887558538338125</v>
      </c>
      <c r="G163" s="78">
        <f t="shared" si="33"/>
        <v>2.8059739930926439</v>
      </c>
    </row>
    <row r="164" spans="1:7" ht="16.5" hidden="1" thickBot="1">
      <c r="A164" s="73">
        <v>2006</v>
      </c>
      <c r="B164" s="80" t="s">
        <v>79</v>
      </c>
      <c r="C164" s="75">
        <v>267.33530000000002</v>
      </c>
      <c r="D164" s="81">
        <f t="shared" si="34"/>
        <v>0.24801827250435782</v>
      </c>
      <c r="E164" s="81">
        <f t="shared" si="37"/>
        <v>0.67097590504363591</v>
      </c>
      <c r="F164" s="82">
        <f t="shared" si="36"/>
        <v>1.8936063248784052</v>
      </c>
      <c r="G164" s="78">
        <f t="shared" si="33"/>
        <v>2.7990318825706457</v>
      </c>
    </row>
    <row r="165" spans="1:7" ht="16.5" hidden="1" thickBot="1">
      <c r="A165" s="73">
        <v>2006</v>
      </c>
      <c r="B165" s="80" t="s">
        <v>78</v>
      </c>
      <c r="C165" s="75">
        <v>268.36739999999998</v>
      </c>
      <c r="D165" s="81">
        <f t="shared" si="34"/>
        <v>0.38606947903998545</v>
      </c>
      <c r="E165" s="81">
        <f t="shared" si="37"/>
        <v>1.0596358172646925</v>
      </c>
      <c r="F165" s="82">
        <f t="shared" si="36"/>
        <v>1.6466176804787569</v>
      </c>
      <c r="G165" s="78">
        <f t="shared" si="33"/>
        <v>2.7882672337869221</v>
      </c>
    </row>
    <row r="166" spans="1:7" ht="16.5" hidden="1" thickBot="1">
      <c r="A166" s="73">
        <v>2006</v>
      </c>
      <c r="B166" s="80" t="s">
        <v>68</v>
      </c>
      <c r="C166" s="75">
        <v>269.48759999999999</v>
      </c>
      <c r="D166" s="81">
        <f t="shared" si="34"/>
        <v>0.41741284522636146</v>
      </c>
      <c r="E166" s="81">
        <f t="shared" si="37"/>
        <v>1.4814717185049453</v>
      </c>
      <c r="F166" s="82">
        <f t="shared" si="36"/>
        <v>1.7757378891684716</v>
      </c>
      <c r="G166" s="78">
        <f t="shared" si="33"/>
        <v>2.7766770272049195</v>
      </c>
    </row>
    <row r="167" spans="1:7" ht="16.5" hidden="1" thickBot="1">
      <c r="A167" s="73">
        <v>2006</v>
      </c>
      <c r="B167" s="80" t="s">
        <v>55</v>
      </c>
      <c r="C167" s="75">
        <v>272.29489999999998</v>
      </c>
      <c r="D167" s="81">
        <f t="shared" si="34"/>
        <v>1.04171768942245</v>
      </c>
      <c r="E167" s="81">
        <f t="shared" si="37"/>
        <v>2.5386221608828308</v>
      </c>
      <c r="F167" s="82">
        <f t="shared" si="36"/>
        <v>2.5386221608828308</v>
      </c>
      <c r="G167" s="78">
        <f t="shared" si="33"/>
        <v>2.7480501031660469</v>
      </c>
    </row>
    <row r="168" spans="1:7" ht="16.5" hidden="1" thickBot="1">
      <c r="A168" s="73">
        <v>2007</v>
      </c>
      <c r="B168" s="80" t="s">
        <v>70</v>
      </c>
      <c r="C168" s="75">
        <v>274.10539999999997</v>
      </c>
      <c r="D168" s="81">
        <f t="shared" si="34"/>
        <v>0.66490411682333939</v>
      </c>
      <c r="E168" s="81">
        <f t="shared" ref="E168:E179" si="38">100*(C168/C$167-1)</f>
        <v>0.66490411682333939</v>
      </c>
      <c r="F168" s="82">
        <f t="shared" si="36"/>
        <v>2.7068588170096497</v>
      </c>
      <c r="G168" s="78">
        <f t="shared" si="33"/>
        <v>2.7298988930411019</v>
      </c>
    </row>
    <row r="169" spans="1:7" ht="16.5" hidden="1" thickBot="1">
      <c r="A169" s="73">
        <v>2007</v>
      </c>
      <c r="B169" s="80" t="s">
        <v>71</v>
      </c>
      <c r="C169" s="75">
        <v>275.0206</v>
      </c>
      <c r="D169" s="81">
        <f t="shared" si="34"/>
        <v>0.33388616203839927</v>
      </c>
      <c r="E169" s="81">
        <f t="shared" si="38"/>
        <v>1.0010103016986349</v>
      </c>
      <c r="F169" s="82">
        <f t="shared" si="36"/>
        <v>3.0807207763683175</v>
      </c>
      <c r="G169" s="78">
        <f t="shared" si="33"/>
        <v>2.72081447003093</v>
      </c>
    </row>
    <row r="170" spans="1:7" ht="16.5" hidden="1" thickBot="1">
      <c r="A170" s="73">
        <v>2007</v>
      </c>
      <c r="B170" s="80" t="s">
        <v>72</v>
      </c>
      <c r="C170" s="75">
        <v>275.32889999999998</v>
      </c>
      <c r="D170" s="81">
        <f>100*(C170/C169-1)</f>
        <v>0.11210069354803398</v>
      </c>
      <c r="E170" s="81">
        <f t="shared" si="38"/>
        <v>1.1142331347373746</v>
      </c>
      <c r="F170" s="82">
        <f t="shared" si="36"/>
        <v>3.0519719674160672</v>
      </c>
      <c r="G170" s="78">
        <f t="shared" si="33"/>
        <v>2.7177678334406177</v>
      </c>
    </row>
    <row r="171" spans="1:7" ht="16.5" hidden="1" thickBot="1">
      <c r="A171" s="73">
        <v>2007</v>
      </c>
      <c r="B171" s="80" t="s">
        <v>73</v>
      </c>
      <c r="C171" s="75">
        <v>276.2287</v>
      </c>
      <c r="D171" s="81">
        <f>100*(C171/C170-1)</f>
        <v>0.32680913627303187</v>
      </c>
      <c r="E171" s="81">
        <f t="shared" si="38"/>
        <v>1.4446836866941037</v>
      </c>
      <c r="F171" s="82">
        <f t="shared" si="36"/>
        <v>3.3784241480680377</v>
      </c>
      <c r="G171" s="78">
        <f t="shared" si="33"/>
        <v>2.7089148522097393</v>
      </c>
    </row>
    <row r="172" spans="1:7" ht="16.5" hidden="1" thickBot="1">
      <c r="A172" s="73">
        <v>2007</v>
      </c>
      <c r="B172" s="80" t="s">
        <v>74</v>
      </c>
      <c r="C172" s="75">
        <v>277.2319</v>
      </c>
      <c r="D172" s="81">
        <f>100*(C172/C171-1)</f>
        <v>0.36317732371762279</v>
      </c>
      <c r="E172" s="81">
        <f t="shared" si="38"/>
        <v>1.8131077739612422</v>
      </c>
      <c r="F172" s="82">
        <f t="shared" si="36"/>
        <v>3.9826550483546219</v>
      </c>
      <c r="G172" s="78">
        <f t="shared" si="33"/>
        <v>2.6991122884364622</v>
      </c>
    </row>
    <row r="173" spans="1:7" ht="16.5" hidden="1" thickBot="1">
      <c r="A173" s="73">
        <v>2007</v>
      </c>
      <c r="B173" s="80" t="s">
        <v>75</v>
      </c>
      <c r="C173" s="75">
        <f t="shared" ref="C173:C236" si="39">+C172*(1+D173/100)</f>
        <v>278.75667544999999</v>
      </c>
      <c r="D173" s="81">
        <v>0.55000000000000004</v>
      </c>
      <c r="E173" s="81">
        <f t="shared" si="38"/>
        <v>2.3730798667180419</v>
      </c>
      <c r="F173" s="82">
        <f t="shared" si="36"/>
        <v>4.8796858274912536</v>
      </c>
      <c r="G173" s="78">
        <f t="shared" si="33"/>
        <v>2.6843483723883264</v>
      </c>
    </row>
    <row r="174" spans="1:7" ht="16.5" hidden="1" thickBot="1">
      <c r="A174" s="73">
        <v>2007</v>
      </c>
      <c r="B174" s="80" t="s">
        <v>76</v>
      </c>
      <c r="C174" s="75">
        <f t="shared" si="39"/>
        <v>279.50931847371498</v>
      </c>
      <c r="D174" s="81">
        <v>0.27</v>
      </c>
      <c r="E174" s="81">
        <f t="shared" si="38"/>
        <v>2.6494871823581789</v>
      </c>
      <c r="F174" s="82">
        <f t="shared" si="36"/>
        <v>4.9393506343137439</v>
      </c>
      <c r="G174" s="78">
        <f t="shared" si="33"/>
        <v>2.6771201479887567</v>
      </c>
    </row>
    <row r="175" spans="1:7" ht="16.5" hidden="1" thickBot="1">
      <c r="A175" s="73">
        <v>2007</v>
      </c>
      <c r="B175" s="80" t="s">
        <v>77</v>
      </c>
      <c r="C175" s="75">
        <f t="shared" si="39"/>
        <v>279.70497499664657</v>
      </c>
      <c r="D175" s="81">
        <v>7.0000000000000007E-2</v>
      </c>
      <c r="E175" s="81">
        <f t="shared" si="38"/>
        <v>2.7213418233858144</v>
      </c>
      <c r="F175" s="82">
        <f t="shared" si="36"/>
        <v>4.8865205768718223</v>
      </c>
      <c r="G175" s="78">
        <f t="shared" si="33"/>
        <v>2.6752474747564277</v>
      </c>
    </row>
    <row r="176" spans="1:7" ht="16.5" hidden="1" thickBot="1">
      <c r="A176" s="73">
        <v>2007</v>
      </c>
      <c r="B176" s="80" t="s">
        <v>79</v>
      </c>
      <c r="C176" s="75">
        <f t="shared" si="39"/>
        <v>280.3762669366385</v>
      </c>
      <c r="D176" s="81">
        <v>0.24</v>
      </c>
      <c r="E176" s="81">
        <f t="shared" si="38"/>
        <v>2.9678730437619372</v>
      </c>
      <c r="F176" s="82">
        <f t="shared" si="36"/>
        <v>4.8781312967791646</v>
      </c>
      <c r="G176" s="78">
        <f t="shared" si="33"/>
        <v>2.6688422533483913</v>
      </c>
    </row>
    <row r="177" spans="1:7" ht="16.5" hidden="1" thickBot="1">
      <c r="A177" s="73">
        <v>2007</v>
      </c>
      <c r="B177" s="80" t="s">
        <v>78</v>
      </c>
      <c r="C177" s="75">
        <f t="shared" si="39"/>
        <v>280.60056795018778</v>
      </c>
      <c r="D177" s="81">
        <v>0.08</v>
      </c>
      <c r="E177" s="81">
        <f t="shared" si="38"/>
        <v>3.0502473421969434</v>
      </c>
      <c r="F177" s="82">
        <f t="shared" si="36"/>
        <v>4.5583658634348989</v>
      </c>
      <c r="G177" s="78">
        <f t="shared" si="33"/>
        <v>2.6667088862394004</v>
      </c>
    </row>
    <row r="178" spans="1:7" ht="16.5" hidden="1" thickBot="1">
      <c r="A178" s="73">
        <v>2007</v>
      </c>
      <c r="B178" s="80" t="s">
        <v>68</v>
      </c>
      <c r="C178" s="75">
        <f t="shared" si="39"/>
        <v>281.91939061955367</v>
      </c>
      <c r="D178" s="81">
        <v>0.47</v>
      </c>
      <c r="E178" s="81">
        <f t="shared" si="38"/>
        <v>3.5345835047052576</v>
      </c>
      <c r="F178" s="82">
        <f t="shared" si="36"/>
        <v>4.6131215757436284</v>
      </c>
      <c r="G178" s="78">
        <f t="shared" si="33"/>
        <v>2.6542339865028368</v>
      </c>
    </row>
    <row r="179" spans="1:7" ht="16.5" hidden="1" thickBot="1">
      <c r="A179" s="73">
        <v>2007</v>
      </c>
      <c r="B179" s="80" t="s">
        <v>69</v>
      </c>
      <c r="C179" s="75">
        <f t="shared" si="39"/>
        <v>284.231129622634</v>
      </c>
      <c r="D179" s="81">
        <v>0.82</v>
      </c>
      <c r="E179" s="81">
        <f t="shared" si="38"/>
        <v>4.3835670894438516</v>
      </c>
      <c r="F179" s="82">
        <f t="shared" si="36"/>
        <v>4.3835670894438516</v>
      </c>
      <c r="G179" s="78">
        <f t="shared" si="33"/>
        <v>2.6326462869498481</v>
      </c>
    </row>
    <row r="180" spans="1:7" ht="16.5" hidden="1" thickBot="1">
      <c r="A180" s="73">
        <v>2008</v>
      </c>
      <c r="B180" s="80" t="s">
        <v>70</v>
      </c>
      <c r="C180" s="75">
        <f t="shared" si="39"/>
        <v>285.70913149667172</v>
      </c>
      <c r="D180" s="81">
        <v>0.52</v>
      </c>
      <c r="E180" s="81">
        <f t="shared" ref="E180:E186" si="40">100*(C180/C$179-1)</f>
        <v>0.52000000000000934</v>
      </c>
      <c r="F180" s="82">
        <f t="shared" si="36"/>
        <v>4.2333100685618463</v>
      </c>
      <c r="G180" s="78">
        <f t="shared" si="33"/>
        <v>2.6190273447571113</v>
      </c>
    </row>
    <row r="181" spans="1:7" ht="16.5" hidden="1" thickBot="1">
      <c r="A181" s="73">
        <v>2008</v>
      </c>
      <c r="B181" s="80" t="s">
        <v>71</v>
      </c>
      <c r="C181" s="75">
        <f t="shared" si="39"/>
        <v>286.25197884651539</v>
      </c>
      <c r="D181" s="81">
        <v>0.19</v>
      </c>
      <c r="E181" s="81">
        <f t="shared" si="40"/>
        <v>0.71098800000000129</v>
      </c>
      <c r="F181" s="82">
        <f t="shared" si="36"/>
        <v>4.0838318462381951</v>
      </c>
      <c r="G181" s="78">
        <f t="shared" si="33"/>
        <v>2.6140606295609454</v>
      </c>
    </row>
    <row r="182" spans="1:7" ht="16.5" hidden="1" thickBot="1">
      <c r="A182" s="73">
        <v>2008</v>
      </c>
      <c r="B182" s="80" t="s">
        <v>72</v>
      </c>
      <c r="C182" s="75">
        <f t="shared" si="39"/>
        <v>287.13935998093962</v>
      </c>
      <c r="D182" s="81">
        <v>0.31</v>
      </c>
      <c r="E182" s="81">
        <f t="shared" si="40"/>
        <v>1.0231920628000157</v>
      </c>
      <c r="F182" s="82">
        <f t="shared" si="36"/>
        <v>4.2895823798154264</v>
      </c>
      <c r="G182" s="78">
        <f t="shared" si="33"/>
        <v>2.605982085097144</v>
      </c>
    </row>
    <row r="183" spans="1:7" ht="16.5" hidden="1" thickBot="1">
      <c r="A183" s="73">
        <v>2008</v>
      </c>
      <c r="B183" s="80" t="s">
        <v>73</v>
      </c>
      <c r="C183" s="75">
        <f t="shared" si="39"/>
        <v>288.6899125248367</v>
      </c>
      <c r="D183" s="81">
        <v>0.54</v>
      </c>
      <c r="E183" s="81">
        <f t="shared" si="40"/>
        <v>1.5687172999391485</v>
      </c>
      <c r="F183" s="82">
        <f t="shared" si="36"/>
        <v>4.5111939942651391</v>
      </c>
      <c r="G183" s="78">
        <f t="shared" si="33"/>
        <v>2.5919853641308372</v>
      </c>
    </row>
    <row r="184" spans="1:7" ht="16.5" hidden="1" thickBot="1">
      <c r="A184" s="73">
        <v>2008</v>
      </c>
      <c r="B184" s="80" t="s">
        <v>74</v>
      </c>
      <c r="C184" s="75">
        <f t="shared" si="39"/>
        <v>292.24079844889218</v>
      </c>
      <c r="D184" s="81">
        <v>1.23</v>
      </c>
      <c r="E184" s="81">
        <f t="shared" si="40"/>
        <v>2.818012522728397</v>
      </c>
      <c r="F184" s="82">
        <f t="shared" si="36"/>
        <v>5.4138425083448904</v>
      </c>
      <c r="G184" s="78">
        <f t="shared" si="33"/>
        <v>2.5604913208839646</v>
      </c>
    </row>
    <row r="185" spans="1:7" ht="16.5" hidden="1" thickBot="1">
      <c r="A185" s="73">
        <v>2008</v>
      </c>
      <c r="B185" s="80" t="s">
        <v>75</v>
      </c>
      <c r="C185" s="75">
        <f t="shared" si="39"/>
        <v>295.04631011400159</v>
      </c>
      <c r="D185" s="81">
        <v>0.96</v>
      </c>
      <c r="E185" s="81">
        <f t="shared" si="40"/>
        <v>3.8050654429465869</v>
      </c>
      <c r="F185" s="82">
        <f t="shared" si="36"/>
        <v>5.8436751829189504</v>
      </c>
      <c r="G185" s="78">
        <f t="shared" si="33"/>
        <v>2.5361443352654165</v>
      </c>
    </row>
    <row r="186" spans="1:7" ht="16.5" hidden="1" thickBot="1">
      <c r="A186" s="73">
        <v>2008</v>
      </c>
      <c r="B186" s="80" t="s">
        <v>76</v>
      </c>
      <c r="C186" s="75">
        <f t="shared" si="39"/>
        <v>296.3740185095146</v>
      </c>
      <c r="D186" s="81">
        <v>0.45</v>
      </c>
      <c r="E186" s="81">
        <f t="shared" si="40"/>
        <v>4.2721882374398445</v>
      </c>
      <c r="F186" s="82">
        <f t="shared" si="36"/>
        <v>6.0336807831276484</v>
      </c>
      <c r="G186" s="78">
        <f t="shared" si="33"/>
        <v>2.5247828126086773</v>
      </c>
    </row>
    <row r="187" spans="1:7" ht="16.5" hidden="1" thickBot="1">
      <c r="A187" s="73">
        <v>2008</v>
      </c>
      <c r="B187" s="80" t="s">
        <v>77</v>
      </c>
      <c r="C187" s="75">
        <f t="shared" si="39"/>
        <v>297.50023977985074</v>
      </c>
      <c r="D187" s="81">
        <v>0.38</v>
      </c>
      <c r="E187" s="81">
        <f>100*(C187/C$179-1)</f>
        <v>4.668422552742113</v>
      </c>
      <c r="F187" s="82">
        <f t="shared" si="36"/>
        <v>6.3621552614205434</v>
      </c>
      <c r="G187" s="78">
        <f t="shared" si="33"/>
        <v>2.5152249577691546</v>
      </c>
    </row>
    <row r="188" spans="1:7" ht="16.5" hidden="1" thickBot="1">
      <c r="A188" s="73">
        <v>2008</v>
      </c>
      <c r="B188" s="80" t="s">
        <v>79</v>
      </c>
      <c r="C188" s="75">
        <f t="shared" si="39"/>
        <v>298.63074069101418</v>
      </c>
      <c r="D188" s="81">
        <v>0.38</v>
      </c>
      <c r="E188" s="81">
        <f>100*(C188/C$179-1)</f>
        <v>5.066162558442544</v>
      </c>
      <c r="F188" s="82">
        <f t="shared" si="36"/>
        <v>6.5107057575957139</v>
      </c>
      <c r="G188" s="78">
        <f t="shared" si="33"/>
        <v>2.5057032852850711</v>
      </c>
    </row>
    <row r="189" spans="1:7" ht="16.5" hidden="1" thickBot="1">
      <c r="A189" s="73">
        <v>2008</v>
      </c>
      <c r="B189" s="80" t="s">
        <v>78</v>
      </c>
      <c r="C189" s="75">
        <f t="shared" si="39"/>
        <v>300.12389439446923</v>
      </c>
      <c r="D189" s="81">
        <v>0.5</v>
      </c>
      <c r="E189" s="81">
        <f>100*(C189/C$179-1)</f>
        <v>5.5914933712347459</v>
      </c>
      <c r="F189" s="82">
        <f t="shared" si="36"/>
        <v>6.9576931318781954</v>
      </c>
      <c r="G189" s="78">
        <f t="shared" si="33"/>
        <v>2.4932370997861408</v>
      </c>
    </row>
    <row r="190" spans="1:7" ht="16.5" hidden="1" thickBot="1">
      <c r="A190" s="73">
        <v>2008</v>
      </c>
      <c r="B190" s="80" t="s">
        <v>68</v>
      </c>
      <c r="C190" s="75">
        <f t="shared" si="39"/>
        <v>301.29437758260769</v>
      </c>
      <c r="D190" s="81">
        <v>0.39</v>
      </c>
      <c r="E190" s="81">
        <f>100*(C190/C$179-1)</f>
        <v>6.0033001953825771</v>
      </c>
      <c r="F190" s="82">
        <f t="shared" si="36"/>
        <v>6.8725272569847062</v>
      </c>
      <c r="G190" s="78">
        <f t="shared" si="33"/>
        <v>2.4835512499114856</v>
      </c>
    </row>
    <row r="191" spans="1:7" ht="16.5" hidden="1" thickBot="1">
      <c r="A191" s="73">
        <v>2008</v>
      </c>
      <c r="B191" s="80" t="s">
        <v>69</v>
      </c>
      <c r="C191" s="75">
        <f t="shared" si="39"/>
        <v>301.77644858673989</v>
      </c>
      <c r="D191" s="81">
        <v>0.16</v>
      </c>
      <c r="E191" s="81">
        <f>100*(C191/C$179-1)</f>
        <v>6.1729054756952006</v>
      </c>
      <c r="F191" s="82">
        <f t="shared" si="36"/>
        <v>6.1729054756952006</v>
      </c>
      <c r="G191" s="78">
        <f t="shared" si="33"/>
        <v>2.479583915646451</v>
      </c>
    </row>
    <row r="192" spans="1:7" ht="16.5" hidden="1" thickBot="1">
      <c r="A192" s="73">
        <v>2009</v>
      </c>
      <c r="B192" s="80" t="s">
        <v>70</v>
      </c>
      <c r="C192" s="75">
        <f t="shared" si="39"/>
        <v>303.1646202502389</v>
      </c>
      <c r="D192" s="81">
        <v>0.46</v>
      </c>
      <c r="E192" s="81">
        <f t="shared" ref="E192:E203" si="41">100*(C192/C$191-1)</f>
        <v>0.45999999999999375</v>
      </c>
      <c r="F192" s="82">
        <f t="shared" si="36"/>
        <v>6.1095312782365685</v>
      </c>
      <c r="G192" s="78">
        <f t="shared" si="33"/>
        <v>2.4682300573824913</v>
      </c>
    </row>
    <row r="193" spans="1:7" ht="16.5" hidden="1" thickBot="1">
      <c r="A193" s="73">
        <v>2009</v>
      </c>
      <c r="B193" s="80" t="s">
        <v>71</v>
      </c>
      <c r="C193" s="75">
        <f t="shared" si="39"/>
        <v>303.9831647249145</v>
      </c>
      <c r="D193" s="81">
        <v>0.27</v>
      </c>
      <c r="E193" s="81">
        <f t="shared" si="41"/>
        <v>0.73124199999998751</v>
      </c>
      <c r="F193" s="82">
        <f t="shared" si="36"/>
        <v>6.1942579226347716</v>
      </c>
      <c r="G193" s="78">
        <f t="shared" si="33"/>
        <v>2.4615837811733239</v>
      </c>
    </row>
    <row r="194" spans="1:7" ht="16.5" hidden="1" thickBot="1">
      <c r="A194" s="73">
        <v>2009</v>
      </c>
      <c r="B194" s="80" t="s">
        <v>72</v>
      </c>
      <c r="C194" s="75">
        <f t="shared" si="39"/>
        <v>305.19909738381415</v>
      </c>
      <c r="D194" s="81">
        <v>0.4</v>
      </c>
      <c r="E194" s="81">
        <f t="shared" si="41"/>
        <v>1.1341669679999944</v>
      </c>
      <c r="F194" s="82">
        <f t="shared" si="36"/>
        <v>6.2895373884211958</v>
      </c>
      <c r="G194" s="78">
        <f t="shared" si="33"/>
        <v>2.4517766744754224</v>
      </c>
    </row>
    <row r="195" spans="1:7" ht="16.5" hidden="1" thickBot="1">
      <c r="A195" s="73">
        <v>2009</v>
      </c>
      <c r="B195" s="80" t="s">
        <v>73</v>
      </c>
      <c r="C195" s="75">
        <f t="shared" si="39"/>
        <v>306.14521458570403</v>
      </c>
      <c r="D195" s="81">
        <v>0.31</v>
      </c>
      <c r="E195" s="81">
        <f t="shared" si="41"/>
        <v>1.4476828856007984</v>
      </c>
      <c r="F195" s="82">
        <f t="shared" si="36"/>
        <v>6.0463844781433407</v>
      </c>
      <c r="G195" s="78">
        <f t="shared" si="33"/>
        <v>2.4441996555432377</v>
      </c>
    </row>
    <row r="196" spans="1:7" ht="16.5" hidden="1" thickBot="1">
      <c r="A196" s="73">
        <v>2009</v>
      </c>
      <c r="B196" s="80" t="s">
        <v>74</v>
      </c>
      <c r="C196" s="75">
        <f t="shared" si="39"/>
        <v>307.15549379383685</v>
      </c>
      <c r="D196" s="81">
        <v>0.33</v>
      </c>
      <c r="E196" s="81">
        <f t="shared" si="41"/>
        <v>1.7824602391232958</v>
      </c>
      <c r="F196" s="82">
        <f t="shared" si="36"/>
        <v>5.1035637132482714</v>
      </c>
      <c r="G196" s="78">
        <f t="shared" ref="G196:G259" si="42">C$400/C196</f>
        <v>2.4361603264659002</v>
      </c>
    </row>
    <row r="197" spans="1:7" ht="16.5" hidden="1" thickBot="1">
      <c r="A197" s="73">
        <v>2009</v>
      </c>
      <c r="B197" s="80" t="s">
        <v>75</v>
      </c>
      <c r="C197" s="75">
        <f t="shared" si="39"/>
        <v>307.55479593576888</v>
      </c>
      <c r="D197" s="81">
        <v>0.13</v>
      </c>
      <c r="E197" s="81">
        <f t="shared" si="41"/>
        <v>1.9147774374341564</v>
      </c>
      <c r="F197" s="82">
        <f t="shared" si="36"/>
        <v>4.2394991541952143</v>
      </c>
      <c r="G197" s="78">
        <f t="shared" si="42"/>
        <v>2.4329974298071506</v>
      </c>
    </row>
    <row r="198" spans="1:7" ht="16.5" hidden="1" thickBot="1">
      <c r="A198" s="73">
        <v>2009</v>
      </c>
      <c r="B198" s="80" t="s">
        <v>76</v>
      </c>
      <c r="C198" s="75">
        <f t="shared" si="39"/>
        <v>308.56972676235694</v>
      </c>
      <c r="D198" s="81">
        <v>0.33</v>
      </c>
      <c r="E198" s="81">
        <f t="shared" si="41"/>
        <v>2.2510962029776982</v>
      </c>
      <c r="F198" s="82">
        <f t="shared" si="36"/>
        <v>4.1149721268333161</v>
      </c>
      <c r="G198" s="78">
        <f t="shared" si="42"/>
        <v>2.4249949464837544</v>
      </c>
    </row>
    <row r="199" spans="1:7" ht="16.5" hidden="1" thickBot="1">
      <c r="A199" s="73">
        <v>2009</v>
      </c>
      <c r="B199" s="80" t="s">
        <v>77</v>
      </c>
      <c r="C199" s="75">
        <f t="shared" si="39"/>
        <v>310.05086145081623</v>
      </c>
      <c r="D199" s="81">
        <v>0.48</v>
      </c>
      <c r="E199" s="81">
        <f t="shared" si="41"/>
        <v>2.7419014647519946</v>
      </c>
      <c r="F199" s="82">
        <f t="shared" si="36"/>
        <v>4.2186929597948897</v>
      </c>
      <c r="G199" s="78">
        <f t="shared" si="42"/>
        <v>2.413410575720297</v>
      </c>
    </row>
    <row r="200" spans="1:7" ht="16.5" hidden="1" thickBot="1">
      <c r="A200" s="73">
        <v>2009</v>
      </c>
      <c r="B200" s="80" t="s">
        <v>79</v>
      </c>
      <c r="C200" s="75">
        <f t="shared" si="39"/>
        <v>310.54694282913755</v>
      </c>
      <c r="D200" s="81">
        <v>0.16</v>
      </c>
      <c r="E200" s="81">
        <f t="shared" si="41"/>
        <v>2.9062885070956002</v>
      </c>
      <c r="F200" s="82">
        <f t="shared" si="36"/>
        <v>3.9902798052705357</v>
      </c>
      <c r="G200" s="78">
        <f t="shared" si="42"/>
        <v>2.4095552872606798</v>
      </c>
    </row>
    <row r="201" spans="1:7" ht="16.5" hidden="1" thickBot="1">
      <c r="A201" s="73">
        <v>2009</v>
      </c>
      <c r="B201" s="80" t="s">
        <v>78</v>
      </c>
      <c r="C201" s="75">
        <f t="shared" si="39"/>
        <v>311.32331018621039</v>
      </c>
      <c r="D201" s="81">
        <v>0.25</v>
      </c>
      <c r="E201" s="81">
        <f t="shared" si="41"/>
        <v>3.1635542283633411</v>
      </c>
      <c r="F201" s="82">
        <f t="shared" si="36"/>
        <v>3.7315975171977378</v>
      </c>
      <c r="G201" s="78">
        <f t="shared" si="42"/>
        <v>2.4035464212076607</v>
      </c>
    </row>
    <row r="202" spans="1:7" ht="16.5" hidden="1" thickBot="1">
      <c r="A202" s="73">
        <v>2009</v>
      </c>
      <c r="B202" s="80" t="s">
        <v>68</v>
      </c>
      <c r="C202" s="75">
        <f t="shared" si="39"/>
        <v>312.22614778575036</v>
      </c>
      <c r="D202" s="81">
        <v>0.28999999999999998</v>
      </c>
      <c r="E202" s="81">
        <f t="shared" si="41"/>
        <v>3.4627285356255699</v>
      </c>
      <c r="F202" s="82">
        <f t="shared" si="36"/>
        <v>3.6282689012825831</v>
      </c>
      <c r="G202" s="78">
        <f t="shared" si="42"/>
        <v>2.3965962919609742</v>
      </c>
    </row>
    <row r="203" spans="1:7" ht="16.5" hidden="1" thickBot="1">
      <c r="A203" s="73">
        <v>2009</v>
      </c>
      <c r="B203" s="80" t="s">
        <v>69</v>
      </c>
      <c r="C203" s="75">
        <f t="shared" si="39"/>
        <v>312.78815485176472</v>
      </c>
      <c r="D203" s="81">
        <v>0.18</v>
      </c>
      <c r="E203" s="81">
        <f t="shared" si="41"/>
        <v>3.6489614469896958</v>
      </c>
      <c r="F203" s="82">
        <f t="shared" si="36"/>
        <v>3.6489614469896958</v>
      </c>
      <c r="G203" s="78">
        <f t="shared" si="42"/>
        <v>2.392290169655594</v>
      </c>
    </row>
    <row r="204" spans="1:7" ht="16.5" hidden="1" thickBot="1">
      <c r="A204" s="73">
        <v>2010</v>
      </c>
      <c r="B204" s="80" t="s">
        <v>70</v>
      </c>
      <c r="C204" s="75">
        <f t="shared" si="39"/>
        <v>316.97951612677838</v>
      </c>
      <c r="D204" s="81">
        <v>1.34</v>
      </c>
      <c r="E204" s="81">
        <f t="shared" ref="E204:E215" si="43">100*(C204/C$203-1)</f>
        <v>1.3400000000000079</v>
      </c>
      <c r="F204" s="82">
        <f t="shared" si="36"/>
        <v>4.5568958096549483</v>
      </c>
      <c r="G204" s="78">
        <f t="shared" si="42"/>
        <v>2.3606573610179531</v>
      </c>
    </row>
    <row r="205" spans="1:7" ht="16.5" hidden="1" thickBot="1">
      <c r="A205" s="73">
        <v>2010</v>
      </c>
      <c r="B205" s="80" t="s">
        <v>57</v>
      </c>
      <c r="C205" s="75">
        <f t="shared" si="39"/>
        <v>319.32516454611658</v>
      </c>
      <c r="D205" s="81">
        <v>0.74</v>
      </c>
      <c r="E205" s="81">
        <f t="shared" si="43"/>
        <v>2.0899160000000139</v>
      </c>
      <c r="F205" s="82">
        <f t="shared" si="36"/>
        <v>5.046989965738935</v>
      </c>
      <c r="G205" s="78">
        <f t="shared" si="42"/>
        <v>2.343316816575296</v>
      </c>
    </row>
    <row r="206" spans="1:7" ht="16.5" hidden="1" thickBot="1">
      <c r="A206" s="73">
        <v>2010</v>
      </c>
      <c r="B206" s="80" t="s">
        <v>58</v>
      </c>
      <c r="C206" s="75">
        <f t="shared" si="39"/>
        <v>320.41087010557339</v>
      </c>
      <c r="D206" s="81">
        <v>0.34</v>
      </c>
      <c r="E206" s="81">
        <f t="shared" si="43"/>
        <v>2.4370217144000339</v>
      </c>
      <c r="F206" s="82">
        <f t="shared" si="36"/>
        <v>4.9842128801020458</v>
      </c>
      <c r="G206" s="78">
        <f t="shared" si="42"/>
        <v>2.3353765363517001</v>
      </c>
    </row>
    <row r="207" spans="1:7" ht="16.5" hidden="1" thickBot="1">
      <c r="A207" s="73">
        <v>2010</v>
      </c>
      <c r="B207" s="80" t="s">
        <v>59</v>
      </c>
      <c r="C207" s="75">
        <f t="shared" si="39"/>
        <v>321.66047249898514</v>
      </c>
      <c r="D207" s="81">
        <v>0.39</v>
      </c>
      <c r="E207" s="81">
        <f t="shared" si="43"/>
        <v>2.8365260990861785</v>
      </c>
      <c r="F207" s="82">
        <f t="shared" si="36"/>
        <v>5.0679406941824601</v>
      </c>
      <c r="G207" s="78">
        <f t="shared" si="42"/>
        <v>2.3263039509430219</v>
      </c>
    </row>
    <row r="208" spans="1:7" ht="16.5" hidden="1" thickBot="1">
      <c r="A208" s="73">
        <v>2010</v>
      </c>
      <c r="B208" s="80" t="s">
        <v>60</v>
      </c>
      <c r="C208" s="75">
        <f t="shared" si="39"/>
        <v>322.3681255384829</v>
      </c>
      <c r="D208" s="81">
        <v>0.22</v>
      </c>
      <c r="E208" s="81">
        <f t="shared" si="43"/>
        <v>3.0627664565041846</v>
      </c>
      <c r="F208" s="82">
        <f t="shared" ref="F208:F271" si="44">100*(C208/C196-1)</f>
        <v>4.9527461015744567</v>
      </c>
      <c r="G208" s="78">
        <f t="shared" si="42"/>
        <v>2.3211973168459612</v>
      </c>
    </row>
    <row r="209" spans="1:7" ht="16.5" hidden="1" thickBot="1">
      <c r="A209" s="73">
        <v>2010</v>
      </c>
      <c r="B209" s="80" t="s">
        <v>61</v>
      </c>
      <c r="C209" s="75">
        <f t="shared" si="39"/>
        <v>322.49707278869829</v>
      </c>
      <c r="D209" s="81">
        <v>0.04</v>
      </c>
      <c r="E209" s="81">
        <f t="shared" si="43"/>
        <v>3.1039915630867831</v>
      </c>
      <c r="F209" s="82">
        <f t="shared" si="44"/>
        <v>4.8584112653700995</v>
      </c>
      <c r="G209" s="78">
        <f t="shared" si="42"/>
        <v>2.3202692091622961</v>
      </c>
    </row>
    <row r="210" spans="1:7" ht="16.5" hidden="1" thickBot="1">
      <c r="A210" s="73">
        <v>2010</v>
      </c>
      <c r="B210" s="80" t="s">
        <v>62</v>
      </c>
      <c r="C210" s="75">
        <f t="shared" si="39"/>
        <v>323.04531781243907</v>
      </c>
      <c r="D210" s="81">
        <v>0.17</v>
      </c>
      <c r="E210" s="81">
        <f t="shared" si="43"/>
        <v>3.2792683487440133</v>
      </c>
      <c r="F210" s="82">
        <f t="shared" si="44"/>
        <v>4.6911896387134666</v>
      </c>
      <c r="G210" s="78">
        <f t="shared" si="42"/>
        <v>2.3163314457045985</v>
      </c>
    </row>
    <row r="211" spans="1:7" ht="16.5" hidden="1" thickBot="1">
      <c r="A211" s="73">
        <v>2010</v>
      </c>
      <c r="B211" s="80" t="s">
        <v>63</v>
      </c>
      <c r="C211" s="75">
        <f t="shared" si="39"/>
        <v>323.59449485272023</v>
      </c>
      <c r="D211" s="81">
        <v>0.17</v>
      </c>
      <c r="E211" s="81">
        <f t="shared" si="43"/>
        <v>3.4548431049368888</v>
      </c>
      <c r="F211" s="82">
        <f t="shared" si="44"/>
        <v>4.3681973139921171</v>
      </c>
      <c r="G211" s="78">
        <f t="shared" si="42"/>
        <v>2.3124003650839553</v>
      </c>
    </row>
    <row r="212" spans="1:7" ht="16.5" hidden="1" thickBot="1">
      <c r="A212" s="73">
        <v>2010</v>
      </c>
      <c r="B212" s="80" t="s">
        <v>64</v>
      </c>
      <c r="C212" s="75">
        <f t="shared" si="39"/>
        <v>325.30954567543967</v>
      </c>
      <c r="D212" s="81">
        <v>0.53</v>
      </c>
      <c r="E212" s="81">
        <f t="shared" si="43"/>
        <v>4.0031537733930644</v>
      </c>
      <c r="F212" s="82">
        <f t="shared" si="44"/>
        <v>4.7537427713221669</v>
      </c>
      <c r="G212" s="78">
        <f t="shared" si="42"/>
        <v>2.3002092560270122</v>
      </c>
    </row>
    <row r="213" spans="1:7" ht="16.5" hidden="1" thickBot="1">
      <c r="A213" s="73">
        <v>2010</v>
      </c>
      <c r="B213" s="80" t="s">
        <v>65</v>
      </c>
      <c r="C213" s="75">
        <f t="shared" si="39"/>
        <v>328.69276495046421</v>
      </c>
      <c r="D213" s="81">
        <v>1.04</v>
      </c>
      <c r="E213" s="81">
        <f t="shared" si="43"/>
        <v>5.084786572636335</v>
      </c>
      <c r="F213" s="82">
        <f t="shared" si="44"/>
        <v>5.5792336121136321</v>
      </c>
      <c r="G213" s="78">
        <f t="shared" si="42"/>
        <v>2.2765333096070988</v>
      </c>
    </row>
    <row r="214" spans="1:7" ht="16.5" hidden="1" thickBot="1">
      <c r="A214" s="73">
        <v>2010</v>
      </c>
      <c r="B214" s="80" t="s">
        <v>66</v>
      </c>
      <c r="C214" s="75">
        <f t="shared" si="39"/>
        <v>331.05935285810756</v>
      </c>
      <c r="D214" s="81">
        <v>0.72</v>
      </c>
      <c r="E214" s="81">
        <f t="shared" si="43"/>
        <v>5.841397035959317</v>
      </c>
      <c r="F214" s="82">
        <f t="shared" si="44"/>
        <v>6.0319115506240584</v>
      </c>
      <c r="G214" s="78">
        <f t="shared" si="42"/>
        <v>2.2602594416273813</v>
      </c>
    </row>
    <row r="215" spans="1:7" ht="16.5" hidden="1" thickBot="1">
      <c r="A215" s="73">
        <v>2010</v>
      </c>
      <c r="B215" s="80" t="s">
        <v>55</v>
      </c>
      <c r="C215" s="75">
        <f t="shared" si="39"/>
        <v>332.84707336354137</v>
      </c>
      <c r="D215" s="81">
        <v>0.54</v>
      </c>
      <c r="E215" s="81">
        <f t="shared" si="43"/>
        <v>6.4129405799535188</v>
      </c>
      <c r="F215" s="82">
        <f t="shared" si="44"/>
        <v>6.4129405799535188</v>
      </c>
      <c r="G215" s="78">
        <f t="shared" si="42"/>
        <v>2.2481195958100071</v>
      </c>
    </row>
    <row r="216" spans="1:7">
      <c r="A216" s="85">
        <v>2011</v>
      </c>
      <c r="B216" s="86" t="s">
        <v>56</v>
      </c>
      <c r="C216" s="87">
        <f t="shared" si="39"/>
        <v>336.6611084063718</v>
      </c>
      <c r="D216" s="88">
        <v>1.1458821026389701</v>
      </c>
      <c r="E216" s="88">
        <f t="shared" ref="E216:E227" si="45">100*(C216/C$215-1)</f>
        <v>1.1458821026389732</v>
      </c>
      <c r="F216" s="89">
        <f t="shared" si="44"/>
        <v>6.2091054084774333</v>
      </c>
      <c r="G216" s="90">
        <f t="shared" si="42"/>
        <v>2.2226506399229398</v>
      </c>
    </row>
    <row r="217" spans="1:7">
      <c r="A217" s="91">
        <v>2011</v>
      </c>
      <c r="B217" s="92" t="s">
        <v>57</v>
      </c>
      <c r="C217" s="93">
        <f t="shared" si="39"/>
        <v>338.66894800171895</v>
      </c>
      <c r="D217" s="94">
        <v>0.59639784495795201</v>
      </c>
      <c r="E217" s="94">
        <f t="shared" si="45"/>
        <v>1.7491139637628272</v>
      </c>
      <c r="F217" s="95">
        <f t="shared" si="44"/>
        <v>6.0577071910687952</v>
      </c>
      <c r="G217" s="96">
        <f t="shared" si="42"/>
        <v>2.2094733882504944</v>
      </c>
    </row>
    <row r="218" spans="1:7">
      <c r="A218" s="91">
        <v>2011</v>
      </c>
      <c r="B218" s="92" t="s">
        <v>58</v>
      </c>
      <c r="C218" s="93">
        <f t="shared" si="39"/>
        <v>339.85030664776082</v>
      </c>
      <c r="D218" s="94">
        <v>0.34882402210547597</v>
      </c>
      <c r="E218" s="94">
        <f t="shared" si="45"/>
        <v>2.1040393155479009</v>
      </c>
      <c r="F218" s="95">
        <f t="shared" si="44"/>
        <v>6.0670340353254026</v>
      </c>
      <c r="G218" s="96">
        <f t="shared" si="42"/>
        <v>2.2017930053308623</v>
      </c>
    </row>
    <row r="219" spans="1:7">
      <c r="A219" s="91">
        <v>2011</v>
      </c>
      <c r="B219" s="92" t="s">
        <v>59</v>
      </c>
      <c r="C219" s="93">
        <f t="shared" si="39"/>
        <v>342.23362845098552</v>
      </c>
      <c r="D219" s="94">
        <v>0.70128575923131797</v>
      </c>
      <c r="E219" s="94">
        <f t="shared" si="45"/>
        <v>2.820080402867764</v>
      </c>
      <c r="F219" s="95">
        <f t="shared" si="44"/>
        <v>6.3959229407851037</v>
      </c>
      <c r="G219" s="96">
        <f t="shared" si="42"/>
        <v>2.1864596749987606</v>
      </c>
    </row>
    <row r="220" spans="1:7">
      <c r="A220" s="91">
        <v>2011</v>
      </c>
      <c r="B220" s="92" t="s">
        <v>60</v>
      </c>
      <c r="C220" s="93">
        <f t="shared" si="39"/>
        <v>343.30516305220868</v>
      </c>
      <c r="D220" s="94">
        <v>0.31310032449853897</v>
      </c>
      <c r="E220" s="94">
        <f t="shared" si="45"/>
        <v>3.1420104082588107</v>
      </c>
      <c r="F220" s="95">
        <f t="shared" si="44"/>
        <v>6.4947604477808119</v>
      </c>
      <c r="G220" s="96">
        <f t="shared" si="42"/>
        <v>2.1796352300206814</v>
      </c>
    </row>
    <row r="221" spans="1:7">
      <c r="A221" s="91">
        <v>2011</v>
      </c>
      <c r="B221" s="92" t="s">
        <v>61</v>
      </c>
      <c r="C221" s="93">
        <f t="shared" si="39"/>
        <v>343.34707222778155</v>
      </c>
      <c r="D221" s="94">
        <v>1.2207557614418701E-2</v>
      </c>
      <c r="E221" s="94">
        <f t="shared" si="45"/>
        <v>3.1546015286040729</v>
      </c>
      <c r="F221" s="95">
        <f t="shared" si="44"/>
        <v>6.4651747871039777</v>
      </c>
      <c r="G221" s="96">
        <f t="shared" si="42"/>
        <v>2.1793691822721248</v>
      </c>
    </row>
    <row r="222" spans="1:7">
      <c r="A222" s="91">
        <v>2011</v>
      </c>
      <c r="B222" s="92" t="s">
        <v>62</v>
      </c>
      <c r="C222" s="93">
        <f t="shared" si="39"/>
        <v>344.39150089444564</v>
      </c>
      <c r="D222" s="94">
        <v>0.30419035172992698</v>
      </c>
      <c r="E222" s="94">
        <f t="shared" si="45"/>
        <v>3.468387873819534</v>
      </c>
      <c r="F222" s="95">
        <f t="shared" si="44"/>
        <v>6.6077983196153989</v>
      </c>
      <c r="G222" s="96">
        <f t="shared" si="42"/>
        <v>2.1727598564226263</v>
      </c>
    </row>
    <row r="223" spans="1:7">
      <c r="A223" s="91">
        <v>2011</v>
      </c>
      <c r="B223" s="92" t="s">
        <v>63</v>
      </c>
      <c r="C223" s="93">
        <f t="shared" si="39"/>
        <v>345.74699766619733</v>
      </c>
      <c r="D223" s="94">
        <v>0.39359181868054999</v>
      </c>
      <c r="E223" s="94">
        <f t="shared" si="45"/>
        <v>3.8756309834115488</v>
      </c>
      <c r="F223" s="95">
        <f t="shared" si="44"/>
        <v>6.8457600997073653</v>
      </c>
      <c r="G223" s="96">
        <f t="shared" si="42"/>
        <v>2.1642415786326454</v>
      </c>
    </row>
    <row r="224" spans="1:7">
      <c r="A224" s="91">
        <v>2011</v>
      </c>
      <c r="B224" s="92" t="s">
        <v>64</v>
      </c>
      <c r="C224" s="93">
        <f t="shared" si="39"/>
        <v>346.61068676183464</v>
      </c>
      <c r="D224" s="94">
        <v>0.249803787586655</v>
      </c>
      <c r="E224" s="94">
        <f t="shared" si="45"/>
        <v>4.1351162439876354</v>
      </c>
      <c r="F224" s="95">
        <f t="shared" si="44"/>
        <v>6.5479606637940613</v>
      </c>
      <c r="G224" s="96">
        <f t="shared" si="42"/>
        <v>2.1588486928296917</v>
      </c>
    </row>
    <row r="225" spans="1:7">
      <c r="A225" s="91">
        <v>2011</v>
      </c>
      <c r="B225" s="92" t="s">
        <v>65</v>
      </c>
      <c r="C225" s="93">
        <f t="shared" si="39"/>
        <v>347.94547900054681</v>
      </c>
      <c r="D225" s="94">
        <v>0.38509840858695898</v>
      </c>
      <c r="E225" s="94">
        <f t="shared" si="45"/>
        <v>4.5361389194234158</v>
      </c>
      <c r="F225" s="95">
        <f t="shared" si="44"/>
        <v>5.8573586348893647</v>
      </c>
      <c r="G225" s="96">
        <f t="shared" si="42"/>
        <v>2.1505668939455096</v>
      </c>
    </row>
    <row r="226" spans="1:7">
      <c r="A226" s="91">
        <v>2011</v>
      </c>
      <c r="B226" s="92" t="s">
        <v>66</v>
      </c>
      <c r="C226" s="93">
        <f t="shared" si="39"/>
        <v>350.03983753830573</v>
      </c>
      <c r="D226" s="94">
        <v>0.60192146878150798</v>
      </c>
      <c r="E226" s="94">
        <f t="shared" si="45"/>
        <v>5.1653643822146877</v>
      </c>
      <c r="F226" s="95">
        <f t="shared" si="44"/>
        <v>5.7332573498786621</v>
      </c>
      <c r="G226" s="96">
        <f t="shared" si="42"/>
        <v>2.1376996209887174</v>
      </c>
    </row>
    <row r="227" spans="1:7">
      <c r="A227" s="91">
        <v>2011</v>
      </c>
      <c r="B227" s="92" t="s">
        <v>55</v>
      </c>
      <c r="C227" s="93">
        <f t="shared" si="39"/>
        <v>352.17470494505528</v>
      </c>
      <c r="D227" s="94">
        <v>0.60989269728932705</v>
      </c>
      <c r="E227" s="94">
        <f t="shared" si="45"/>
        <v>5.806760259659538</v>
      </c>
      <c r="F227" s="95">
        <f t="shared" si="44"/>
        <v>5.806760259659538</v>
      </c>
      <c r="G227" s="96">
        <f t="shared" si="42"/>
        <v>2.1247409809098348</v>
      </c>
    </row>
    <row r="228" spans="1:7">
      <c r="A228" s="91">
        <f>2012</f>
        <v>2012</v>
      </c>
      <c r="B228" s="92" t="s">
        <v>56</v>
      </c>
      <c r="C228" s="93">
        <f t="shared" si="39"/>
        <v>354.49761352143975</v>
      </c>
      <c r="D228" s="94">
        <v>0.65958984099863105</v>
      </c>
      <c r="E228" s="94">
        <f t="shared" ref="E228:E239" si="46">100*(C228/C$227-1)</f>
        <v>0.65958984099863116</v>
      </c>
      <c r="F228" s="95">
        <f t="shared" si="44"/>
        <v>5.2980592856416653</v>
      </c>
      <c r="G228" s="96">
        <f t="shared" si="42"/>
        <v>2.1108182382484024</v>
      </c>
    </row>
    <row r="229" spans="1:7">
      <c r="A229" s="91">
        <f>2012</f>
        <v>2012</v>
      </c>
      <c r="B229" s="92" t="s">
        <v>57</v>
      </c>
      <c r="C229" s="93">
        <f t="shared" si="39"/>
        <v>354.26296214699096</v>
      </c>
      <c r="D229" s="94">
        <v>-6.6192652784835507E-2</v>
      </c>
      <c r="E229" s="94">
        <f t="shared" si="46"/>
        <v>0.59296058820053066</v>
      </c>
      <c r="F229" s="95">
        <f t="shared" si="44"/>
        <v>4.6045007188532772</v>
      </c>
      <c r="G229" s="96">
        <f t="shared" si="42"/>
        <v>2.1122163702964571</v>
      </c>
    </row>
    <row r="230" spans="1:7">
      <c r="A230" s="91">
        <f>2012</f>
        <v>2012</v>
      </c>
      <c r="B230" s="92" t="s">
        <v>58</v>
      </c>
      <c r="C230" s="93">
        <f t="shared" si="39"/>
        <v>354.78267593285437</v>
      </c>
      <c r="D230" s="94">
        <v>0.146702828518608</v>
      </c>
      <c r="E230" s="94">
        <f t="shared" si="46"/>
        <v>0.74053330667402939</v>
      </c>
      <c r="F230" s="95">
        <f t="shared" si="44"/>
        <v>4.3938078009652326</v>
      </c>
      <c r="G230" s="96">
        <f t="shared" si="42"/>
        <v>2.1091222283305817</v>
      </c>
    </row>
    <row r="231" spans="1:7">
      <c r="A231" s="91">
        <f>2012</f>
        <v>2012</v>
      </c>
      <c r="B231" s="92" t="s">
        <v>59</v>
      </c>
      <c r="C231" s="93">
        <f t="shared" si="39"/>
        <v>356.43883853222457</v>
      </c>
      <c r="D231" s="94">
        <v>0.46681044811884798</v>
      </c>
      <c r="E231" s="94">
        <f t="shared" si="46"/>
        <v>1.2108006416402306</v>
      </c>
      <c r="F231" s="95">
        <f t="shared" si="44"/>
        <v>4.1507347321578347</v>
      </c>
      <c r="G231" s="96">
        <f t="shared" si="42"/>
        <v>2.099322372157653</v>
      </c>
    </row>
    <row r="232" spans="1:7">
      <c r="A232" s="91">
        <f>2012</f>
        <v>2012</v>
      </c>
      <c r="B232" s="92" t="s">
        <v>60</v>
      </c>
      <c r="C232" s="93">
        <f t="shared" si="39"/>
        <v>357.67600939776452</v>
      </c>
      <c r="D232" s="94">
        <v>0.34709204828364798</v>
      </c>
      <c r="E232" s="94">
        <f t="shared" si="46"/>
        <v>1.5620952826715717</v>
      </c>
      <c r="F232" s="95">
        <f t="shared" si="44"/>
        <v>4.1860268624536623</v>
      </c>
      <c r="G232" s="96">
        <f t="shared" si="42"/>
        <v>2.0920609947994606</v>
      </c>
    </row>
    <row r="233" spans="1:7">
      <c r="A233" s="91">
        <f>2012</f>
        <v>2012</v>
      </c>
      <c r="B233" s="92" t="s">
        <v>61</v>
      </c>
      <c r="C233" s="93">
        <f t="shared" si="39"/>
        <v>358.49148793820819</v>
      </c>
      <c r="D233" s="94">
        <v>0.22799363642440601</v>
      </c>
      <c r="E233" s="94">
        <f t="shared" si="46"/>
        <v>1.7936503969353534</v>
      </c>
      <c r="F233" s="95">
        <f t="shared" si="44"/>
        <v>4.410818362936153</v>
      </c>
      <c r="G233" s="96">
        <f t="shared" si="42"/>
        <v>2.0873020788866445</v>
      </c>
    </row>
    <row r="234" spans="1:7">
      <c r="A234" s="91">
        <f>2012</f>
        <v>2012</v>
      </c>
      <c r="B234" s="92" t="s">
        <v>62</v>
      </c>
      <c r="C234" s="93">
        <f t="shared" si="39"/>
        <v>358.97299335875221</v>
      </c>
      <c r="D234" s="94">
        <v>0.134314324536211</v>
      </c>
      <c r="E234" s="94">
        <f t="shared" si="46"/>
        <v>1.9303738508867463</v>
      </c>
      <c r="F234" s="95">
        <f t="shared" si="44"/>
        <v>4.2339873157252184</v>
      </c>
      <c r="G234" s="96">
        <f t="shared" si="42"/>
        <v>2.084502293710905</v>
      </c>
    </row>
    <row r="235" spans="1:7">
      <c r="A235" s="91">
        <f>2012</f>
        <v>2012</v>
      </c>
      <c r="B235" s="92" t="s">
        <v>63</v>
      </c>
      <c r="C235" s="93">
        <f t="shared" si="39"/>
        <v>359.93390373996664</v>
      </c>
      <c r="D235" s="94">
        <v>0.26768319594843198</v>
      </c>
      <c r="E235" s="94">
        <f t="shared" si="46"/>
        <v>2.2032243332529733</v>
      </c>
      <c r="F235" s="95">
        <f t="shared" si="44"/>
        <v>4.1032622609975977</v>
      </c>
      <c r="G235" s="96">
        <f t="shared" si="42"/>
        <v>2.0789373278300047</v>
      </c>
    </row>
    <row r="236" spans="1:7">
      <c r="A236" s="91">
        <f>2012</f>
        <v>2012</v>
      </c>
      <c r="B236" s="92" t="s">
        <v>64</v>
      </c>
      <c r="C236" s="93">
        <f t="shared" si="39"/>
        <v>361.90273479480447</v>
      </c>
      <c r="D236" s="94">
        <v>0.54699794445043404</v>
      </c>
      <c r="E236" s="94">
        <f t="shared" si="46"/>
        <v>2.7622738695179505</v>
      </c>
      <c r="F236" s="95">
        <f t="shared" si="44"/>
        <v>4.4118801344049219</v>
      </c>
      <c r="G236" s="96">
        <f t="shared" si="42"/>
        <v>2.0676274481895152</v>
      </c>
    </row>
    <row r="237" spans="1:7">
      <c r="A237" s="91">
        <f>2012</f>
        <v>2012</v>
      </c>
      <c r="B237" s="92" t="s">
        <v>65</v>
      </c>
      <c r="C237" s="93">
        <f t="shared" ref="C237:C300" si="47">+C236*(1+D237/100)</f>
        <v>364.80517025250015</v>
      </c>
      <c r="D237" s="94">
        <v>0.80199323703407099</v>
      </c>
      <c r="E237" s="94">
        <f t="shared" si="46"/>
        <v>3.5864203561739139</v>
      </c>
      <c r="F237" s="95">
        <f t="shared" si="44"/>
        <v>4.845498007441229</v>
      </c>
      <c r="G237" s="96">
        <f t="shared" si="42"/>
        <v>2.0511771461974235</v>
      </c>
    </row>
    <row r="238" spans="1:7">
      <c r="A238" s="91">
        <f>2012</f>
        <v>2012</v>
      </c>
      <c r="B238" s="92" t="s">
        <v>66</v>
      </c>
      <c r="C238" s="93">
        <f t="shared" si="47"/>
        <v>367.27271049446557</v>
      </c>
      <c r="D238" s="94">
        <v>0.67639947105395704</v>
      </c>
      <c r="E238" s="94">
        <f t="shared" si="46"/>
        <v>4.2870783555468028</v>
      </c>
      <c r="F238" s="95">
        <f t="shared" si="44"/>
        <v>4.9231176306536728</v>
      </c>
      <c r="G238" s="96">
        <f t="shared" si="42"/>
        <v>2.0373962090163631</v>
      </c>
    </row>
    <row r="239" spans="1:7">
      <c r="A239" s="91">
        <f>2012</f>
        <v>2012</v>
      </c>
      <c r="B239" s="92" t="s">
        <v>55</v>
      </c>
      <c r="C239" s="93">
        <f t="shared" si="47"/>
        <v>370.1316364262085</v>
      </c>
      <c r="D239" s="94">
        <v>0.77842046252059005</v>
      </c>
      <c r="E239" s="94">
        <f t="shared" si="46"/>
        <v>5.0988703132312629</v>
      </c>
      <c r="F239" s="95">
        <f t="shared" si="44"/>
        <v>5.0988703132312629</v>
      </c>
      <c r="G239" s="96">
        <f t="shared" si="42"/>
        <v>2.0216592001201974</v>
      </c>
    </row>
    <row r="240" spans="1:7">
      <c r="A240" s="91">
        <f>2013</f>
        <v>2013</v>
      </c>
      <c r="B240" s="92" t="s">
        <v>56</v>
      </c>
      <c r="C240" s="93">
        <f t="shared" si="47"/>
        <v>374.38216703514911</v>
      </c>
      <c r="D240" s="94">
        <v>1.14838349133877</v>
      </c>
      <c r="E240" s="94">
        <f t="shared" ref="E240:E251" si="48">100*(C240/C$239-1)</f>
        <v>1.1483834913387669</v>
      </c>
      <c r="F240" s="95">
        <f t="shared" si="44"/>
        <v>5.609220698606121</v>
      </c>
      <c r="G240" s="96">
        <f t="shared" si="42"/>
        <v>1.9987063859436864</v>
      </c>
    </row>
    <row r="241" spans="1:7">
      <c r="A241" s="91">
        <f>2013</f>
        <v>2013</v>
      </c>
      <c r="B241" s="92" t="s">
        <v>57</v>
      </c>
      <c r="C241" s="93">
        <f t="shared" si="47"/>
        <v>375.21074844432798</v>
      </c>
      <c r="D241" s="94">
        <v>0.22131967869640801</v>
      </c>
      <c r="E241" s="94">
        <f t="shared" si="48"/>
        <v>1.3722447686884243</v>
      </c>
      <c r="F241" s="95">
        <f t="shared" si="44"/>
        <v>5.9130613514842612</v>
      </c>
      <c r="G241" s="96">
        <f t="shared" si="42"/>
        <v>1.9942926239161689</v>
      </c>
    </row>
    <row r="242" spans="1:7">
      <c r="A242" s="91">
        <f>2013</f>
        <v>2013</v>
      </c>
      <c r="B242" s="92" t="s">
        <v>58</v>
      </c>
      <c r="C242" s="93">
        <f t="shared" si="47"/>
        <v>374.55520491997288</v>
      </c>
      <c r="D242" s="94">
        <v>-0.17471341827841599</v>
      </c>
      <c r="E242" s="94">
        <f t="shared" si="48"/>
        <v>1.1951338546674739</v>
      </c>
      <c r="F242" s="95">
        <f t="shared" si="44"/>
        <v>5.573138241637432</v>
      </c>
      <c r="G242" s="96">
        <f t="shared" si="42"/>
        <v>1.9977830189183068</v>
      </c>
    </row>
    <row r="243" spans="1:7">
      <c r="A243" s="91">
        <f>2013</f>
        <v>2013</v>
      </c>
      <c r="B243" s="92" t="s">
        <v>59</v>
      </c>
      <c r="C243" s="93">
        <f t="shared" si="47"/>
        <v>375.58673076169924</v>
      </c>
      <c r="D243" s="94">
        <v>0.27540021555614302</v>
      </c>
      <c r="E243" s="94">
        <f t="shared" si="48"/>
        <v>1.4738254714355747</v>
      </c>
      <c r="F243" s="95">
        <f t="shared" si="44"/>
        <v>5.371999389382931</v>
      </c>
      <c r="G243" s="96">
        <f t="shared" si="42"/>
        <v>1.9922962308041552</v>
      </c>
    </row>
    <row r="244" spans="1:7">
      <c r="A244" s="91">
        <f>2013</f>
        <v>2013</v>
      </c>
      <c r="B244" s="92" t="s">
        <v>60</v>
      </c>
      <c r="C244" s="93">
        <f t="shared" si="47"/>
        <v>375.95261086729749</v>
      </c>
      <c r="D244" s="94">
        <v>9.7415610199069705E-2</v>
      </c>
      <c r="E244" s="94">
        <f t="shared" si="48"/>
        <v>1.5726768177108941</v>
      </c>
      <c r="F244" s="95">
        <f t="shared" si="44"/>
        <v>5.1098203372113682</v>
      </c>
      <c r="G244" s="96">
        <f t="shared" si="42"/>
        <v>1.9903573120834472</v>
      </c>
    </row>
    <row r="245" spans="1:7">
      <c r="A245" s="91">
        <f>2013</f>
        <v>2013</v>
      </c>
      <c r="B245" s="92" t="s">
        <v>61</v>
      </c>
      <c r="C245" s="93">
        <f t="shared" si="47"/>
        <v>377.14357161561861</v>
      </c>
      <c r="D245" s="94">
        <v>0.31678480582264501</v>
      </c>
      <c r="E245" s="94">
        <f t="shared" si="48"/>
        <v>1.8944436247367413</v>
      </c>
      <c r="F245" s="95">
        <f t="shared" si="44"/>
        <v>5.2029362774229648</v>
      </c>
      <c r="G245" s="96">
        <f t="shared" si="42"/>
        <v>1.9840720732189194</v>
      </c>
    </row>
    <row r="246" spans="1:7">
      <c r="A246" s="91">
        <f>2013</f>
        <v>2013</v>
      </c>
      <c r="B246" s="92" t="s">
        <v>62</v>
      </c>
      <c r="C246" s="93">
        <f t="shared" si="47"/>
        <v>376.64876328254189</v>
      </c>
      <c r="D246" s="94">
        <v>-0.13119893067699001</v>
      </c>
      <c r="E246" s="94">
        <f t="shared" si="48"/>
        <v>1.7607592042818254</v>
      </c>
      <c r="F246" s="95">
        <f t="shared" si="44"/>
        <v>4.9239832106602988</v>
      </c>
      <c r="G246" s="96">
        <f t="shared" si="42"/>
        <v>1.9866785742643431</v>
      </c>
    </row>
    <row r="247" spans="1:7">
      <c r="A247" s="91">
        <f>2013</f>
        <v>2013</v>
      </c>
      <c r="B247" s="92" t="s">
        <v>63</v>
      </c>
      <c r="C247" s="93">
        <f t="shared" si="47"/>
        <v>377.49434841450687</v>
      </c>
      <c r="D247" s="94">
        <v>0.22450229879837899</v>
      </c>
      <c r="E247" s="94">
        <f t="shared" si="48"/>
        <v>1.9892144479701113</v>
      </c>
      <c r="F247" s="95">
        <f t="shared" si="44"/>
        <v>4.8787970491456445</v>
      </c>
      <c r="G247" s="96">
        <f t="shared" si="42"/>
        <v>1.9822284258808058</v>
      </c>
    </row>
    <row r="248" spans="1:7">
      <c r="A248" s="91">
        <f>2013</f>
        <v>2013</v>
      </c>
      <c r="B248" s="92" t="s">
        <v>64</v>
      </c>
      <c r="C248" s="93">
        <f t="shared" si="47"/>
        <v>378.43655470065664</v>
      </c>
      <c r="D248" s="94">
        <v>0.249594805884401</v>
      </c>
      <c r="E248" s="94">
        <f t="shared" si="48"/>
        <v>2.2437742297945595</v>
      </c>
      <c r="F248" s="95">
        <f t="shared" si="44"/>
        <v>4.5685810899513291</v>
      </c>
      <c r="G248" s="96">
        <f t="shared" si="42"/>
        <v>1.9772932047446579</v>
      </c>
    </row>
    <row r="249" spans="1:7">
      <c r="A249" s="91">
        <f>2013</f>
        <v>2013</v>
      </c>
      <c r="B249" s="92" t="s">
        <v>65</v>
      </c>
      <c r="C249" s="93">
        <f t="shared" si="47"/>
        <v>380.26105415560966</v>
      </c>
      <c r="D249" s="94">
        <v>0.48211501565862402</v>
      </c>
      <c r="E249" s="94">
        <f t="shared" si="48"/>
        <v>2.7367068179324994</v>
      </c>
      <c r="F249" s="95">
        <f t="shared" si="44"/>
        <v>4.2367502336690288</v>
      </c>
      <c r="G249" s="96">
        <f t="shared" si="42"/>
        <v>1.9678061159804674</v>
      </c>
    </row>
    <row r="250" spans="1:7">
      <c r="A250" s="91">
        <f>2013</f>
        <v>2013</v>
      </c>
      <c r="B250" s="92" t="s">
        <v>66</v>
      </c>
      <c r="C250" s="93">
        <f t="shared" si="47"/>
        <v>382.01403795296221</v>
      </c>
      <c r="D250" s="94">
        <v>0.460994829261474</v>
      </c>
      <c r="E250" s="94">
        <f t="shared" si="48"/>
        <v>3.2103177241166847</v>
      </c>
      <c r="F250" s="95">
        <f t="shared" si="44"/>
        <v>4.0137279567137307</v>
      </c>
      <c r="G250" s="96">
        <f t="shared" si="42"/>
        <v>1.9587762587110082</v>
      </c>
    </row>
    <row r="251" spans="1:7">
      <c r="A251" s="91">
        <f>2013</f>
        <v>2013</v>
      </c>
      <c r="B251" s="92" t="s">
        <v>55</v>
      </c>
      <c r="C251" s="93">
        <f t="shared" si="47"/>
        <v>384.49098025340942</v>
      </c>
      <c r="D251" s="94">
        <v>0.64839038735853305</v>
      </c>
      <c r="E251" s="94">
        <f t="shared" si="48"/>
        <v>3.8795235030020692</v>
      </c>
      <c r="F251" s="95">
        <f t="shared" si="44"/>
        <v>3.8795235030020692</v>
      </c>
      <c r="G251" s="96">
        <f t="shared" si="42"/>
        <v>1.9461575601680272</v>
      </c>
    </row>
    <row r="252" spans="1:7">
      <c r="A252" s="91">
        <f>2014</f>
        <v>2014</v>
      </c>
      <c r="B252" s="92" t="s">
        <v>56</v>
      </c>
      <c r="C252" s="93">
        <f t="shared" si="47"/>
        <v>388.10097062280613</v>
      </c>
      <c r="D252" s="94">
        <v>0.93890118489059504</v>
      </c>
      <c r="E252" s="94">
        <f t="shared" ref="E252:E263" si="49">100*(C252/C$251-1)</f>
        <v>0.93890118489059482</v>
      </c>
      <c r="F252" s="95">
        <f t="shared" si="44"/>
        <v>3.6643848974700299</v>
      </c>
      <c r="G252" s="96">
        <f t="shared" si="42"/>
        <v>1.9280550286586089</v>
      </c>
    </row>
    <row r="253" spans="1:7">
      <c r="A253" s="91">
        <f>2014</f>
        <v>2014</v>
      </c>
      <c r="B253" s="92" t="s">
        <v>57</v>
      </c>
      <c r="C253" s="93">
        <f t="shared" si="47"/>
        <v>390.12061280220479</v>
      </c>
      <c r="D253" s="94">
        <v>0.52039091171496299</v>
      </c>
      <c r="E253" s="94">
        <f t="shared" si="49"/>
        <v>1.4641780530417092</v>
      </c>
      <c r="F253" s="95">
        <f t="shared" si="44"/>
        <v>3.9737306086499391</v>
      </c>
      <c r="G253" s="96">
        <f t="shared" si="42"/>
        <v>1.9180735482335924</v>
      </c>
    </row>
    <row r="254" spans="1:7">
      <c r="A254" s="91">
        <f>2014</f>
        <v>2014</v>
      </c>
      <c r="B254" s="92" t="s">
        <v>58</v>
      </c>
      <c r="C254" s="93">
        <f t="shared" si="47"/>
        <v>393.00564444951942</v>
      </c>
      <c r="D254" s="94">
        <v>0.73952299689874501</v>
      </c>
      <c r="E254" s="94">
        <f t="shared" si="49"/>
        <v>2.2145289833582549</v>
      </c>
      <c r="F254" s="95">
        <f t="shared" si="44"/>
        <v>4.9259599885919769</v>
      </c>
      <c r="G254" s="96">
        <f t="shared" si="42"/>
        <v>1.9039930815362707</v>
      </c>
    </row>
    <row r="255" spans="1:7">
      <c r="A255" s="91">
        <f>2014</f>
        <v>2014</v>
      </c>
      <c r="B255" s="92" t="s">
        <v>59</v>
      </c>
      <c r="C255" s="93">
        <f t="shared" si="47"/>
        <v>395.10500408221554</v>
      </c>
      <c r="D255" s="94">
        <v>0.53418052955362905</v>
      </c>
      <c r="E255" s="94">
        <f t="shared" si="49"/>
        <v>2.7605390955623088</v>
      </c>
      <c r="F255" s="95">
        <f t="shared" si="44"/>
        <v>5.1967419831187245</v>
      </c>
      <c r="G255" s="96">
        <f t="shared" si="42"/>
        <v>1.8938763627526276</v>
      </c>
    </row>
    <row r="256" spans="1:7">
      <c r="A256" s="91">
        <f>2014</f>
        <v>2014</v>
      </c>
      <c r="B256" s="92" t="s">
        <v>60</v>
      </c>
      <c r="C256" s="93">
        <f t="shared" si="47"/>
        <v>396.09552094545762</v>
      </c>
      <c r="D256" s="94">
        <v>0.25069711924883298</v>
      </c>
      <c r="E256" s="94">
        <f t="shared" si="49"/>
        <v>3.0181568067994435</v>
      </c>
      <c r="F256" s="95">
        <f t="shared" si="44"/>
        <v>5.3578322096744513</v>
      </c>
      <c r="G256" s="96">
        <f t="shared" si="42"/>
        <v>1.8891403423358242</v>
      </c>
    </row>
    <row r="257" spans="1:7">
      <c r="A257" s="91">
        <f>2014</f>
        <v>2014</v>
      </c>
      <c r="B257" s="92" t="s">
        <v>61</v>
      </c>
      <c r="C257" s="93">
        <f t="shared" si="47"/>
        <v>396.25085495420399</v>
      </c>
      <c r="D257" s="94">
        <v>3.9216300243838403E-2</v>
      </c>
      <c r="E257" s="94">
        <f t="shared" si="49"/>
        <v>3.0585567164784777</v>
      </c>
      <c r="F257" s="95">
        <f t="shared" si="44"/>
        <v>5.0663155298479756</v>
      </c>
      <c r="G257" s="96">
        <f t="shared" si="42"/>
        <v>1.8883997818075866</v>
      </c>
    </row>
    <row r="258" spans="1:7">
      <c r="A258" s="91">
        <f>2014</f>
        <v>2014</v>
      </c>
      <c r="B258" s="92" t="s">
        <v>62</v>
      </c>
      <c r="C258" s="93">
        <f t="shared" si="47"/>
        <v>396.89469591640631</v>
      </c>
      <c r="D258" s="94">
        <v>0.16248317300835399</v>
      </c>
      <c r="E258" s="94">
        <f t="shared" si="49"/>
        <v>3.2260095294880164</v>
      </c>
      <c r="F258" s="95">
        <f t="shared" si="44"/>
        <v>5.3752818560768745</v>
      </c>
      <c r="G258" s="96">
        <f t="shared" si="42"/>
        <v>1.885336427358532</v>
      </c>
    </row>
    <row r="259" spans="1:7">
      <c r="A259" s="91">
        <f>2014</f>
        <v>2014</v>
      </c>
      <c r="B259" s="92" t="s">
        <v>63</v>
      </c>
      <c r="C259" s="93">
        <f t="shared" si="47"/>
        <v>398.23428920625815</v>
      </c>
      <c r="D259" s="94">
        <v>0.33751856692334498</v>
      </c>
      <c r="E259" s="94">
        <f t="shared" si="49"/>
        <v>3.5744164775441067</v>
      </c>
      <c r="F259" s="95">
        <f t="shared" si="44"/>
        <v>5.4941063035406801</v>
      </c>
      <c r="G259" s="96">
        <f t="shared" si="42"/>
        <v>1.8789944721435841</v>
      </c>
    </row>
    <row r="260" spans="1:7">
      <c r="A260" s="91">
        <f>2014</f>
        <v>2014</v>
      </c>
      <c r="B260" s="92" t="s">
        <v>64</v>
      </c>
      <c r="C260" s="93">
        <f t="shared" si="47"/>
        <v>399.05306846936031</v>
      </c>
      <c r="D260" s="94">
        <v>0.20560240172540201</v>
      </c>
      <c r="E260" s="94">
        <f t="shared" si="49"/>
        <v>3.7873679653950054</v>
      </c>
      <c r="F260" s="95">
        <f t="shared" si="44"/>
        <v>5.4478124569682151</v>
      </c>
      <c r="G260" s="96">
        <f t="shared" ref="G260:G323" si="50">C$400/C260</f>
        <v>1.8751391410339251</v>
      </c>
    </row>
    <row r="261" spans="1:7">
      <c r="A261" s="91">
        <f>2014</f>
        <v>2014</v>
      </c>
      <c r="B261" s="92" t="s">
        <v>65</v>
      </c>
      <c r="C261" s="93">
        <f t="shared" si="47"/>
        <v>400.53629320580558</v>
      </c>
      <c r="D261" s="94">
        <v>0.37168608730022701</v>
      </c>
      <c r="E261" s="94">
        <f t="shared" si="49"/>
        <v>4.1731311724974907</v>
      </c>
      <c r="F261" s="95">
        <f t="shared" si="44"/>
        <v>5.3319262723915184</v>
      </c>
      <c r="G261" s="96">
        <f t="shared" si="50"/>
        <v>1.8681953189497946</v>
      </c>
    </row>
    <row r="262" spans="1:7">
      <c r="A262" s="91">
        <f>2014</f>
        <v>2014</v>
      </c>
      <c r="B262" s="92" t="s">
        <v>66</v>
      </c>
      <c r="C262" s="93">
        <f t="shared" si="47"/>
        <v>403.30639969146557</v>
      </c>
      <c r="D262" s="94">
        <v>0.69159937130507398</v>
      </c>
      <c r="E262" s="94">
        <f t="shared" si="49"/>
        <v>4.8935918927552891</v>
      </c>
      <c r="F262" s="95">
        <f t="shared" si="44"/>
        <v>5.5737118595430069</v>
      </c>
      <c r="G262" s="96">
        <f t="shared" si="50"/>
        <v>1.8553636357098027</v>
      </c>
    </row>
    <row r="263" spans="1:7">
      <c r="A263" s="91">
        <f>2014</f>
        <v>2014</v>
      </c>
      <c r="B263" s="92" t="s">
        <v>55</v>
      </c>
      <c r="C263" s="93">
        <f t="shared" si="47"/>
        <v>404.49736043978675</v>
      </c>
      <c r="D263" s="94">
        <v>0.29529924375915101</v>
      </c>
      <c r="E263" s="94">
        <f t="shared" si="49"/>
        <v>5.2033418763663963</v>
      </c>
      <c r="F263" s="95">
        <f t="shared" si="44"/>
        <v>5.2033418763663963</v>
      </c>
      <c r="G263" s="96">
        <f t="shared" si="50"/>
        <v>1.849900892364357</v>
      </c>
    </row>
    <row r="264" spans="1:7">
      <c r="A264" s="91">
        <f>2015</f>
        <v>2015</v>
      </c>
      <c r="B264" s="92" t="s">
        <v>56</v>
      </c>
      <c r="C264" s="93">
        <f t="shared" si="47"/>
        <v>411.05629644979416</v>
      </c>
      <c r="D264" s="94">
        <v>1.6215027961805</v>
      </c>
      <c r="E264" s="94">
        <f t="shared" ref="E264:E275" si="51">100*(C264/C$263-1)</f>
        <v>1.6215027961804962</v>
      </c>
      <c r="F264" s="95">
        <f t="shared" si="44"/>
        <v>5.9147818646653638</v>
      </c>
      <c r="G264" s="96">
        <f t="shared" si="50"/>
        <v>1.820383325834743</v>
      </c>
    </row>
    <row r="265" spans="1:7">
      <c r="A265" s="91">
        <f>2015</f>
        <v>2015</v>
      </c>
      <c r="B265" s="92" t="s">
        <v>57</v>
      </c>
      <c r="C265" s="93">
        <f t="shared" si="47"/>
        <v>416.07199458411111</v>
      </c>
      <c r="D265" s="94">
        <v>1.2201973738479299</v>
      </c>
      <c r="E265" s="94">
        <f t="shared" si="51"/>
        <v>2.8614857045642816</v>
      </c>
      <c r="F265" s="95">
        <f t="shared" si="44"/>
        <v>6.652143191178661</v>
      </c>
      <c r="G265" s="96">
        <f t="shared" si="50"/>
        <v>1.7984388225517056</v>
      </c>
    </row>
    <row r="266" spans="1:7">
      <c r="A266" s="91">
        <f>2015</f>
        <v>2015</v>
      </c>
      <c r="B266" s="92" t="s">
        <v>58</v>
      </c>
      <c r="C266" s="93">
        <f t="shared" si="47"/>
        <v>418.96952896876837</v>
      </c>
      <c r="D266" s="94">
        <v>0.69640216654176501</v>
      </c>
      <c r="E266" s="94">
        <f t="shared" si="51"/>
        <v>3.5778153195479057</v>
      </c>
      <c r="F266" s="95">
        <f t="shared" si="44"/>
        <v>6.6064915061503582</v>
      </c>
      <c r="G266" s="96">
        <f t="shared" si="50"/>
        <v>1.7860010723891286</v>
      </c>
    </row>
    <row r="267" spans="1:7">
      <c r="A267" s="91">
        <f>2015</f>
        <v>2015</v>
      </c>
      <c r="B267" s="92" t="s">
        <v>59</v>
      </c>
      <c r="C267" s="93">
        <f t="shared" si="47"/>
        <v>423.58703992419345</v>
      </c>
      <c r="D267" s="94">
        <v>1.10211140337351</v>
      </c>
      <c r="E267" s="94">
        <f t="shared" si="51"/>
        <v>4.7193582335498085</v>
      </c>
      <c r="F267" s="95">
        <f t="shared" si="44"/>
        <v>7.2087256672788813</v>
      </c>
      <c r="G267" s="96">
        <f t="shared" si="50"/>
        <v>1.7665319226256382</v>
      </c>
    </row>
    <row r="268" spans="1:7">
      <c r="A268" s="91">
        <f>2015</f>
        <v>2015</v>
      </c>
      <c r="B268" s="92" t="s">
        <v>60</v>
      </c>
      <c r="C268" s="93">
        <f t="shared" si="47"/>
        <v>426.19251036452414</v>
      </c>
      <c r="D268" s="94">
        <v>0.615096826568862</v>
      </c>
      <c r="E268" s="94">
        <f t="shared" si="51"/>
        <v>5.3634836828476473</v>
      </c>
      <c r="F268" s="95">
        <f t="shared" si="44"/>
        <v>7.5984170048746691</v>
      </c>
      <c r="G268" s="96">
        <f t="shared" si="50"/>
        <v>1.7557324679323472</v>
      </c>
    </row>
    <row r="269" spans="1:7">
      <c r="A269" s="91">
        <f>2015</f>
        <v>2015</v>
      </c>
      <c r="B269" s="92" t="s">
        <v>61</v>
      </c>
      <c r="C269" s="93">
        <f t="shared" si="47"/>
        <v>428.17684481366689</v>
      </c>
      <c r="D269" s="94">
        <v>0.46559580492053798</v>
      </c>
      <c r="E269" s="94">
        <f t="shared" si="51"/>
        <v>5.8540516427931122</v>
      </c>
      <c r="F269" s="95">
        <f t="shared" si="44"/>
        <v>8.0570147572685222</v>
      </c>
      <c r="G269" s="96">
        <f t="shared" si="50"/>
        <v>1.7475957355008849</v>
      </c>
    </row>
    <row r="270" spans="1:7">
      <c r="A270" s="91">
        <f>2015</f>
        <v>2015</v>
      </c>
      <c r="B270" s="92" t="s">
        <v>62</v>
      </c>
      <c r="C270" s="93">
        <f t="shared" si="47"/>
        <v>431.79923789850756</v>
      </c>
      <c r="D270" s="94">
        <v>0.84600396511798104</v>
      </c>
      <c r="E270" s="94">
        <f t="shared" si="51"/>
        <v>6.7495811169291819</v>
      </c>
      <c r="F270" s="95">
        <f t="shared" si="44"/>
        <v>8.7944087792628967</v>
      </c>
      <c r="G270" s="96">
        <f t="shared" si="50"/>
        <v>1.7329350363801899</v>
      </c>
    </row>
    <row r="271" spans="1:7">
      <c r="A271" s="91">
        <f>2015</f>
        <v>2015</v>
      </c>
      <c r="B271" s="92" t="s">
        <v>63</v>
      </c>
      <c r="C271" s="93">
        <f t="shared" si="47"/>
        <v>434.23327080439441</v>
      </c>
      <c r="D271" s="94">
        <v>0.56369550760044795</v>
      </c>
      <c r="E271" s="94">
        <f t="shared" si="51"/>
        <v>7.3513237100676143</v>
      </c>
      <c r="F271" s="95">
        <f t="shared" si="44"/>
        <v>9.0396489136803648</v>
      </c>
      <c r="G271" s="96">
        <f t="shared" si="50"/>
        <v>1.7232213152401676</v>
      </c>
    </row>
    <row r="272" spans="1:7">
      <c r="A272" s="91">
        <f>2015</f>
        <v>2015</v>
      </c>
      <c r="B272" s="92" t="s">
        <v>64</v>
      </c>
      <c r="C272" s="93">
        <f t="shared" si="47"/>
        <v>437.12010284588638</v>
      </c>
      <c r="D272" s="94">
        <v>0.66481134348463899</v>
      </c>
      <c r="E272" s="94">
        <f t="shared" si="51"/>
        <v>8.0650074874730535</v>
      </c>
      <c r="F272" s="95">
        <f t="shared" ref="F272:F335" si="52">100*(C272/C260-1)</f>
        <v>9.5393413519006423</v>
      </c>
      <c r="G272" s="96">
        <f t="shared" si="50"/>
        <v>1.7118408033967873</v>
      </c>
    </row>
    <row r="273" spans="1:7">
      <c r="A273" s="91">
        <f>2015</f>
        <v>2015</v>
      </c>
      <c r="B273" s="92" t="s">
        <v>65</v>
      </c>
      <c r="C273" s="93">
        <f t="shared" si="47"/>
        <v>440.96104377947836</v>
      </c>
      <c r="D273" s="94">
        <v>0.878692356765431</v>
      </c>
      <c r="E273" s="94">
        <f t="shared" si="51"/>
        <v>9.0145664486034569</v>
      </c>
      <c r="F273" s="95">
        <f t="shared" si="52"/>
        <v>10.092656086199291</v>
      </c>
      <c r="G273" s="96">
        <f t="shared" si="50"/>
        <v>1.6969300091071042</v>
      </c>
    </row>
    <row r="274" spans="1:7">
      <c r="A274" s="91">
        <f>2015</f>
        <v>2015</v>
      </c>
      <c r="B274" s="92" t="s">
        <v>66</v>
      </c>
      <c r="C274" s="93">
        <f t="shared" si="47"/>
        <v>445.62506491781835</v>
      </c>
      <c r="D274" s="94">
        <v>1.0576945977732299</v>
      </c>
      <c r="E274" s="94">
        <f t="shared" si="51"/>
        <v>10.167607628716247</v>
      </c>
      <c r="F274" s="95">
        <f t="shared" si="52"/>
        <v>10.492931740911393</v>
      </c>
      <c r="G274" s="96">
        <f t="shared" si="50"/>
        <v>1.6791695237667688</v>
      </c>
    </row>
    <row r="275" spans="1:7">
      <c r="A275" s="91">
        <f>2015</f>
        <v>2015</v>
      </c>
      <c r="B275" s="92" t="s">
        <v>55</v>
      </c>
      <c r="C275" s="93">
        <f t="shared" si="47"/>
        <v>449.27746457228164</v>
      </c>
      <c r="D275" s="94">
        <v>0.81961270628636596</v>
      </c>
      <c r="E275" s="94">
        <f t="shared" si="51"/>
        <v>11.070555339052902</v>
      </c>
      <c r="F275" s="95">
        <f t="shared" si="52"/>
        <v>11.070555339052902</v>
      </c>
      <c r="G275" s="96">
        <f t="shared" si="50"/>
        <v>1.6655187207062818</v>
      </c>
    </row>
    <row r="276" spans="1:7">
      <c r="A276" s="91">
        <f>2016</f>
        <v>2016</v>
      </c>
      <c r="B276" s="92" t="s">
        <v>56</v>
      </c>
      <c r="C276" s="93">
        <f t="shared" si="47"/>
        <v>455.41410812580028</v>
      </c>
      <c r="D276" s="94">
        <v>1.3658916899739899</v>
      </c>
      <c r="E276" s="94">
        <f t="shared" ref="E276:E287" si="53">100*(C276/C$275-1)</f>
        <v>1.3658916899739859</v>
      </c>
      <c r="F276" s="95">
        <f t="shared" si="52"/>
        <v>10.791176794788226</v>
      </c>
      <c r="G276" s="96">
        <f t="shared" si="50"/>
        <v>1.6430760810551985</v>
      </c>
    </row>
    <row r="277" spans="1:7">
      <c r="A277" s="91">
        <f>2016</f>
        <v>2016</v>
      </c>
      <c r="B277" s="92" t="s">
        <v>57</v>
      </c>
      <c r="C277" s="93">
        <f t="shared" si="47"/>
        <v>459.46229443358573</v>
      </c>
      <c r="D277" s="94">
        <v>0.88890226182172205</v>
      </c>
      <c r="E277" s="94">
        <f t="shared" si="53"/>
        <v>2.2669353939219317</v>
      </c>
      <c r="F277" s="95">
        <f t="shared" si="52"/>
        <v>10.428555734169475</v>
      </c>
      <c r="G277" s="96">
        <f t="shared" si="50"/>
        <v>1.6285994239397825</v>
      </c>
    </row>
    <row r="278" spans="1:7">
      <c r="A278" s="91">
        <f>2016</f>
        <v>2016</v>
      </c>
      <c r="B278" s="92" t="s">
        <v>58</v>
      </c>
      <c r="C278" s="93">
        <f t="shared" si="47"/>
        <v>463.93377341684743</v>
      </c>
      <c r="D278" s="94">
        <v>0.97319824443353697</v>
      </c>
      <c r="E278" s="94">
        <f t="shared" si="53"/>
        <v>3.2621954138115417</v>
      </c>
      <c r="F278" s="95">
        <f t="shared" si="52"/>
        <v>10.732103730491316</v>
      </c>
      <c r="G278" s="96">
        <f t="shared" si="50"/>
        <v>1.6129026833410856</v>
      </c>
    </row>
    <row r="279" spans="1:7">
      <c r="A279" s="91">
        <f>2016</f>
        <v>2016</v>
      </c>
      <c r="B279" s="92" t="s">
        <v>59</v>
      </c>
      <c r="C279" s="93">
        <f t="shared" si="47"/>
        <v>466.06463994764727</v>
      </c>
      <c r="D279" s="94">
        <v>0.45930403279461601</v>
      </c>
      <c r="E279" s="94">
        <f t="shared" si="53"/>
        <v>3.7364828416994511</v>
      </c>
      <c r="F279" s="95">
        <f t="shared" si="52"/>
        <v>10.028068854763772</v>
      </c>
      <c r="G279" s="96">
        <f t="shared" si="50"/>
        <v>1.6055284265303675</v>
      </c>
    </row>
    <row r="280" spans="1:7">
      <c r="A280" s="91">
        <f>2016</f>
        <v>2016</v>
      </c>
      <c r="B280" s="92" t="s">
        <v>60</v>
      </c>
      <c r="C280" s="93">
        <f t="shared" si="47"/>
        <v>468.71702065848785</v>
      </c>
      <c r="D280" s="94">
        <v>0.56910146865862798</v>
      </c>
      <c r="E280" s="94">
        <f t="shared" si="53"/>
        <v>4.3268486890863711</v>
      </c>
      <c r="F280" s="95">
        <f t="shared" si="52"/>
        <v>9.9777704346780673</v>
      </c>
      <c r="G280" s="96">
        <f t="shared" si="50"/>
        <v>1.5964430457109282</v>
      </c>
    </row>
    <row r="281" spans="1:7">
      <c r="A281" s="91">
        <f>2016</f>
        <v>2016</v>
      </c>
      <c r="B281" s="92" t="s">
        <v>61</v>
      </c>
      <c r="C281" s="93">
        <f t="shared" si="47"/>
        <v>471.75428563568784</v>
      </c>
      <c r="D281" s="94">
        <v>0.64799545212439502</v>
      </c>
      <c r="E281" s="94">
        <f t="shared" si="53"/>
        <v>5.002881923936342</v>
      </c>
      <c r="F281" s="95">
        <f t="shared" si="52"/>
        <v>10.177439847543578</v>
      </c>
      <c r="G281" s="96">
        <f t="shared" si="50"/>
        <v>1.5861647701372394</v>
      </c>
    </row>
    <row r="282" spans="1:7">
      <c r="A282" s="91">
        <f>2016</f>
        <v>2016</v>
      </c>
      <c r="B282" s="92" t="s">
        <v>62</v>
      </c>
      <c r="C282" s="93">
        <f t="shared" si="47"/>
        <v>473.39224424948702</v>
      </c>
      <c r="D282" s="94">
        <v>0.347205878923185</v>
      </c>
      <c r="E282" s="94">
        <f t="shared" si="53"/>
        <v>5.3674581030150215</v>
      </c>
      <c r="F282" s="95">
        <f t="shared" si="52"/>
        <v>9.6324872071116729</v>
      </c>
      <c r="G282" s="96">
        <f t="shared" si="50"/>
        <v>1.5806765681658066</v>
      </c>
    </row>
    <row r="283" spans="1:7">
      <c r="A283" s="91">
        <f>2016</f>
        <v>2016</v>
      </c>
      <c r="B283" s="92" t="s">
        <v>63</v>
      </c>
      <c r="C283" s="93">
        <f t="shared" si="47"/>
        <v>473.89355400598197</v>
      </c>
      <c r="D283" s="94">
        <v>0.105897331987292</v>
      </c>
      <c r="E283" s="94">
        <f t="shared" si="53"/>
        <v>5.4790394299289336</v>
      </c>
      <c r="F283" s="95">
        <f t="shared" si="52"/>
        <v>9.1334049848642351</v>
      </c>
      <c r="G283" s="96">
        <f t="shared" si="50"/>
        <v>1.5790044445870282</v>
      </c>
    </row>
    <row r="284" spans="1:7">
      <c r="A284" s="91">
        <f>2016</f>
        <v>2016</v>
      </c>
      <c r="B284" s="92" t="s">
        <v>64</v>
      </c>
      <c r="C284" s="93">
        <f t="shared" si="47"/>
        <v>473.232909364791</v>
      </c>
      <c r="D284" s="94">
        <v>-0.139407813338321</v>
      </c>
      <c r="E284" s="94">
        <f t="shared" si="53"/>
        <v>5.3319934075294118</v>
      </c>
      <c r="F284" s="95">
        <f t="shared" si="52"/>
        <v>8.261529562193747</v>
      </c>
      <c r="G284" s="96">
        <f t="shared" si="50"/>
        <v>1.581208773162007</v>
      </c>
    </row>
    <row r="285" spans="1:7">
      <c r="A285" s="91">
        <f>2016</f>
        <v>2016</v>
      </c>
      <c r="B285" s="92" t="s">
        <v>65</v>
      </c>
      <c r="C285" s="93">
        <f t="shared" si="47"/>
        <v>474.52999334767748</v>
      </c>
      <c r="D285" s="94">
        <v>0.27408997920865802</v>
      </c>
      <c r="E285" s="94">
        <f t="shared" si="53"/>
        <v>5.6206978463601676</v>
      </c>
      <c r="F285" s="95">
        <f t="shared" si="52"/>
        <v>7.6126791792035853</v>
      </c>
      <c r="G285" s="96">
        <f t="shared" si="50"/>
        <v>1.5768866847755616</v>
      </c>
    </row>
    <row r="286" spans="1:7">
      <c r="A286" s="91">
        <f>2016</f>
        <v>2016</v>
      </c>
      <c r="B286" s="92" t="s">
        <v>66</v>
      </c>
      <c r="C286" s="93">
        <f t="shared" si="47"/>
        <v>475.24655023026514</v>
      </c>
      <c r="D286" s="94">
        <v>0.15100349664571899</v>
      </c>
      <c r="E286" s="94">
        <f t="shared" si="53"/>
        <v>5.7801887932897866</v>
      </c>
      <c r="F286" s="95">
        <f t="shared" si="52"/>
        <v>6.6471766613732886</v>
      </c>
      <c r="G286" s="96">
        <f t="shared" si="50"/>
        <v>1.5745091209479245</v>
      </c>
    </row>
    <row r="287" spans="1:7">
      <c r="A287" s="91">
        <f>2016</f>
        <v>2016</v>
      </c>
      <c r="B287" s="92" t="s">
        <v>55</v>
      </c>
      <c r="C287" s="93">
        <f t="shared" si="47"/>
        <v>478.65459638610167</v>
      </c>
      <c r="D287" s="94">
        <v>0.71711118243473804</v>
      </c>
      <c r="E287" s="94">
        <f t="shared" si="53"/>
        <v>6.5387503559270366</v>
      </c>
      <c r="F287" s="95">
        <f t="shared" si="52"/>
        <v>6.5387503559270366</v>
      </c>
      <c r="G287" s="96">
        <f t="shared" si="50"/>
        <v>1.5632985323575506</v>
      </c>
    </row>
    <row r="288" spans="1:7">
      <c r="A288" s="91">
        <f>2017</f>
        <v>2017</v>
      </c>
      <c r="B288" s="92" t="s">
        <v>56</v>
      </c>
      <c r="C288" s="93">
        <f t="shared" si="47"/>
        <v>480.20063487495696</v>
      </c>
      <c r="D288" s="94">
        <v>0.32299668707416185</v>
      </c>
      <c r="E288" s="94">
        <f t="shared" ref="E288:E299" si="54">100*(C288/C$287-1)</f>
        <v>0.32299668707416185</v>
      </c>
      <c r="F288" s="95">
        <f t="shared" si="52"/>
        <v>5.4426348035554906</v>
      </c>
      <c r="G288" s="96">
        <f t="shared" si="50"/>
        <v>1.5582653867824199</v>
      </c>
    </row>
    <row r="289" spans="1:7">
      <c r="A289" s="91">
        <f>2017</f>
        <v>2017</v>
      </c>
      <c r="B289" s="92" t="s">
        <v>57</v>
      </c>
      <c r="C289" s="93">
        <f t="shared" si="47"/>
        <v>479.80494824353354</v>
      </c>
      <c r="D289" s="94">
        <v>-8.2400272445792844E-2</v>
      </c>
      <c r="E289" s="94">
        <f t="shared" si="54"/>
        <v>0.24033026447822792</v>
      </c>
      <c r="F289" s="95">
        <f t="shared" si="52"/>
        <v>4.4274914517252739</v>
      </c>
      <c r="G289" s="96">
        <f t="shared" si="50"/>
        <v>1.559550460610893</v>
      </c>
    </row>
    <row r="290" spans="1:7">
      <c r="A290" s="91">
        <f>2017</f>
        <v>2017</v>
      </c>
      <c r="B290" s="92" t="s">
        <v>58</v>
      </c>
      <c r="C290" s="93">
        <f t="shared" si="47"/>
        <v>480.4569910014327</v>
      </c>
      <c r="D290" s="94">
        <v>0.13589746422710824</v>
      </c>
      <c r="E290" s="94">
        <f t="shared" si="54"/>
        <v>0.37655433144052619</v>
      </c>
      <c r="F290" s="95">
        <f t="shared" si="52"/>
        <v>3.561546611037314</v>
      </c>
      <c r="G290" s="96">
        <f t="shared" si="50"/>
        <v>1.5574339473694059</v>
      </c>
    </row>
    <row r="291" spans="1:7">
      <c r="A291" s="91">
        <f>2017</f>
        <v>2017</v>
      </c>
      <c r="B291" s="92" t="s">
        <v>59</v>
      </c>
      <c r="C291" s="93">
        <f t="shared" si="47"/>
        <v>483.37292941545854</v>
      </c>
      <c r="D291" s="94">
        <v>0.60690935268692403</v>
      </c>
      <c r="E291" s="94">
        <f t="shared" si="54"/>
        <v>0.98574902758290506</v>
      </c>
      <c r="F291" s="95">
        <f t="shared" si="52"/>
        <v>3.7137100702931525</v>
      </c>
      <c r="G291" s="96">
        <f t="shared" si="50"/>
        <v>1.5480387553797876</v>
      </c>
    </row>
    <row r="292" spans="1:7">
      <c r="A292" s="91">
        <f>2017</f>
        <v>2017</v>
      </c>
      <c r="B292" s="92" t="s">
        <v>60</v>
      </c>
      <c r="C292" s="93">
        <f t="shared" si="47"/>
        <v>483.13697775632613</v>
      </c>
      <c r="D292" s="94">
        <v>-4.881358569619465E-2</v>
      </c>
      <c r="E292" s="94">
        <f t="shared" si="54"/>
        <v>0.93645426244037822</v>
      </c>
      <c r="F292" s="95">
        <f t="shared" si="52"/>
        <v>3.0764739623878157</v>
      </c>
      <c r="G292" s="96">
        <f t="shared" si="50"/>
        <v>1.548794777645832</v>
      </c>
    </row>
    <row r="293" spans="1:7">
      <c r="A293" s="91">
        <f>2017</f>
        <v>2017</v>
      </c>
      <c r="B293" s="92" t="s">
        <v>61</v>
      </c>
      <c r="C293" s="93">
        <f t="shared" si="47"/>
        <v>483.38343171482649</v>
      </c>
      <c r="D293" s="94">
        <v>5.1011197620365323E-2</v>
      </c>
      <c r="E293" s="94">
        <f t="shared" si="54"/>
        <v>0.9879431565951835</v>
      </c>
      <c r="F293" s="95">
        <f t="shared" si="52"/>
        <v>2.4650854127310051</v>
      </c>
      <c r="G293" s="96">
        <f t="shared" si="50"/>
        <v>1.5480051216940311</v>
      </c>
    </row>
    <row r="294" spans="1:7">
      <c r="A294" s="91">
        <f>2017</f>
        <v>2017</v>
      </c>
      <c r="B294" s="92" t="s">
        <v>62</v>
      </c>
      <c r="C294" s="93">
        <f t="shared" si="47"/>
        <v>483.3230184879863</v>
      </c>
      <c r="D294" s="94">
        <v>-1.2497992872007035E-2</v>
      </c>
      <c r="E294" s="94">
        <f t="shared" si="54"/>
        <v>0.9753216906578821</v>
      </c>
      <c r="F294" s="95">
        <f t="shared" si="52"/>
        <v>2.0977898052054966</v>
      </c>
      <c r="G294" s="96">
        <f t="shared" si="50"/>
        <v>1.5481986154466343</v>
      </c>
    </row>
    <row r="295" spans="1:7">
      <c r="A295" s="91">
        <f>2017</f>
        <v>2017</v>
      </c>
      <c r="B295" s="92" t="s">
        <v>63</v>
      </c>
      <c r="C295" s="93">
        <f t="shared" si="47"/>
        <v>483.79032079890902</v>
      </c>
      <c r="D295" s="94">
        <v>9.6685300109355943E-2</v>
      </c>
      <c r="E295" s="94">
        <f t="shared" si="54"/>
        <v>1.0729499834708944</v>
      </c>
      <c r="F295" s="95">
        <f t="shared" si="52"/>
        <v>2.0883944736674209</v>
      </c>
      <c r="G295" s="96">
        <f t="shared" si="50"/>
        <v>1.5467031808344436</v>
      </c>
    </row>
    <row r="296" spans="1:7">
      <c r="A296" s="91">
        <f>2017</f>
        <v>2017</v>
      </c>
      <c r="B296" s="92" t="s">
        <v>64</v>
      </c>
      <c r="C296" s="93">
        <f t="shared" si="47"/>
        <v>483.87934028878936</v>
      </c>
      <c r="D296" s="94">
        <v>1.8400428047704587E-2</v>
      </c>
      <c r="E296" s="94">
        <f t="shared" si="54"/>
        <v>1.09154783890828</v>
      </c>
      <c r="F296" s="95">
        <f t="shared" si="52"/>
        <v>2.2497232786047761</v>
      </c>
      <c r="G296" s="96">
        <f t="shared" si="50"/>
        <v>1.5464186331865277</v>
      </c>
    </row>
    <row r="297" spans="1:7">
      <c r="A297" s="91">
        <f>2017</f>
        <v>2017</v>
      </c>
      <c r="B297" s="92" t="s">
        <v>65</v>
      </c>
      <c r="C297" s="93">
        <f t="shared" si="47"/>
        <v>485.43938184346854</v>
      </c>
      <c r="D297" s="94">
        <v>0.32240300934280874</v>
      </c>
      <c r="E297" s="94">
        <f t="shared" si="54"/>
        <v>1.4174700313321464</v>
      </c>
      <c r="F297" s="95">
        <f t="shared" si="52"/>
        <v>2.2989881880444152</v>
      </c>
      <c r="G297" s="96">
        <f t="shared" si="50"/>
        <v>1.5414489553669415</v>
      </c>
    </row>
    <row r="298" spans="1:7">
      <c r="A298" s="91">
        <f>2017</f>
        <v>2017</v>
      </c>
      <c r="B298" s="92" t="s">
        <v>66</v>
      </c>
      <c r="C298" s="93">
        <f t="shared" si="47"/>
        <v>486.8417888857303</v>
      </c>
      <c r="D298" s="94">
        <v>0.28889436966075266</v>
      </c>
      <c r="E298" s="94">
        <f t="shared" si="54"/>
        <v>1.710459392105057</v>
      </c>
      <c r="F298" s="95">
        <f t="shared" si="52"/>
        <v>2.4398364701115893</v>
      </c>
      <c r="G298" s="96">
        <f t="shared" si="50"/>
        <v>1.5370086239910312</v>
      </c>
    </row>
    <row r="299" spans="1:7">
      <c r="A299" s="91">
        <f>2017</f>
        <v>2017</v>
      </c>
      <c r="B299" s="92" t="s">
        <v>55</v>
      </c>
      <c r="C299" s="93">
        <f t="shared" si="47"/>
        <v>489.51117331935711</v>
      </c>
      <c r="D299" s="94">
        <v>0.54830634809235335</v>
      </c>
      <c r="E299" s="94">
        <f t="shared" si="54"/>
        <v>2.2681442976258515</v>
      </c>
      <c r="F299" s="95">
        <f t="shared" si="52"/>
        <v>2.2681442976258515</v>
      </c>
      <c r="G299" s="96">
        <f t="shared" si="50"/>
        <v>1.5286270647563145</v>
      </c>
    </row>
    <row r="300" spans="1:7">
      <c r="A300" s="91">
        <f>2018</f>
        <v>2018</v>
      </c>
      <c r="B300" s="92" t="s">
        <v>56</v>
      </c>
      <c r="C300" s="93">
        <f t="shared" si="47"/>
        <v>491.77716943535739</v>
      </c>
      <c r="D300" s="94">
        <v>0.46290998847577924</v>
      </c>
      <c r="E300" s="94">
        <f t="shared" ref="E300:E311" si="55">100*(C300/C$299-1)</f>
        <v>0.46290998847577924</v>
      </c>
      <c r="F300" s="95">
        <f t="shared" si="52"/>
        <v>2.4107703571476735</v>
      </c>
      <c r="G300" s="96">
        <f t="shared" si="50"/>
        <v>1.5215835027391356</v>
      </c>
    </row>
    <row r="301" spans="1:7">
      <c r="A301" s="91">
        <f>2018</f>
        <v>2018</v>
      </c>
      <c r="B301" s="92" t="s">
        <v>57</v>
      </c>
      <c r="C301" s="93">
        <f t="shared" ref="C301:C364" si="56">+C300*(1+D301/100)</f>
        <v>489.72842088342475</v>
      </c>
      <c r="D301" s="94">
        <v>-0.4166009890790523</v>
      </c>
      <c r="E301" s="94">
        <f t="shared" si="55"/>
        <v>4.4380511806196843E-2</v>
      </c>
      <c r="F301" s="95">
        <f t="shared" si="52"/>
        <v>2.0682305749907259</v>
      </c>
      <c r="G301" s="96">
        <f t="shared" si="50"/>
        <v>1.5279489531907511</v>
      </c>
    </row>
    <row r="302" spans="1:7">
      <c r="A302" s="91">
        <f>2018</f>
        <v>2018</v>
      </c>
      <c r="B302" s="92" t="s">
        <v>58</v>
      </c>
      <c r="C302" s="93">
        <f t="shared" si="56"/>
        <v>489.74402429962856</v>
      </c>
      <c r="D302" s="94">
        <v>3.1861365480168047E-3</v>
      </c>
      <c r="E302" s="94">
        <f t="shared" si="55"/>
        <v>4.7568062377911779E-2</v>
      </c>
      <c r="F302" s="95">
        <f t="shared" si="52"/>
        <v>1.9329583026440389</v>
      </c>
      <c r="G302" s="96">
        <f t="shared" si="50"/>
        <v>1.5279002722017612</v>
      </c>
    </row>
    <row r="303" spans="1:7">
      <c r="A303" s="91">
        <f>2018</f>
        <v>2018</v>
      </c>
      <c r="B303" s="92" t="s">
        <v>59</v>
      </c>
      <c r="C303" s="93">
        <f t="shared" si="56"/>
        <v>489.61669642253003</v>
      </c>
      <c r="D303" s="94">
        <v>-2.5998862830567404E-2</v>
      </c>
      <c r="E303" s="94">
        <f t="shared" si="55"/>
        <v>2.1556832392066738E-2</v>
      </c>
      <c r="F303" s="95">
        <f t="shared" si="52"/>
        <v>1.2917080430263406</v>
      </c>
      <c r="G303" s="96">
        <f t="shared" si="50"/>
        <v>1.5282976122016003</v>
      </c>
    </row>
    <row r="304" spans="1:7">
      <c r="A304" s="91">
        <f>2018</f>
        <v>2018</v>
      </c>
      <c r="B304" s="92" t="s">
        <v>60</v>
      </c>
      <c r="C304" s="93">
        <f t="shared" si="56"/>
        <v>490.57000513944018</v>
      </c>
      <c r="D304" s="94">
        <v>0.19470510786818718</v>
      </c>
      <c r="E304" s="94">
        <f t="shared" si="55"/>
        <v>0.21630391251401537</v>
      </c>
      <c r="F304" s="95">
        <f t="shared" si="52"/>
        <v>1.5384927516069791</v>
      </c>
      <c r="G304" s="96">
        <f t="shared" si="50"/>
        <v>1.5253277212166618</v>
      </c>
    </row>
    <row r="305" spans="1:7">
      <c r="A305" s="91">
        <f>2018</f>
        <v>2018</v>
      </c>
      <c r="B305" s="92" t="s">
        <v>61</v>
      </c>
      <c r="C305" s="93">
        <f t="shared" si="56"/>
        <v>495.52579015641066</v>
      </c>
      <c r="D305" s="94">
        <v>1.0102095450295279</v>
      </c>
      <c r="E305" s="94">
        <f t="shared" si="55"/>
        <v>1.2286985803140471</v>
      </c>
      <c r="F305" s="95">
        <f t="shared" si="52"/>
        <v>2.5119517229849064</v>
      </c>
      <c r="G305" s="96">
        <f t="shared" si="50"/>
        <v>1.5100728214376025</v>
      </c>
    </row>
    <row r="306" spans="1:7">
      <c r="A306" s="91">
        <f>2018</f>
        <v>2018</v>
      </c>
      <c r="B306" s="92" t="s">
        <v>62</v>
      </c>
      <c r="C306" s="93">
        <f t="shared" si="56"/>
        <v>496.65703783118283</v>
      </c>
      <c r="D306" s="94">
        <v>0.22829239108121957</v>
      </c>
      <c r="E306" s="94">
        <f t="shared" si="55"/>
        <v>1.4597959967634466</v>
      </c>
      <c r="F306" s="95">
        <f t="shared" si="52"/>
        <v>2.7588214989036297</v>
      </c>
      <c r="G306" s="96">
        <f t="shared" si="50"/>
        <v>1.506633292269854</v>
      </c>
    </row>
    <row r="307" spans="1:7">
      <c r="A307" s="91">
        <f>2018</f>
        <v>2018</v>
      </c>
      <c r="B307" s="92" t="s">
        <v>63</v>
      </c>
      <c r="C307" s="93">
        <f t="shared" si="56"/>
        <v>498.70378594514062</v>
      </c>
      <c r="D307" s="94">
        <v>0.41210492514021091</v>
      </c>
      <c r="E307" s="94">
        <f t="shared" si="55"/>
        <v>1.8779168131033197</v>
      </c>
      <c r="F307" s="95">
        <f t="shared" si="52"/>
        <v>3.0826299132244328</v>
      </c>
      <c r="G307" s="96">
        <f t="shared" si="50"/>
        <v>1.500449864479076</v>
      </c>
    </row>
    <row r="308" spans="1:7">
      <c r="A308" s="91">
        <f>2018</f>
        <v>2018</v>
      </c>
      <c r="B308" s="92" t="s">
        <v>64</v>
      </c>
      <c r="C308" s="93">
        <f t="shared" si="56"/>
        <v>500.63220815288668</v>
      </c>
      <c r="D308" s="94">
        <v>0.38668689953722524</v>
      </c>
      <c r="E308" s="94">
        <f t="shared" si="55"/>
        <v>2.2718653709410175</v>
      </c>
      <c r="F308" s="95">
        <f t="shared" si="52"/>
        <v>3.4621994512307186</v>
      </c>
      <c r="G308" s="96">
        <f t="shared" si="50"/>
        <v>1.4946701707375432</v>
      </c>
    </row>
    <row r="309" spans="1:7">
      <c r="A309" s="91">
        <f>2018</f>
        <v>2018</v>
      </c>
      <c r="B309" s="92" t="s">
        <v>65</v>
      </c>
      <c r="C309" s="93">
        <f t="shared" si="56"/>
        <v>503.03933516801192</v>
      </c>
      <c r="D309" s="94">
        <v>0.48081744960166706</v>
      </c>
      <c r="E309" s="94">
        <f t="shared" si="55"/>
        <v>2.7636063456776272</v>
      </c>
      <c r="F309" s="95">
        <f t="shared" si="52"/>
        <v>3.6255717980084645</v>
      </c>
      <c r="G309" s="96">
        <f t="shared" si="50"/>
        <v>1.4875179249882471</v>
      </c>
    </row>
    <row r="310" spans="1:7">
      <c r="A310" s="91">
        <f>2018</f>
        <v>2018</v>
      </c>
      <c r="B310" s="92" t="s">
        <v>66</v>
      </c>
      <c r="C310" s="93">
        <f t="shared" si="56"/>
        <v>503.81600521174363</v>
      </c>
      <c r="D310" s="94">
        <v>0.15439548946452053</v>
      </c>
      <c r="E310" s="94">
        <f t="shared" si="55"/>
        <v>2.9222687186864382</v>
      </c>
      <c r="F310" s="95">
        <f t="shared" si="52"/>
        <v>3.4865980516716633</v>
      </c>
      <c r="G310" s="96">
        <f t="shared" si="50"/>
        <v>1.4852248048811025</v>
      </c>
    </row>
    <row r="311" spans="1:7">
      <c r="A311" s="91">
        <f>2018</f>
        <v>2018</v>
      </c>
      <c r="B311" s="92" t="s">
        <v>55</v>
      </c>
      <c r="C311" s="93">
        <f t="shared" si="56"/>
        <v>504.28700833291975</v>
      </c>
      <c r="D311" s="94">
        <v>9.3487129488512011E-2</v>
      </c>
      <c r="E311" s="94">
        <f t="shared" si="55"/>
        <v>3.0184877933159937</v>
      </c>
      <c r="F311" s="95">
        <f t="shared" si="52"/>
        <v>3.0184877933159937</v>
      </c>
      <c r="G311" s="96">
        <f t="shared" si="50"/>
        <v>1.4838376076953972</v>
      </c>
    </row>
    <row r="312" spans="1:7">
      <c r="A312" s="91">
        <f>2019</f>
        <v>2019</v>
      </c>
      <c r="B312" s="92" t="s">
        <v>56</v>
      </c>
      <c r="C312" s="93">
        <f t="shared" si="56"/>
        <v>507.20534727251544</v>
      </c>
      <c r="D312" s="94">
        <v>0.57870595342981446</v>
      </c>
      <c r="E312" s="94">
        <f t="shared" ref="E312:E323" si="57">100*(C312/C$311-1)</f>
        <v>0.57870595342981446</v>
      </c>
      <c r="F312" s="95">
        <f t="shared" si="52"/>
        <v>3.1372293786781968</v>
      </c>
      <c r="G312" s="96">
        <f t="shared" si="50"/>
        <v>1.4752999590017066</v>
      </c>
    </row>
    <row r="313" spans="1:7">
      <c r="A313" s="97">
        <f>2019</f>
        <v>2019</v>
      </c>
      <c r="B313" s="98" t="s">
        <v>57</v>
      </c>
      <c r="C313" s="99">
        <f t="shared" si="56"/>
        <v>509.96205082374405</v>
      </c>
      <c r="D313" s="100">
        <v>0.54350837704151278</v>
      </c>
      <c r="E313" s="100">
        <f t="shared" si="57"/>
        <v>1.125359645806645</v>
      </c>
      <c r="F313" s="101">
        <f t="shared" si="52"/>
        <v>4.1316021446784035</v>
      </c>
      <c r="G313" s="96">
        <f t="shared" si="50"/>
        <v>1.4673249251152869</v>
      </c>
    </row>
    <row r="314" spans="1:7">
      <c r="A314" s="97">
        <f>2019</f>
        <v>2019</v>
      </c>
      <c r="B314" s="98" t="s">
        <v>58</v>
      </c>
      <c r="C314" s="99">
        <f t="shared" si="56"/>
        <v>512.56592091369487</v>
      </c>
      <c r="D314" s="100">
        <v>0.5106007566141102</v>
      </c>
      <c r="E314" s="100">
        <f t="shared" si="57"/>
        <v>1.6417064972868767</v>
      </c>
      <c r="F314" s="101">
        <f t="shared" si="52"/>
        <v>4.6599642837303445</v>
      </c>
      <c r="G314" s="96">
        <f t="shared" si="50"/>
        <v>1.4598708136949721</v>
      </c>
    </row>
    <row r="315" spans="1:7">
      <c r="A315" s="97">
        <f>2019</f>
        <v>2019</v>
      </c>
      <c r="B315" s="98" t="s">
        <v>59</v>
      </c>
      <c r="C315" s="99">
        <f t="shared" si="56"/>
        <v>514.0374430879873</v>
      </c>
      <c r="D315" s="100">
        <v>0.28708935070620445</v>
      </c>
      <c r="E315" s="100">
        <f t="shared" si="57"/>
        <v>1.9335090125166321</v>
      </c>
      <c r="F315" s="101">
        <f t="shared" si="52"/>
        <v>4.9877275109063257</v>
      </c>
      <c r="G315" s="96">
        <f t="shared" si="50"/>
        <v>1.45569167790858</v>
      </c>
    </row>
    <row r="316" spans="1:7">
      <c r="A316" s="97">
        <f>2019</f>
        <v>2019</v>
      </c>
      <c r="B316" s="98" t="s">
        <v>60</v>
      </c>
      <c r="C316" s="99">
        <f t="shared" si="56"/>
        <v>513.94852362000563</v>
      </c>
      <c r="D316" s="100">
        <v>-1.7298247273089817E-2</v>
      </c>
      <c r="E316" s="100">
        <f t="shared" si="57"/>
        <v>1.9158763020735048</v>
      </c>
      <c r="F316" s="101">
        <f t="shared" si="52"/>
        <v>4.7655825337140856</v>
      </c>
      <c r="G316" s="96">
        <f t="shared" si="50"/>
        <v>1.4559435306206634</v>
      </c>
    </row>
    <row r="317" spans="1:7">
      <c r="A317" s="97">
        <f>2019</f>
        <v>2019</v>
      </c>
      <c r="B317" s="98" t="s">
        <v>61</v>
      </c>
      <c r="C317" s="99">
        <f t="shared" si="56"/>
        <v>514.74359769310581</v>
      </c>
      <c r="D317" s="100">
        <v>0.15469916471402279</v>
      </c>
      <c r="E317" s="100">
        <f t="shared" si="57"/>
        <v>2.0735393114237999</v>
      </c>
      <c r="F317" s="101">
        <f t="shared" si="52"/>
        <v>3.8782658578939255</v>
      </c>
      <c r="G317" s="96">
        <f t="shared" si="50"/>
        <v>1.4536946770977011</v>
      </c>
    </row>
    <row r="318" spans="1:7">
      <c r="A318" s="97">
        <f>2019</f>
        <v>2019</v>
      </c>
      <c r="B318" s="98" t="s">
        <v>62</v>
      </c>
      <c r="C318" s="99">
        <f t="shared" si="56"/>
        <v>515.48385976569546</v>
      </c>
      <c r="D318" s="100">
        <v>0.14381180764699852</v>
      </c>
      <c r="E318" s="100">
        <f t="shared" si="57"/>
        <v>2.2203331134368121</v>
      </c>
      <c r="F318" s="101">
        <f t="shared" si="52"/>
        <v>3.7907087789848193</v>
      </c>
      <c r="G318" s="96">
        <f t="shared" si="50"/>
        <v>1.4516070946948882</v>
      </c>
    </row>
    <row r="319" spans="1:7">
      <c r="A319" s="97">
        <f>2019</f>
        <v>2019</v>
      </c>
      <c r="B319" s="98" t="s">
        <v>63</v>
      </c>
      <c r="C319" s="99">
        <f t="shared" si="56"/>
        <v>517.18593241658834</v>
      </c>
      <c r="D319" s="100">
        <v>0.33018931992683243</v>
      </c>
      <c r="E319" s="100">
        <f t="shared" si="57"/>
        <v>2.5578537361710119</v>
      </c>
      <c r="F319" s="101">
        <f t="shared" si="52"/>
        <v>3.7060369285988992</v>
      </c>
      <c r="G319" s="96">
        <f t="shared" si="50"/>
        <v>1.4468298171611056</v>
      </c>
    </row>
    <row r="320" spans="1:7">
      <c r="A320" s="97">
        <f>2019</f>
        <v>2019</v>
      </c>
      <c r="B320" s="98" t="s">
        <v>64</v>
      </c>
      <c r="C320" s="99">
        <f t="shared" si="56"/>
        <v>517.1937341246902</v>
      </c>
      <c r="D320" s="100">
        <v>1.5084919393393292E-3</v>
      </c>
      <c r="E320" s="100">
        <f t="shared" si="57"/>
        <v>2.5594008131277768</v>
      </c>
      <c r="F320" s="101">
        <f t="shared" si="52"/>
        <v>3.3081223505192048</v>
      </c>
      <c r="G320" s="96">
        <f t="shared" si="50"/>
        <v>1.4468079921791659</v>
      </c>
    </row>
    <row r="321" spans="1:7">
      <c r="A321" s="97">
        <f>2019</f>
        <v>2019</v>
      </c>
      <c r="B321" s="98" t="s">
        <v>65</v>
      </c>
      <c r="C321" s="99">
        <f t="shared" si="56"/>
        <v>518.04392026399739</v>
      </c>
      <c r="D321" s="100">
        <v>0.16438446238062898</v>
      </c>
      <c r="E321" s="100">
        <f t="shared" si="57"/>
        <v>2.7279925327752252</v>
      </c>
      <c r="F321" s="101">
        <f t="shared" si="52"/>
        <v>2.9827856485564963</v>
      </c>
      <c r="G321" s="96">
        <f t="shared" si="50"/>
        <v>1.4444335678242526</v>
      </c>
    </row>
    <row r="322" spans="1:7">
      <c r="A322" s="97">
        <f>2019</f>
        <v>2019</v>
      </c>
      <c r="B322" s="98" t="s">
        <v>66</v>
      </c>
      <c r="C322" s="99">
        <f t="shared" si="56"/>
        <v>521.57809403414763</v>
      </c>
      <c r="D322" s="100">
        <v>0.68221508484245241</v>
      </c>
      <c r="E322" s="100">
        <f t="shared" si="57"/>
        <v>3.4288183941896477</v>
      </c>
      <c r="F322" s="101">
        <f t="shared" si="52"/>
        <v>3.5255110275702606</v>
      </c>
      <c r="G322" s="96">
        <f t="shared" si="50"/>
        <v>1.4346461950673846</v>
      </c>
    </row>
    <row r="323" spans="1:7">
      <c r="A323" s="97">
        <f>2019</f>
        <v>2019</v>
      </c>
      <c r="B323" s="98" t="s">
        <v>55</v>
      </c>
      <c r="C323" s="99">
        <f t="shared" si="56"/>
        <v>526.47936711630371</v>
      </c>
      <c r="D323" s="100">
        <v>0.93970071562001767</v>
      </c>
      <c r="E323" s="100">
        <f t="shared" si="57"/>
        <v>4.4007397407971771</v>
      </c>
      <c r="F323" s="101">
        <f t="shared" si="52"/>
        <v>4.4007397407971771</v>
      </c>
      <c r="G323" s="96">
        <f t="shared" si="50"/>
        <v>1.4212903197615474</v>
      </c>
    </row>
    <row r="324" spans="1:7">
      <c r="A324" s="97">
        <f>2020</f>
        <v>2020</v>
      </c>
      <c r="B324" s="98" t="s">
        <v>56</v>
      </c>
      <c r="C324" s="99">
        <f t="shared" si="56"/>
        <v>527.98929769971312</v>
      </c>
      <c r="D324" s="100">
        <v>0.28679767484143248</v>
      </c>
      <c r="E324" s="100">
        <f t="shared" ref="E324:E335" si="58">100*(C324/C$323-1)</f>
        <v>0.28679767484143248</v>
      </c>
      <c r="F324" s="101">
        <f t="shared" si="52"/>
        <v>4.0977388229368694</v>
      </c>
      <c r="G324" s="96">
        <f t="shared" ref="G324:G387" si="59">C$400/C324</f>
        <v>1.4172257492654003</v>
      </c>
    </row>
    <row r="325" spans="1:7">
      <c r="A325" s="97">
        <f>2020</f>
        <v>2020</v>
      </c>
      <c r="B325" s="98" t="s">
        <v>57</v>
      </c>
      <c r="C325" s="99">
        <f t="shared" si="56"/>
        <v>528.54952035456711</v>
      </c>
      <c r="D325" s="100">
        <v>0.10610492623519541</v>
      </c>
      <c r="E325" s="100">
        <f t="shared" si="58"/>
        <v>0.39320690753794629</v>
      </c>
      <c r="F325" s="101">
        <f t="shared" si="52"/>
        <v>3.6448730843400279</v>
      </c>
      <c r="G325" s="96">
        <f t="shared" si="59"/>
        <v>1.4157235967873349</v>
      </c>
    </row>
    <row r="326" spans="1:7">
      <c r="A326" s="97">
        <f>2020</f>
        <v>2020</v>
      </c>
      <c r="B326" s="98" t="s">
        <v>58</v>
      </c>
      <c r="C326" s="99">
        <f t="shared" si="56"/>
        <v>529.0859377975205</v>
      </c>
      <c r="D326" s="100">
        <v>0.10148858759602142</v>
      </c>
      <c r="E326" s="100">
        <f t="shared" si="58"/>
        <v>0.49509455527076973</v>
      </c>
      <c r="F326" s="101">
        <f t="shared" si="52"/>
        <v>3.2230033659626178</v>
      </c>
      <c r="G326" s="96">
        <f t="shared" si="59"/>
        <v>1.4142882556121776</v>
      </c>
    </row>
    <row r="327" spans="1:7">
      <c r="A327" s="97">
        <f>2020</f>
        <v>2020</v>
      </c>
      <c r="B327" s="98" t="s">
        <v>59</v>
      </c>
      <c r="C327" s="99">
        <f t="shared" si="56"/>
        <v>527.47748564385017</v>
      </c>
      <c r="D327" s="100">
        <v>-0.30400584078382753</v>
      </c>
      <c r="E327" s="100">
        <f t="shared" si="58"/>
        <v>0.18958359812151215</v>
      </c>
      <c r="F327" s="101">
        <f t="shared" si="52"/>
        <v>2.6146038068986188</v>
      </c>
      <c r="G327" s="96">
        <f t="shared" si="59"/>
        <v>1.4186008851604766</v>
      </c>
    </row>
    <row r="328" spans="1:7">
      <c r="A328" s="97">
        <f>2020</f>
        <v>2020</v>
      </c>
      <c r="B328" s="98" t="s">
        <v>60</v>
      </c>
      <c r="C328" s="99">
        <f t="shared" si="56"/>
        <v>526.20050606261088</v>
      </c>
      <c r="D328" s="100">
        <v>-0.24209176997963544</v>
      </c>
      <c r="E328" s="100">
        <f t="shared" si="58"/>
        <v>-5.2967138146409187E-2</v>
      </c>
      <c r="F328" s="101">
        <f t="shared" si="52"/>
        <v>2.3838929152492083</v>
      </c>
      <c r="G328" s="96">
        <f t="shared" si="59"/>
        <v>1.4220435355255112</v>
      </c>
    </row>
    <row r="329" spans="1:7">
      <c r="A329" s="97">
        <f>2020</f>
        <v>2020</v>
      </c>
      <c r="B329" s="98" t="s">
        <v>61</v>
      </c>
      <c r="C329" s="99">
        <f t="shared" si="56"/>
        <v>528.25005478973355</v>
      </c>
      <c r="D329" s="100">
        <v>0.38949957354825759</v>
      </c>
      <c r="E329" s="100">
        <f t="shared" si="58"/>
        <v>0.33632612862466438</v>
      </c>
      <c r="F329" s="101">
        <f t="shared" si="52"/>
        <v>2.6239193954346929</v>
      </c>
      <c r="G329" s="96">
        <f t="shared" si="59"/>
        <v>1.4165261721258815</v>
      </c>
    </row>
    <row r="330" spans="1:7">
      <c r="A330" s="97">
        <f>2020</f>
        <v>2020</v>
      </c>
      <c r="B330" s="98" t="s">
        <v>62</v>
      </c>
      <c r="C330" s="99">
        <f t="shared" si="56"/>
        <v>529.54533837844258</v>
      </c>
      <c r="D330" s="100">
        <v>0.24520273627317568</v>
      </c>
      <c r="E330" s="100">
        <f t="shared" si="58"/>
        <v>0.58235354576803289</v>
      </c>
      <c r="F330" s="101">
        <f t="shared" si="52"/>
        <v>2.7278213170706334</v>
      </c>
      <c r="G330" s="96">
        <f t="shared" si="59"/>
        <v>1.4130613071355673</v>
      </c>
    </row>
    <row r="331" spans="1:7">
      <c r="A331" s="97">
        <f>2020</f>
        <v>2020</v>
      </c>
      <c r="B331" s="98" t="s">
        <v>63</v>
      </c>
      <c r="C331" s="99">
        <f t="shared" si="56"/>
        <v>533.67044152636061</v>
      </c>
      <c r="D331" s="100">
        <v>0.77898960654620986</v>
      </c>
      <c r="E331" s="100">
        <f t="shared" si="58"/>
        <v>1.3658796259091277</v>
      </c>
      <c r="F331" s="101">
        <f t="shared" si="52"/>
        <v>3.1873467696128532</v>
      </c>
      <c r="G331" s="96">
        <f t="shared" si="59"/>
        <v>1.4021387916790351</v>
      </c>
    </row>
    <row r="332" spans="1:7">
      <c r="A332" s="97">
        <f>2020</f>
        <v>2020</v>
      </c>
      <c r="B332" s="98" t="s">
        <v>64</v>
      </c>
      <c r="C332" s="99">
        <f t="shared" si="56"/>
        <v>539.64865039227197</v>
      </c>
      <c r="D332" s="100">
        <v>1.1202061048786849</v>
      </c>
      <c r="E332" s="100">
        <f t="shared" si="58"/>
        <v>2.5013863977425554</v>
      </c>
      <c r="F332" s="101">
        <f t="shared" si="52"/>
        <v>4.3416837416998089</v>
      </c>
      <c r="G332" s="96">
        <f t="shared" si="59"/>
        <v>1.3866059472078023</v>
      </c>
    </row>
    <row r="333" spans="1:7">
      <c r="A333" s="97">
        <f>2020</f>
        <v>2020</v>
      </c>
      <c r="B333" s="98" t="s">
        <v>65</v>
      </c>
      <c r="C333" s="99">
        <f t="shared" si="56"/>
        <v>546.07695780252243</v>
      </c>
      <c r="D333" s="100">
        <v>1.1912023509329073</v>
      </c>
      <c r="E333" s="100">
        <f t="shared" si="58"/>
        <v>3.722385322251287</v>
      </c>
      <c r="F333" s="101">
        <f t="shared" si="52"/>
        <v>5.4113244923787995</v>
      </c>
      <c r="G333" s="96">
        <f t="shared" si="59"/>
        <v>1.3702831026743094</v>
      </c>
    </row>
    <row r="334" spans="1:7">
      <c r="A334" s="97">
        <f>2020</f>
        <v>2020</v>
      </c>
      <c r="B334" s="98" t="s">
        <v>66</v>
      </c>
      <c r="C334" s="99">
        <f t="shared" si="56"/>
        <v>551.71029116157138</v>
      </c>
      <c r="D334" s="100">
        <v>1.0316006340421513</v>
      </c>
      <c r="E334" s="100">
        <f t="shared" si="58"/>
        <v>4.792386106879265</v>
      </c>
      <c r="F334" s="101">
        <f t="shared" si="52"/>
        <v>5.7771209090409004</v>
      </c>
      <c r="G334" s="96">
        <f t="shared" si="59"/>
        <v>1.3562915900320782</v>
      </c>
    </row>
    <row r="335" spans="1:7">
      <c r="A335" s="97">
        <f>2020</f>
        <v>2020</v>
      </c>
      <c r="B335" s="98" t="s">
        <v>55</v>
      </c>
      <c r="C335" s="99">
        <f t="shared" si="56"/>
        <v>556.04233961798673</v>
      </c>
      <c r="D335" s="100">
        <v>0.7852034891889792</v>
      </c>
      <c r="E335" s="100">
        <f t="shared" si="58"/>
        <v>5.61521957899489</v>
      </c>
      <c r="F335" s="101">
        <f t="shared" si="52"/>
        <v>5.61521957899489</v>
      </c>
      <c r="G335" s="96">
        <f t="shared" si="59"/>
        <v>1.3457249110754286</v>
      </c>
    </row>
    <row r="336" spans="1:7">
      <c r="A336" s="97">
        <f>2021</f>
        <v>2021</v>
      </c>
      <c r="B336" s="98" t="s">
        <v>56</v>
      </c>
      <c r="C336" s="99">
        <f t="shared" si="56"/>
        <v>560.83928985975479</v>
      </c>
      <c r="D336" s="100">
        <v>0.86269514027721428</v>
      </c>
      <c r="E336" s="100">
        <f t="shared" ref="E336:E347" si="60">100*(C336/C$335-1)</f>
        <v>0.86269514027721428</v>
      </c>
      <c r="F336" s="101">
        <f t="shared" ref="F336:F383" si="61">100*(C336/C324-1)</f>
        <v>6.2217155353638809</v>
      </c>
      <c r="G336" s="96">
        <f t="shared" si="59"/>
        <v>1.3342147056489313</v>
      </c>
    </row>
    <row r="337" spans="1:7">
      <c r="A337" s="97">
        <f>2021</f>
        <v>2021</v>
      </c>
      <c r="B337" s="98" t="s">
        <v>57</v>
      </c>
      <c r="C337" s="99">
        <f t="shared" si="56"/>
        <v>562.10226637517019</v>
      </c>
      <c r="D337" s="100">
        <v>0.22519401515739279</v>
      </c>
      <c r="E337" s="100">
        <f t="shared" si="60"/>
        <v>1.0898318932595519</v>
      </c>
      <c r="F337" s="101">
        <f t="shared" si="61"/>
        <v>6.3480799297849888</v>
      </c>
      <c r="G337" s="96">
        <f t="shared" si="59"/>
        <v>1.3312168848953823</v>
      </c>
    </row>
    <row r="338" spans="1:7">
      <c r="A338" s="97">
        <f>2021</f>
        <v>2021</v>
      </c>
      <c r="B338" s="98" t="s">
        <v>58</v>
      </c>
      <c r="C338" s="99">
        <f t="shared" si="56"/>
        <v>566.085938558267</v>
      </c>
      <c r="D338" s="100">
        <v>0.70870950383927767</v>
      </c>
      <c r="E338" s="100">
        <f t="shared" si="60"/>
        <v>1.8062651393022433</v>
      </c>
      <c r="F338" s="101">
        <f t="shared" si="61"/>
        <v>6.9931929989993868</v>
      </c>
      <c r="G338" s="96">
        <f t="shared" si="59"/>
        <v>1.3218488167050069</v>
      </c>
    </row>
    <row r="339" spans="1:7">
      <c r="A339" s="97">
        <f>2021</f>
        <v>2021</v>
      </c>
      <c r="B339" s="98" t="s">
        <v>59</v>
      </c>
      <c r="C339" s="99">
        <f t="shared" si="56"/>
        <v>568.56818201934755</v>
      </c>
      <c r="D339" s="100">
        <v>0.43849233694135403</v>
      </c>
      <c r="E339" s="100">
        <f t="shared" si="60"/>
        <v>2.2526778104642764</v>
      </c>
      <c r="F339" s="101">
        <f t="shared" si="61"/>
        <v>7.7900379625380989</v>
      </c>
      <c r="G339" s="96">
        <f t="shared" si="59"/>
        <v>1.3160779158956271</v>
      </c>
    </row>
    <row r="340" spans="1:7">
      <c r="A340" s="97">
        <f>2021</f>
        <v>2021</v>
      </c>
      <c r="B340" s="98" t="s">
        <v>60</v>
      </c>
      <c r="C340" s="99">
        <f t="shared" si="56"/>
        <v>570.90449353016334</v>
      </c>
      <c r="D340" s="100">
        <v>0.41091140600202358</v>
      </c>
      <c r="E340" s="100">
        <f t="shared" si="60"/>
        <v>2.672845726529971</v>
      </c>
      <c r="F340" s="101">
        <f t="shared" si="61"/>
        <v>8.4956184862036821</v>
      </c>
      <c r="G340" s="96">
        <f t="shared" si="59"/>
        <v>1.310692132425918</v>
      </c>
    </row>
    <row r="341" spans="1:7">
      <c r="A341" s="97">
        <f>2021</f>
        <v>2021</v>
      </c>
      <c r="B341" s="98" t="s">
        <v>61</v>
      </c>
      <c r="C341" s="99">
        <f t="shared" si="56"/>
        <v>575.50420058761222</v>
      </c>
      <c r="D341" s="100">
        <v>0.80568766047133256</v>
      </c>
      <c r="E341" s="100">
        <f t="shared" si="60"/>
        <v>3.5000681752033858</v>
      </c>
      <c r="F341" s="101">
        <f t="shared" si="61"/>
        <v>8.9454123798790484</v>
      </c>
      <c r="G341" s="96">
        <f t="shared" si="59"/>
        <v>1.3002164489374106</v>
      </c>
    </row>
    <row r="342" spans="1:7">
      <c r="A342" s="97">
        <f>2021</f>
        <v>2021</v>
      </c>
      <c r="B342" s="98" t="s">
        <v>62</v>
      </c>
      <c r="C342" s="99">
        <f t="shared" si="56"/>
        <v>581.39969134326395</v>
      </c>
      <c r="D342" s="100">
        <v>1.0244044699642796</v>
      </c>
      <c r="E342" s="100">
        <f t="shared" si="60"/>
        <v>4.560327500006256</v>
      </c>
      <c r="F342" s="101">
        <f t="shared" si="61"/>
        <v>9.792240476256131</v>
      </c>
      <c r="G342" s="96">
        <f t="shared" si="59"/>
        <v>1.2870320352385545</v>
      </c>
    </row>
    <row r="343" spans="1:7">
      <c r="A343" s="97">
        <f>2021</f>
        <v>2021</v>
      </c>
      <c r="B343" s="98" t="s">
        <v>63</v>
      </c>
      <c r="C343" s="99">
        <f t="shared" si="56"/>
        <v>589.749219384551</v>
      </c>
      <c r="D343" s="100">
        <v>1.4361080966514228</v>
      </c>
      <c r="E343" s="100">
        <f t="shared" si="60"/>
        <v>6.061926829119102</v>
      </c>
      <c r="F343" s="101">
        <f t="shared" si="61"/>
        <v>10.50812889276731</v>
      </c>
      <c r="G343" s="96">
        <f t="shared" si="59"/>
        <v>1.2688105442809685</v>
      </c>
    </row>
    <row r="344" spans="1:7">
      <c r="A344" s="97">
        <f>2021</f>
        <v>2021</v>
      </c>
      <c r="B344" s="98" t="s">
        <v>64</v>
      </c>
      <c r="C344" s="99">
        <f t="shared" si="56"/>
        <v>596.39327403038783</v>
      </c>
      <c r="D344" s="100">
        <v>1.1265898160527366</v>
      </c>
      <c r="E344" s="100">
        <f t="shared" si="60"/>
        <v>7.2568096954852557</v>
      </c>
      <c r="F344" s="101">
        <f t="shared" si="61"/>
        <v>10.515105262816471</v>
      </c>
      <c r="G344" s="96">
        <f t="shared" si="59"/>
        <v>1.2546754978971502</v>
      </c>
    </row>
    <row r="345" spans="1:7">
      <c r="A345" s="97">
        <f>2021</f>
        <v>2021</v>
      </c>
      <c r="B345" s="98" t="s">
        <v>65</v>
      </c>
      <c r="C345" s="99">
        <f t="shared" si="56"/>
        <v>602.33037389591618</v>
      </c>
      <c r="D345" s="100">
        <v>0.99550080862009782</v>
      </c>
      <c r="E345" s="100">
        <f t="shared" si="60"/>
        <v>8.3245521033039171</v>
      </c>
      <c r="F345" s="101">
        <f t="shared" si="61"/>
        <v>10.301371498948431</v>
      </c>
      <c r="G345" s="96">
        <f t="shared" si="59"/>
        <v>1.2423083086390936</v>
      </c>
    </row>
    <row r="346" spans="1:7">
      <c r="A346" s="97">
        <f>2021</f>
        <v>2021</v>
      </c>
      <c r="B346" s="98" t="s">
        <v>66</v>
      </c>
      <c r="C346" s="99">
        <f t="shared" si="56"/>
        <v>606.66292246182513</v>
      </c>
      <c r="D346" s="100">
        <v>0.71929770665319914</v>
      </c>
      <c r="E346" s="100">
        <f t="shared" si="60"/>
        <v>9.1037281223253395</v>
      </c>
      <c r="F346" s="101">
        <f t="shared" si="61"/>
        <v>9.9604144023770935</v>
      </c>
      <c r="G346" s="96">
        <f t="shared" si="59"/>
        <v>1.2334362301227906</v>
      </c>
    </row>
    <row r="347" spans="1:7">
      <c r="A347" s="97">
        <f>2021</f>
        <v>2021</v>
      </c>
      <c r="B347" s="98" t="s">
        <v>55</v>
      </c>
      <c r="C347" s="99">
        <f t="shared" si="56"/>
        <v>610.13788326792007</v>
      </c>
      <c r="D347" s="100">
        <v>0.57279927245159623</v>
      </c>
      <c r="E347" s="100">
        <f t="shared" si="60"/>
        <v>9.7286734832275901</v>
      </c>
      <c r="F347" s="101">
        <f t="shared" si="61"/>
        <v>9.7286734832275901</v>
      </c>
      <c r="G347" s="96">
        <f t="shared" si="59"/>
        <v>1.2264113548052027</v>
      </c>
    </row>
    <row r="348" spans="1:7">
      <c r="A348" s="97">
        <f>2022</f>
        <v>2022</v>
      </c>
      <c r="B348" s="98" t="s">
        <v>56</v>
      </c>
      <c r="C348" s="99">
        <f t="shared" si="56"/>
        <v>614.6590731348565</v>
      </c>
      <c r="D348" s="100">
        <v>0.74101116992126848</v>
      </c>
      <c r="E348" s="100">
        <f t="shared" ref="E348:E357" si="62">100*(C348/C$347-1)</f>
        <v>0.74101116992126848</v>
      </c>
      <c r="F348" s="101">
        <f t="shared" si="61"/>
        <v>9.5962933140008921</v>
      </c>
      <c r="G348" s="96">
        <f t="shared" si="59"/>
        <v>1.217390356283597</v>
      </c>
    </row>
    <row r="349" spans="1:7">
      <c r="A349" s="97">
        <f>2022</f>
        <v>2022</v>
      </c>
      <c r="B349" s="98" t="s">
        <v>57</v>
      </c>
      <c r="C349" s="99">
        <f t="shared" si="56"/>
        <v>620.194084967442</v>
      </c>
      <c r="D349" s="100">
        <v>0.90050111915798148</v>
      </c>
      <c r="E349" s="100">
        <f t="shared" si="62"/>
        <v>1.6481851029574779</v>
      </c>
      <c r="F349" s="101">
        <f t="shared" si="61"/>
        <v>10.334741926391544</v>
      </c>
      <c r="G349" s="96">
        <f t="shared" si="59"/>
        <v>1.2065255799333696</v>
      </c>
    </row>
    <row r="350" spans="1:7">
      <c r="A350" s="97">
        <f>2022</f>
        <v>2022</v>
      </c>
      <c r="B350" s="98" t="s">
        <v>58</v>
      </c>
      <c r="C350" s="99">
        <f t="shared" si="56"/>
        <v>628.14552585173578</v>
      </c>
      <c r="D350" s="100">
        <v>1.2820891196843931</v>
      </c>
      <c r="E350" s="100">
        <f t="shared" si="62"/>
        <v>2.951405424519149</v>
      </c>
      <c r="F350" s="101">
        <f t="shared" si="61"/>
        <v>10.962926839611132</v>
      </c>
      <c r="G350" s="96">
        <f t="shared" si="59"/>
        <v>1.1912526592017922</v>
      </c>
    </row>
    <row r="351" spans="1:7">
      <c r="A351" s="97">
        <f>2022</f>
        <v>2022</v>
      </c>
      <c r="B351" s="98" t="s">
        <v>59</v>
      </c>
      <c r="C351" s="99">
        <f t="shared" si="56"/>
        <v>638.29194730392294</v>
      </c>
      <c r="D351" s="100">
        <v>1.6152978942943319</v>
      </c>
      <c r="E351" s="100">
        <f t="shared" si="62"/>
        <v>4.6143773084878381</v>
      </c>
      <c r="F351" s="101">
        <f t="shared" si="61"/>
        <v>12.26304381594867</v>
      </c>
      <c r="G351" s="96">
        <f t="shared" si="59"/>
        <v>1.1723162593500409</v>
      </c>
    </row>
    <row r="352" spans="1:7">
      <c r="A352" s="97">
        <f>2022</f>
        <v>2022</v>
      </c>
      <c r="B352" s="98" t="s">
        <v>60</v>
      </c>
      <c r="C352" s="99">
        <f t="shared" si="56"/>
        <v>640.98303648957676</v>
      </c>
      <c r="D352" s="100">
        <v>0.42160788601841581</v>
      </c>
      <c r="E352" s="100">
        <f t="shared" si="62"/>
        <v>5.0554397731294776</v>
      </c>
      <c r="F352" s="101">
        <f t="shared" si="61"/>
        <v>12.275002868883679</v>
      </c>
      <c r="G352" s="96">
        <f t="shared" si="59"/>
        <v>1.1673944323622618</v>
      </c>
    </row>
    <row r="353" spans="1:7">
      <c r="A353" s="97">
        <f>2022</f>
        <v>2022</v>
      </c>
      <c r="B353" s="98" t="s">
        <v>61</v>
      </c>
      <c r="C353" s="99">
        <f t="shared" si="56"/>
        <v>642.77262830186874</v>
      </c>
      <c r="D353" s="100">
        <v>0.27919487886807204</v>
      </c>
      <c r="E353" s="100">
        <f t="shared" si="62"/>
        <v>5.3487491809483867</v>
      </c>
      <c r="F353" s="101">
        <f t="shared" si="61"/>
        <v>11.688607597576661</v>
      </c>
      <c r="G353" s="96">
        <f t="shared" si="59"/>
        <v>1.1641442013693988</v>
      </c>
    </row>
    <row r="354" spans="1:7">
      <c r="A354" s="97">
        <f>2022</f>
        <v>2022</v>
      </c>
      <c r="B354" s="98" t="s">
        <v>62</v>
      </c>
      <c r="C354" s="99">
        <f t="shared" si="56"/>
        <v>643.79785276397433</v>
      </c>
      <c r="D354" s="100">
        <v>0.15950032981555395</v>
      </c>
      <c r="E354" s="100">
        <f t="shared" si="62"/>
        <v>5.5167807833485627</v>
      </c>
      <c r="F354" s="101">
        <f t="shared" si="61"/>
        <v>10.732403602854678</v>
      </c>
      <c r="G354" s="96">
        <f t="shared" si="59"/>
        <v>1.1622903444366082</v>
      </c>
    </row>
    <row r="355" spans="1:7">
      <c r="A355" s="97">
        <f>2022</f>
        <v>2022</v>
      </c>
      <c r="B355" s="98" t="s">
        <v>63</v>
      </c>
      <c r="C355" s="99">
        <f t="shared" si="56"/>
        <v>644.55501853745136</v>
      </c>
      <c r="D355" s="100">
        <v>0.11760924181811738</v>
      </c>
      <c r="E355" s="100">
        <f t="shared" si="62"/>
        <v>5.6408782692187298</v>
      </c>
      <c r="F355" s="101">
        <f t="shared" si="61"/>
        <v>9.2930685368425756</v>
      </c>
      <c r="G355" s="96">
        <f t="shared" si="59"/>
        <v>1.1609249893585465</v>
      </c>
    </row>
    <row r="356" spans="1:7">
      <c r="A356" s="97">
        <f>2022</f>
        <v>2022</v>
      </c>
      <c r="B356" s="98" t="s">
        <v>64</v>
      </c>
      <c r="C356" s="99">
        <f t="shared" si="56"/>
        <v>645.31168420143456</v>
      </c>
      <c r="D356" s="100">
        <v>0.11739349508133046</v>
      </c>
      <c r="E356" s="100">
        <f t="shared" si="62"/>
        <v>5.7648937884535734</v>
      </c>
      <c r="F356" s="101">
        <f t="shared" si="61"/>
        <v>8.2023745573888149</v>
      </c>
      <c r="G356" s="96">
        <f t="shared" si="59"/>
        <v>1.1595637369600333</v>
      </c>
    </row>
    <row r="357" spans="1:7">
      <c r="A357" s="97">
        <f>2022</f>
        <v>2022</v>
      </c>
      <c r="B357" s="98" t="s">
        <v>65</v>
      </c>
      <c r="C357" s="99">
        <f t="shared" si="56"/>
        <v>648.23172351330891</v>
      </c>
      <c r="D357" s="100">
        <v>0.45250061069137537</v>
      </c>
      <c r="E357" s="100">
        <f t="shared" si="62"/>
        <v>6.2434805787434211</v>
      </c>
      <c r="F357" s="101">
        <f t="shared" si="61"/>
        <v>7.6206267534707717</v>
      </c>
      <c r="G357" s="96">
        <f t="shared" si="59"/>
        <v>1.1543403398726526</v>
      </c>
    </row>
    <row r="358" spans="1:7">
      <c r="A358" s="97">
        <f>2022</f>
        <v>2022</v>
      </c>
      <c r="B358" s="98" t="s">
        <v>66</v>
      </c>
      <c r="C358" s="99">
        <f t="shared" si="56"/>
        <v>651.29789481924536</v>
      </c>
      <c r="D358" s="100">
        <v>0.47300543844388532</v>
      </c>
      <c r="E358" s="100">
        <f>100*(C358/C$347-1)</f>
        <v>6.7460180198729569</v>
      </c>
      <c r="F358" s="101">
        <f t="shared" si="61"/>
        <v>7.3574584344618277</v>
      </c>
      <c r="G358" s="96">
        <f t="shared" si="59"/>
        <v>1.148905952235971</v>
      </c>
    </row>
    <row r="359" spans="1:7">
      <c r="A359" s="97">
        <f>2022</f>
        <v>2022</v>
      </c>
      <c r="B359" s="98" t="s">
        <v>55</v>
      </c>
      <c r="C359" s="99">
        <f t="shared" si="56"/>
        <v>654.78615853787289</v>
      </c>
      <c r="D359" s="100">
        <v>0.53558651830061255</v>
      </c>
      <c r="E359" s="100">
        <f>100*(C359/C$347-1)</f>
        <v>7.3177353012101154</v>
      </c>
      <c r="F359" s="101">
        <f t="shared" si="61"/>
        <v>7.3177353012101154</v>
      </c>
      <c r="G359" s="96">
        <f t="shared" si="59"/>
        <v>1.1427853479790804</v>
      </c>
    </row>
    <row r="360" spans="1:7">
      <c r="A360" s="97">
        <f>2023</f>
        <v>2023</v>
      </c>
      <c r="B360" s="98" t="s">
        <v>56</v>
      </c>
      <c r="C360" s="99">
        <f t="shared" si="56"/>
        <v>658.88515597021933</v>
      </c>
      <c r="D360" s="100">
        <v>0.6260055101805273</v>
      </c>
      <c r="E360" s="100">
        <f t="shared" ref="E360:E371" si="63">100*(C360/C$359-1)</f>
        <v>0.6260055101805273</v>
      </c>
      <c r="F360" s="101">
        <f t="shared" si="61"/>
        <v>7.1952216713897954</v>
      </c>
      <c r="G360" s="96">
        <f t="shared" si="59"/>
        <v>1.1356759539296855</v>
      </c>
    </row>
    <row r="361" spans="1:7">
      <c r="A361" s="97">
        <f>2023</f>
        <v>2023</v>
      </c>
      <c r="B361" s="98" t="s">
        <v>57</v>
      </c>
      <c r="C361" s="99">
        <f t="shared" si="56"/>
        <v>661.72367743461882</v>
      </c>
      <c r="D361" s="100">
        <v>0.43080671019515293</v>
      </c>
      <c r="E361" s="100">
        <f t="shared" si="63"/>
        <v>1.0595090941197149</v>
      </c>
      <c r="F361" s="101">
        <f t="shared" si="61"/>
        <v>6.6962251775356751</v>
      </c>
      <c r="G361" s="96">
        <f t="shared" si="59"/>
        <v>1.1308043728124293</v>
      </c>
    </row>
    <row r="362" spans="1:7">
      <c r="A362" s="97">
        <f>2023</f>
        <v>2023</v>
      </c>
      <c r="B362" s="98" t="s">
        <v>58</v>
      </c>
      <c r="C362" s="99">
        <f t="shared" si="56"/>
        <v>664.28053723216078</v>
      </c>
      <c r="D362" s="100">
        <v>0.38639388081962434</v>
      </c>
      <c r="E362" s="100">
        <f t="shared" si="63"/>
        <v>1.4499968532457608</v>
      </c>
      <c r="F362" s="101">
        <f t="shared" si="61"/>
        <v>5.7526496477751099</v>
      </c>
      <c r="G362" s="96">
        <f t="shared" si="59"/>
        <v>1.1264518318637273</v>
      </c>
    </row>
    <row r="363" spans="1:7">
      <c r="A363" s="97">
        <f>2023</f>
        <v>2023</v>
      </c>
      <c r="B363" s="98" t="s">
        <v>59</v>
      </c>
      <c r="C363" s="99">
        <f t="shared" si="56"/>
        <v>667.14556449972702</v>
      </c>
      <c r="D363" s="100">
        <v>0.43129778865775847</v>
      </c>
      <c r="E363" s="100">
        <f t="shared" si="63"/>
        <v>1.8875484462671732</v>
      </c>
      <c r="F363" s="101">
        <f t="shared" si="61"/>
        <v>4.5204419886039071</v>
      </c>
      <c r="G363" s="96">
        <f t="shared" si="59"/>
        <v>1.1216143340437281</v>
      </c>
    </row>
    <row r="364" spans="1:7">
      <c r="A364" s="97">
        <f>2023</f>
        <v>2023</v>
      </c>
      <c r="B364" s="98" t="s">
        <v>60</v>
      </c>
      <c r="C364" s="99">
        <f t="shared" si="56"/>
        <v>668.48325737350262</v>
      </c>
      <c r="D364" s="100">
        <v>0.20050989543469733</v>
      </c>
      <c r="E364" s="100">
        <f t="shared" si="63"/>
        <v>2.0918430631177598</v>
      </c>
      <c r="F364" s="101">
        <f t="shared" si="61"/>
        <v>4.2903196057315629</v>
      </c>
      <c r="G364" s="96">
        <f t="shared" si="59"/>
        <v>1.1193698866544699</v>
      </c>
    </row>
    <row r="365" spans="1:7">
      <c r="A365" s="97">
        <f>2023</f>
        <v>2023</v>
      </c>
      <c r="B365" s="98" t="s">
        <v>61</v>
      </c>
      <c r="C365" s="99">
        <f t="shared" ref="C365:C383" si="64">+C364*(1+D365/100)</f>
        <v>668.25260687500349</v>
      </c>
      <c r="D365" s="100">
        <v>-3.4503556514686728E-2</v>
      </c>
      <c r="E365" s="100">
        <f t="shared" si="63"/>
        <v>2.0566177463495761</v>
      </c>
      <c r="F365" s="101">
        <f t="shared" si="61"/>
        <v>3.9640733676618911</v>
      </c>
      <c r="G365" s="96">
        <f t="shared" si="59"/>
        <v>1.119756242382387</v>
      </c>
    </row>
    <row r="366" spans="1:7">
      <c r="A366" s="97">
        <f>2023</f>
        <v>2023</v>
      </c>
      <c r="B366" s="98" t="s">
        <v>62</v>
      </c>
      <c r="C366" s="99">
        <f t="shared" si="64"/>
        <v>667.33640628252658</v>
      </c>
      <c r="D366" s="100">
        <v>-0.1371039309163935</v>
      </c>
      <c r="E366" s="100">
        <f t="shared" si="63"/>
        <v>1.916694111659023</v>
      </c>
      <c r="F366" s="101">
        <f t="shared" si="61"/>
        <v>3.6562025513902752</v>
      </c>
      <c r="G366" s="96">
        <f t="shared" si="59"/>
        <v>1.121293579957622</v>
      </c>
    </row>
    <row r="367" spans="1:7">
      <c r="A367" s="97">
        <f>2023</f>
        <v>2023</v>
      </c>
      <c r="B367" s="98" t="s">
        <v>63</v>
      </c>
      <c r="C367" s="99">
        <f t="shared" si="64"/>
        <v>666.00971581761246</v>
      </c>
      <c r="D367" s="100">
        <v>-0.19880384951640462</v>
      </c>
      <c r="E367" s="100">
        <f t="shared" si="63"/>
        <v>1.7140798004651847</v>
      </c>
      <c r="F367" s="101">
        <f t="shared" si="61"/>
        <v>3.3286060403103557</v>
      </c>
      <c r="G367" s="96">
        <f t="shared" si="59"/>
        <v>1.123527195272187</v>
      </c>
    </row>
    <row r="368" spans="1:7">
      <c r="A368" s="97">
        <f>2023</f>
        <v>2023</v>
      </c>
      <c r="B368" s="98" t="s">
        <v>64</v>
      </c>
      <c r="C368" s="99">
        <f t="shared" si="64"/>
        <v>667.94383927358683</v>
      </c>
      <c r="D368" s="100">
        <v>0.29040469080845455</v>
      </c>
      <c r="E368" s="100">
        <f t="shared" si="63"/>
        <v>2.009462259418382</v>
      </c>
      <c r="F368" s="101">
        <f t="shared" si="61"/>
        <v>3.5071664788092649</v>
      </c>
      <c r="G368" s="96">
        <f t="shared" si="59"/>
        <v>1.1202738674113233</v>
      </c>
    </row>
    <row r="369" spans="1:7">
      <c r="A369" s="97">
        <f>2023</f>
        <v>2023</v>
      </c>
      <c r="B369" s="98" t="s">
        <v>65</v>
      </c>
      <c r="C369" s="99">
        <f t="shared" si="64"/>
        <v>669.93567536513524</v>
      </c>
      <c r="D369" s="100">
        <v>0.29820412651977435</v>
      </c>
      <c r="E369" s="100">
        <f t="shared" si="63"/>
        <v>2.3136586853165886</v>
      </c>
      <c r="F369" s="101">
        <f t="shared" si="61"/>
        <v>3.3481779839768633</v>
      </c>
      <c r="G369" s="96">
        <f t="shared" si="59"/>
        <v>1.1169430970051761</v>
      </c>
    </row>
    <row r="370" spans="1:7">
      <c r="A370" s="97">
        <f>2023</f>
        <v>2023</v>
      </c>
      <c r="B370" s="98" t="s">
        <v>66</v>
      </c>
      <c r="C370" s="99">
        <f t="shared" si="64"/>
        <v>672.84181163308438</v>
      </c>
      <c r="D370" s="100">
        <v>0.43379332894388778</v>
      </c>
      <c r="E370" s="100">
        <f t="shared" si="63"/>
        <v>2.7574885112919167</v>
      </c>
      <c r="F370" s="101">
        <f t="shared" si="61"/>
        <v>3.3078437663026872</v>
      </c>
      <c r="G370" s="96">
        <f t="shared" si="59"/>
        <v>1.1121187998415327</v>
      </c>
    </row>
    <row r="371" spans="1:7">
      <c r="A371" s="97">
        <f>2023</f>
        <v>2023</v>
      </c>
      <c r="B371" s="98" t="s">
        <v>55</v>
      </c>
      <c r="C371" s="99">
        <f t="shared" si="64"/>
        <v>675.41547510961516</v>
      </c>
      <c r="D371" s="100">
        <v>0.38250647210584798</v>
      </c>
      <c r="E371" s="100">
        <f t="shared" si="63"/>
        <v>3.1505425554210209</v>
      </c>
      <c r="F371" s="101">
        <f t="shared" si="61"/>
        <v>3.1505425554210209</v>
      </c>
      <c r="G371" s="96">
        <f t="shared" si="59"/>
        <v>1.1078810829958372</v>
      </c>
    </row>
    <row r="372" spans="1:7">
      <c r="A372" s="97">
        <f>2024</f>
        <v>2024</v>
      </c>
      <c r="B372" s="98" t="s">
        <v>56</v>
      </c>
      <c r="C372" s="99">
        <f t="shared" si="64"/>
        <v>678.49194867112192</v>
      </c>
      <c r="D372" s="100">
        <v>0.45549349620801483</v>
      </c>
      <c r="E372" s="100">
        <f>100*(C372/C$371-1)</f>
        <v>0.45549349620801483</v>
      </c>
      <c r="F372" s="101">
        <f t="shared" si="61"/>
        <v>2.9757526821242886</v>
      </c>
      <c r="G372" s="96">
        <f t="shared" si="59"/>
        <v>1.1028576381814872</v>
      </c>
    </row>
    <row r="373" spans="1:7">
      <c r="A373" s="97">
        <f>2024</f>
        <v>2024</v>
      </c>
      <c r="B373" s="98" t="s">
        <v>57</v>
      </c>
      <c r="C373" s="99">
        <f t="shared" si="64"/>
        <v>681.59882888984635</v>
      </c>
      <c r="D373" s="100">
        <v>0.45790966640200104</v>
      </c>
      <c r="E373" s="100">
        <f>100*(C373/C$371-1)</f>
        <v>0.91548891135899702</v>
      </c>
      <c r="F373" s="101">
        <f t="shared" si="61"/>
        <v>3.003542435156592</v>
      </c>
      <c r="G373" s="96">
        <f t="shared" si="59"/>
        <v>1.0978305658995176</v>
      </c>
    </row>
    <row r="374" spans="1:7">
      <c r="A374" s="97">
        <f>2024</f>
        <v>2024</v>
      </c>
      <c r="B374" s="98" t="s">
        <v>58</v>
      </c>
      <c r="C374" s="99">
        <f t="shared" si="64"/>
        <v>683.37231717644102</v>
      </c>
      <c r="D374" s="100">
        <v>0.2601953247899802</v>
      </c>
      <c r="E374" s="100">
        <f>100*(C374/C$371-1)</f>
        <v>1.1780662954953058</v>
      </c>
      <c r="F374" s="101">
        <f t="shared" si="61"/>
        <v>2.8740537881524197</v>
      </c>
      <c r="G374" s="96">
        <f t="shared" si="59"/>
        <v>1.0949814752934874</v>
      </c>
    </row>
    <row r="375" spans="1:7">
      <c r="A375" s="97">
        <f>2024</f>
        <v>2024</v>
      </c>
      <c r="B375" s="98" t="s">
        <v>59</v>
      </c>
      <c r="C375" s="99">
        <f t="shared" si="64"/>
        <v>685.63081165003564</v>
      </c>
      <c r="D375" s="100">
        <v>0.33049253193724315</v>
      </c>
      <c r="E375" s="100">
        <f>100*(C375/C$371-1)</f>
        <v>1.5124522485604253</v>
      </c>
      <c r="F375" s="101">
        <f t="shared" si="61"/>
        <v>2.7707966797576145</v>
      </c>
      <c r="G375" s="96">
        <f t="shared" si="59"/>
        <v>1.0913745638644528</v>
      </c>
    </row>
    <row r="376" spans="1:7">
      <c r="A376" s="91">
        <f>2024</f>
        <v>2024</v>
      </c>
      <c r="B376" s="92" t="s">
        <v>60</v>
      </c>
      <c r="C376" s="93">
        <f t="shared" si="64"/>
        <v>686.2712518676808</v>
      </c>
      <c r="D376" s="94">
        <v>9.3408902686831219E-2</v>
      </c>
      <c r="E376" s="94">
        <f>100*(C376/C$371-1)</f>
        <v>1.6072739162963146</v>
      </c>
      <c r="F376" s="95">
        <f t="shared" si="61"/>
        <v>2.6609483929437294</v>
      </c>
      <c r="G376" s="96">
        <f t="shared" si="59"/>
        <v>1.0903560742201444</v>
      </c>
    </row>
    <row r="377" spans="1:7">
      <c r="A377" s="91">
        <f>2024</f>
        <v>2024</v>
      </c>
      <c r="B377" s="92" t="s">
        <v>61</v>
      </c>
      <c r="C377" s="93">
        <f t="shared" si="64"/>
        <v>688.06994567275842</v>
      </c>
      <c r="D377" s="94">
        <v>0.26209662727127991</v>
      </c>
      <c r="E377" s="94">
        <f t="shared" ref="E377:E383" si="65">100*(C377/C$371-1)</f>
        <v>1.8735831542932235</v>
      </c>
      <c r="F377" s="95">
        <f t="shared" si="61"/>
        <v>2.9655460515789267</v>
      </c>
      <c r="G377" s="96">
        <f t="shared" si="59"/>
        <v>1.0875057583062429</v>
      </c>
    </row>
    <row r="378" spans="1:7">
      <c r="A378" s="97">
        <f>2024</f>
        <v>2024</v>
      </c>
      <c r="B378" s="98" t="s">
        <v>62</v>
      </c>
      <c r="C378" s="99">
        <f t="shared" si="64"/>
        <v>688.46423199759943</v>
      </c>
      <c r="D378" s="100">
        <v>5.730323309725005E-2</v>
      </c>
      <c r="E378" s="100">
        <f t="shared" si="65"/>
        <v>1.9319600111126434</v>
      </c>
      <c r="F378" s="101">
        <f t="shared" si="61"/>
        <v>3.1659932705856431</v>
      </c>
      <c r="G378" s="96">
        <f t="shared" si="59"/>
        <v>1.0868829392420747</v>
      </c>
    </row>
    <row r="379" spans="1:7">
      <c r="A379" s="97">
        <f>2024</f>
        <v>2024</v>
      </c>
      <c r="B379" s="98" t="s">
        <v>63</v>
      </c>
      <c r="C379" s="99">
        <f t="shared" si="64"/>
        <v>689.73030919187579</v>
      </c>
      <c r="D379" s="100">
        <v>0.18389876124760285</v>
      </c>
      <c r="E379" s="100">
        <f t="shared" si="65"/>
        <v>2.1194116228884896</v>
      </c>
      <c r="F379" s="101">
        <f t="shared" si="61"/>
        <v>3.5615986990735093</v>
      </c>
      <c r="G379" s="96">
        <f t="shared" si="59"/>
        <v>1.0848878439361502</v>
      </c>
    </row>
    <row r="380" spans="1:7">
      <c r="A380" s="97">
        <f>2024</f>
        <v>2024</v>
      </c>
      <c r="B380" s="98" t="s">
        <v>64</v>
      </c>
      <c r="C380" s="99">
        <f t="shared" si="64"/>
        <v>690.96978056108685</v>
      </c>
      <c r="D380" s="100">
        <v>0.17970377011027328</v>
      </c>
      <c r="E380" s="100">
        <f t="shared" si="65"/>
        <v>2.3029240555892505</v>
      </c>
      <c r="F380" s="101">
        <f t="shared" si="61"/>
        <v>3.4472870222953977</v>
      </c>
      <c r="G380" s="96">
        <f t="shared" si="59"/>
        <v>1.0829417567711341</v>
      </c>
    </row>
    <row r="381" spans="1:7">
      <c r="A381" s="97">
        <f>2024</f>
        <v>2024</v>
      </c>
      <c r="B381" s="98" t="s">
        <v>65</v>
      </c>
      <c r="C381" s="99">
        <f t="shared" si="64"/>
        <v>696.51549473683792</v>
      </c>
      <c r="D381" s="100">
        <v>0.80259865652123619</v>
      </c>
      <c r="E381" s="100">
        <f t="shared" si="65"/>
        <v>3.1240059496413508</v>
      </c>
      <c r="F381" s="101">
        <f t="shared" si="61"/>
        <v>3.9675181288436168</v>
      </c>
      <c r="G381" s="96">
        <f t="shared" si="59"/>
        <v>1.0743192846259773</v>
      </c>
    </row>
    <row r="382" spans="1:7">
      <c r="A382" s="97">
        <f>2024</f>
        <v>2024</v>
      </c>
      <c r="B382" s="98" t="s">
        <v>66</v>
      </c>
      <c r="C382" s="99">
        <f t="shared" si="64"/>
        <v>704.68838410494629</v>
      </c>
      <c r="D382" s="100">
        <v>1.1733966336522572</v>
      </c>
      <c r="E382" s="100">
        <f t="shared" si="65"/>
        <v>4.3340595639417945</v>
      </c>
      <c r="F382" s="101">
        <f t="shared" si="61"/>
        <v>4.7331440943846337</v>
      </c>
      <c r="G382" s="96">
        <f t="shared" si="59"/>
        <v>1.0618594614511911</v>
      </c>
    </row>
    <row r="383" spans="1:7">
      <c r="A383" s="97">
        <f>2024</f>
        <v>2024</v>
      </c>
      <c r="B383" s="98" t="s">
        <v>55</v>
      </c>
      <c r="C383" s="99">
        <f t="shared" si="64"/>
        <v>707.05680264525847</v>
      </c>
      <c r="D383" s="100">
        <v>0.33609444879958428</v>
      </c>
      <c r="E383" s="100">
        <f t="shared" si="65"/>
        <v>4.6847205463434349</v>
      </c>
      <c r="F383" s="101">
        <f t="shared" si="61"/>
        <v>4.6847205463434349</v>
      </c>
      <c r="G383" s="96">
        <f t="shared" si="59"/>
        <v>1.0583025652777891</v>
      </c>
    </row>
    <row r="384" spans="1:7">
      <c r="A384" s="97">
        <f>2025</f>
        <v>2025</v>
      </c>
      <c r="B384" s="98" t="s">
        <v>56</v>
      </c>
      <c r="C384" s="99">
        <f t="shared" ref="C384:C389" si="66">+C383*(1+D384/100)</f>
        <v>708.77427866855749</v>
      </c>
      <c r="D384" s="100">
        <v>0.24290495712275817</v>
      </c>
      <c r="E384" s="100">
        <f t="shared" ref="E384:E389" si="67">100*(C384/C$383-1)</f>
        <v>0.24290495712275817</v>
      </c>
      <c r="F384" s="101">
        <f t="shared" ref="F384:F389" si="68">100*(C384/C372-1)</f>
        <v>4.4631819223125424</v>
      </c>
      <c r="G384" s="96">
        <f t="shared" si="59"/>
        <v>1.0557381250378373</v>
      </c>
    </row>
    <row r="385" spans="1:7">
      <c r="A385" s="97">
        <f>2025</f>
        <v>2025</v>
      </c>
      <c r="B385" s="98" t="s">
        <v>57</v>
      </c>
      <c r="C385" s="99">
        <f t="shared" si="66"/>
        <v>712.37626728605471</v>
      </c>
      <c r="D385" s="100">
        <v>0.50819968019488737</v>
      </c>
      <c r="E385" s="100">
        <f t="shared" si="67"/>
        <v>0.75233907953291546</v>
      </c>
      <c r="F385" s="101">
        <f t="shared" si="68"/>
        <v>4.5154770066634597</v>
      </c>
      <c r="G385" s="96">
        <f t="shared" si="59"/>
        <v>1.0503999956193326</v>
      </c>
    </row>
    <row r="386" spans="1:7">
      <c r="A386" s="97">
        <f>2025</f>
        <v>2025</v>
      </c>
      <c r="B386" s="98" t="s">
        <v>58</v>
      </c>
      <c r="C386" s="99">
        <f t="shared" si="66"/>
        <v>716.76872896931025</v>
      </c>
      <c r="D386" s="100">
        <v>0.61659292777811459</v>
      </c>
      <c r="E386" s="100">
        <f t="shared" si="67"/>
        <v>1.3735708768683574</v>
      </c>
      <c r="F386" s="101">
        <f t="shared" si="68"/>
        <v>4.8870009734746978</v>
      </c>
      <c r="G386" s="96">
        <f t="shared" si="59"/>
        <v>1.0439629936319772</v>
      </c>
    </row>
    <row r="387" spans="1:7">
      <c r="A387" s="97">
        <f>2025</f>
        <v>2025</v>
      </c>
      <c r="B387" s="98" t="s">
        <v>59</v>
      </c>
      <c r="C387" s="99">
        <f t="shared" si="66"/>
        <v>719.99713579500622</v>
      </c>
      <c r="D387" s="100">
        <v>0.45041122683160406</v>
      </c>
      <c r="E387" s="100">
        <f t="shared" si="67"/>
        <v>1.8301688211378453</v>
      </c>
      <c r="F387" s="101">
        <f t="shared" si="68"/>
        <v>5.0123657748496919</v>
      </c>
      <c r="G387" s="96">
        <f t="shared" si="59"/>
        <v>1.0392819510460314</v>
      </c>
    </row>
    <row r="388" spans="1:7">
      <c r="A388" s="97">
        <f>2025</f>
        <v>2025</v>
      </c>
      <c r="B388" s="98" t="s">
        <v>60</v>
      </c>
      <c r="C388" s="99">
        <f t="shared" si="66"/>
        <v>721.92665824363826</v>
      </c>
      <c r="D388" s="100">
        <v>0.26799029505881755</v>
      </c>
      <c r="E388" s="100">
        <f t="shared" si="67"/>
        <v>2.1030637910205208</v>
      </c>
      <c r="F388" s="101">
        <f t="shared" si="68"/>
        <v>5.1955267365377145</v>
      </c>
      <c r="G388" s="96">
        <f t="shared" ref="G388:G398" si="69">C$400/C388</f>
        <v>1.0365042203276782</v>
      </c>
    </row>
    <row r="389" spans="1:7">
      <c r="A389" s="97">
        <f>2025</f>
        <v>2025</v>
      </c>
      <c r="B389" s="98" t="s">
        <v>61</v>
      </c>
      <c r="C389" s="99">
        <f t="shared" si="66"/>
        <v>721.35563322372013</v>
      </c>
      <c r="D389" s="100">
        <v>-7.9097372759073803E-2</v>
      </c>
      <c r="E389" s="100">
        <f t="shared" si="67"/>
        <v>2.0223029500552991</v>
      </c>
      <c r="F389" s="101">
        <f t="shared" si="68"/>
        <v>4.8375441712421807</v>
      </c>
      <c r="G389" s="96">
        <f t="shared" si="69"/>
        <v>1.0373247169257469</v>
      </c>
    </row>
    <row r="390" spans="1:7">
      <c r="A390" s="97">
        <f>2025</f>
        <v>2025</v>
      </c>
      <c r="B390" s="98" t="s">
        <v>62</v>
      </c>
      <c r="C390" s="99">
        <f t="shared" ref="C390" si="70">+C389*(1+D390/100)</f>
        <v>723.39858050552562</v>
      </c>
      <c r="D390" s="100">
        <v>0.28320944451152297</v>
      </c>
      <c r="E390" s="100">
        <f t="shared" ref="E390" si="71">100*(C390/C$383-1)</f>
        <v>2.3112397475180124</v>
      </c>
      <c r="F390" s="101">
        <f t="shared" ref="F390" si="72">100*(C390/C378-1)</f>
        <v>5.0742430593036181</v>
      </c>
      <c r="G390" s="96">
        <f t="shared" si="69"/>
        <v>1.0343952119918112</v>
      </c>
    </row>
    <row r="391" spans="1:7">
      <c r="A391" s="97">
        <f>2025</f>
        <v>2025</v>
      </c>
      <c r="B391" s="98" t="s">
        <v>63</v>
      </c>
      <c r="C391" s="99">
        <f t="shared" ref="C391" si="73">+C390*(1+D391/100)</f>
        <v>723.67054004820523</v>
      </c>
      <c r="D391" s="100">
        <v>3.7594702285637105E-2</v>
      </c>
      <c r="E391" s="100">
        <f t="shared" ref="E391" si="74">100*(C391/C$383-1)</f>
        <v>2.3497033535058387</v>
      </c>
      <c r="F391" s="101">
        <f t="shared" ref="F391" si="75">100*(C391/C379-1)</f>
        <v>4.9207973615217115</v>
      </c>
      <c r="G391" s="96">
        <f t="shared" si="69"/>
        <v>1.0340064803339153</v>
      </c>
    </row>
    <row r="392" spans="1:7">
      <c r="A392" s="91">
        <f>2025</f>
        <v>2025</v>
      </c>
      <c r="B392" s="92" t="s">
        <v>64</v>
      </c>
      <c r="C392" s="93">
        <f t="shared" ref="C392" si="76">+C391*(1+D392/100)</f>
        <v>728.38087132566272</v>
      </c>
      <c r="D392" s="94">
        <v>0.65089443562864613</v>
      </c>
      <c r="E392" s="94">
        <f t="shared" ref="E392" si="77">100*(C392/C$383-1)</f>
        <v>3.0158918775162302</v>
      </c>
      <c r="F392" s="95">
        <f t="shared" ref="F392" si="78">100*(C392/C380-1)</f>
        <v>5.4142875444128657</v>
      </c>
      <c r="G392" s="96">
        <f t="shared" si="69"/>
        <v>1.0273197134827401</v>
      </c>
    </row>
    <row r="393" spans="1:7">
      <c r="A393" s="91">
        <f>2025</f>
        <v>2025</v>
      </c>
      <c r="B393" s="92" t="s">
        <v>65</v>
      </c>
      <c r="C393" s="93">
        <f t="shared" ref="C393:C394" si="79">+C392*(1+D393/100)</f>
        <v>730.3810092348067</v>
      </c>
      <c r="D393" s="94">
        <v>0.27460055417212192</v>
      </c>
      <c r="E393" s="94">
        <f t="shared" ref="E393:E394" si="80">100*(C393/C$383-1)</f>
        <v>3.298774087497236</v>
      </c>
      <c r="F393" s="95">
        <f t="shared" ref="F393:F394" si="81">100*(C393/C381-1)</f>
        <v>4.8621336860228848</v>
      </c>
      <c r="G393" s="96">
        <f t="shared" si="69"/>
        <v>1.0245064131945789</v>
      </c>
    </row>
    <row r="394" spans="1:7">
      <c r="A394" s="97">
        <f>2025</f>
        <v>2025</v>
      </c>
      <c r="B394" s="98" t="s">
        <v>66</v>
      </c>
      <c r="C394" s="99">
        <f t="shared" si="79"/>
        <v>731.84322937251613</v>
      </c>
      <c r="D394" s="100">
        <v>0.2001996381643778</v>
      </c>
      <c r="E394" s="100">
        <f t="shared" si="80"/>
        <v>3.5055778594486497</v>
      </c>
      <c r="F394" s="101">
        <f t="shared" si="81"/>
        <v>3.8534543608321759</v>
      </c>
      <c r="G394" s="96">
        <f t="shared" si="69"/>
        <v>1.0224594530691569</v>
      </c>
    </row>
    <row r="395" spans="1:7">
      <c r="A395" s="97">
        <f>2025</f>
        <v>2025</v>
      </c>
      <c r="B395" s="98" t="s">
        <v>55</v>
      </c>
      <c r="C395" s="99">
        <f t="shared" ref="C395" si="82">+C394*(1+D395/100)</f>
        <v>734.16833843067297</v>
      </c>
      <c r="D395" s="100">
        <v>0.31770589175914576</v>
      </c>
      <c r="E395" s="100">
        <f t="shared" ref="E395" si="83">100*(C395/C$383-1)</f>
        <v>3.8344211786074611</v>
      </c>
      <c r="F395" s="101">
        <f t="shared" ref="F395" si="84">100*(C395/C383-1)</f>
        <v>3.8344211786074611</v>
      </c>
      <c r="G395" s="96">
        <f t="shared" si="69"/>
        <v>1.0192213268636454</v>
      </c>
    </row>
    <row r="396" spans="1:7">
      <c r="A396" s="97">
        <f>2026</f>
        <v>2026</v>
      </c>
      <c r="B396" s="98" t="s">
        <v>56</v>
      </c>
      <c r="C396" s="99">
        <f t="shared" ref="C396" si="85">+C395*(1+D396/100)</f>
        <v>735.71957805826275</v>
      </c>
      <c r="D396" s="100">
        <v>0.21129209016363948</v>
      </c>
      <c r="E396" s="100">
        <f>100*(C396/C$395-1)</f>
        <v>0.21129209016363948</v>
      </c>
      <c r="F396" s="101">
        <f t="shared" ref="F396" si="86">100*(C396/C384-1)</f>
        <v>3.8016756816179109</v>
      </c>
      <c r="G396" s="96">
        <f t="shared" si="69"/>
        <v>1.0170723334717768</v>
      </c>
    </row>
    <row r="397" spans="1:7">
      <c r="A397" s="91">
        <f>2026</f>
        <v>2026</v>
      </c>
      <c r="B397" s="92" t="s">
        <v>57</v>
      </c>
      <c r="C397" s="93">
        <f t="shared" ref="C397" si="87">+C396*(1+D397/100)</f>
        <v>737.58248592233281</v>
      </c>
      <c r="D397" s="94">
        <v>0.25320895618772266</v>
      </c>
      <c r="E397" s="94">
        <f>100*(C397/C$395-1)</f>
        <v>0.4650360568473566</v>
      </c>
      <c r="F397" s="95">
        <f t="shared" ref="F397" si="88">100*(C397/C385-1)</f>
        <v>3.5383293624177581</v>
      </c>
      <c r="G397" s="96">
        <f t="shared" si="69"/>
        <v>1.0145035196990593</v>
      </c>
    </row>
    <row r="398" spans="1:7">
      <c r="A398" s="91">
        <f>2026</f>
        <v>2026</v>
      </c>
      <c r="B398" s="92" t="s">
        <v>58</v>
      </c>
      <c r="C398" s="93">
        <f t="shared" ref="C398:C399" si="89">+C397*(1+D398/100)</f>
        <v>741.95784386090327</v>
      </c>
      <c r="D398" s="94">
        <v>0.5932025261010887</v>
      </c>
      <c r="E398" s="94">
        <f t="shared" ref="E398:E399" si="90">100*(C398/C$395-1)</f>
        <v>1.0609971885849445</v>
      </c>
      <c r="F398" s="95">
        <f t="shared" ref="F398:F399" si="91">100*(C398/C386-1)</f>
        <v>3.5142597428621247</v>
      </c>
      <c r="G398" s="96">
        <f t="shared" si="69"/>
        <v>1.0085209479595048</v>
      </c>
    </row>
    <row r="399" spans="1:7">
      <c r="A399" s="91">
        <f>2026</f>
        <v>2026</v>
      </c>
      <c r="B399" s="92" t="s">
        <v>59</v>
      </c>
      <c r="C399" s="93">
        <f t="shared" si="89"/>
        <v>744.95009898366936</v>
      </c>
      <c r="D399" s="94">
        <v>0.40329179717211172</v>
      </c>
      <c r="E399" s="94">
        <f t="shared" si="90"/>
        <v>1.4685679003868524</v>
      </c>
      <c r="F399" s="95">
        <f t="shared" si="91"/>
        <v>3.4657031185423515</v>
      </c>
      <c r="G399" s="96">
        <f t="shared" ref="G399:G400" si="92">C$400/C399</f>
        <v>1.0044700028330247</v>
      </c>
    </row>
    <row r="400" spans="1:7" ht="16.5" thickBot="1">
      <c r="A400" s="103">
        <f>2026</f>
        <v>2026</v>
      </c>
      <c r="B400" s="104" t="s">
        <v>60</v>
      </c>
      <c r="C400" s="105">
        <f t="shared" ref="C400" si="93">+C399*(1+D400/100)</f>
        <v>748.28002803658842</v>
      </c>
      <c r="D400" s="106">
        <v>0.44700028330246777</v>
      </c>
      <c r="E400" s="106">
        <f t="shared" ref="E400" si="94">100*(C400/C$395-1)</f>
        <v>1.9221326863645416</v>
      </c>
      <c r="F400" s="107">
        <f t="shared" ref="F400" si="95">100*(C400/C388-1)</f>
        <v>3.6504220327678194</v>
      </c>
      <c r="G400" s="108">
        <f t="shared" si="92"/>
        <v>1</v>
      </c>
    </row>
    <row r="401" spans="1:7">
      <c r="A401" s="194" t="s">
        <v>130</v>
      </c>
      <c r="D401" s="161"/>
      <c r="E401" s="161"/>
      <c r="F401" s="161"/>
      <c r="G401" s="163"/>
    </row>
    <row r="402" spans="1:7" ht="15" customHeight="1">
      <c r="A402" s="740" t="s">
        <v>131</v>
      </c>
      <c r="B402" s="740"/>
      <c r="C402" s="740"/>
      <c r="D402" s="740"/>
      <c r="E402" s="740"/>
      <c r="F402" s="740"/>
      <c r="G402" s="740"/>
    </row>
    <row r="403" spans="1:7">
      <c r="A403" s="740"/>
      <c r="B403" s="740"/>
      <c r="C403" s="740"/>
      <c r="D403" s="740"/>
      <c r="E403" s="740"/>
      <c r="F403" s="740"/>
      <c r="G403" s="740"/>
    </row>
    <row r="404" spans="1:7">
      <c r="A404" s="740"/>
      <c r="B404" s="740"/>
      <c r="C404" s="740"/>
      <c r="D404" s="740"/>
      <c r="E404" s="740"/>
      <c r="F404" s="740"/>
      <c r="G404" s="740"/>
    </row>
    <row r="405" spans="1:7">
      <c r="A405" s="110"/>
      <c r="B405" s="110"/>
      <c r="C405" s="110"/>
      <c r="D405" s="110"/>
      <c r="E405" s="110"/>
      <c r="F405" s="110"/>
      <c r="G405" s="110"/>
    </row>
  </sheetData>
  <mergeCells count="7">
    <mergeCell ref="A402:G404"/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C39E9-BB2A-4066-8F3C-8534C21B812E}">
  <sheetPr>
    <tabColor rgb="FF92D050"/>
  </sheetPr>
  <dimension ref="A1:G406"/>
  <sheetViews>
    <sheetView showGridLines="0" workbookViewId="0">
      <pane ySplit="2610" topLeftCell="A389" activePane="bottomLeft"/>
      <selection pane="bottomLeft" activeCell="J396" sqref="J396"/>
      <selection activeCell="H1" sqref="H1:J1048576"/>
    </sheetView>
  </sheetViews>
  <sheetFormatPr defaultColWidth="12.42578125" defaultRowHeight="15.7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6384" width="12.42578125" style="55"/>
  </cols>
  <sheetData>
    <row r="1" spans="1:7" ht="21" customHeight="1">
      <c r="A1" s="706" t="s">
        <v>132</v>
      </c>
      <c r="B1" s="706"/>
      <c r="C1" s="706"/>
      <c r="D1" s="706"/>
      <c r="E1" s="706"/>
      <c r="F1" s="706"/>
      <c r="G1" s="706"/>
    </row>
    <row r="2" spans="1:7" ht="15.75" customHeight="1">
      <c r="A2" s="706"/>
      <c r="B2" s="706"/>
      <c r="C2" s="706"/>
      <c r="D2" s="706"/>
      <c r="E2" s="706"/>
      <c r="F2" s="706"/>
      <c r="G2" s="706"/>
    </row>
    <row r="3" spans="1:7" ht="15" customHeight="1" thickBot="1">
      <c r="A3" s="707"/>
      <c r="B3" s="707"/>
      <c r="C3" s="707"/>
      <c r="D3" s="707"/>
      <c r="E3" s="707"/>
      <c r="F3" s="707"/>
      <c r="G3" s="707"/>
    </row>
    <row r="4" spans="1:7" ht="17.25" customHeight="1" thickBot="1">
      <c r="A4" s="708" t="s">
        <v>133</v>
      </c>
      <c r="B4" s="709"/>
      <c r="C4" s="710"/>
      <c r="D4" s="711" t="s">
        <v>45</v>
      </c>
      <c r="E4" s="712"/>
      <c r="F4" s="712"/>
      <c r="G4" s="741"/>
    </row>
    <row r="5" spans="1:7" ht="15" customHeight="1" thickBot="1">
      <c r="A5" s="713" t="s">
        <v>46</v>
      </c>
      <c r="B5" s="714"/>
      <c r="C5" s="715"/>
      <c r="D5" s="716" t="s">
        <v>47</v>
      </c>
      <c r="E5" s="717"/>
      <c r="F5" s="718"/>
      <c r="G5" s="745" t="s">
        <v>96</v>
      </c>
    </row>
    <row r="6" spans="1:7" ht="15.75" customHeight="1" thickBot="1">
      <c r="A6" s="197" t="s">
        <v>49</v>
      </c>
      <c r="B6" s="198" t="s">
        <v>50</v>
      </c>
      <c r="C6" s="198" t="s">
        <v>51</v>
      </c>
      <c r="D6" s="198" t="s">
        <v>52</v>
      </c>
      <c r="E6" s="198" t="s">
        <v>53</v>
      </c>
      <c r="F6" s="198" t="s">
        <v>54</v>
      </c>
      <c r="G6" s="746"/>
    </row>
    <row r="7" spans="1:7" ht="16.5" hidden="1" thickBot="1">
      <c r="A7" s="67">
        <v>1993</v>
      </c>
      <c r="B7" s="68" t="s">
        <v>55</v>
      </c>
      <c r="C7" s="69">
        <v>9.48</v>
      </c>
      <c r="D7" s="200">
        <v>35.72</v>
      </c>
      <c r="E7" s="200"/>
      <c r="F7" s="201"/>
      <c r="G7" s="72">
        <f t="shared" ref="G7:G70" si="0">+$C$396/C7</f>
        <v>147.74050553972415</v>
      </c>
    </row>
    <row r="8" spans="1:7" ht="16.5" hidden="1" thickBot="1">
      <c r="A8" s="73">
        <v>1994</v>
      </c>
      <c r="B8" s="74" t="s">
        <v>56</v>
      </c>
      <c r="C8" s="75">
        <f>C7*(1+D8/100)</f>
        <v>13.393344000000001</v>
      </c>
      <c r="D8" s="202">
        <v>41.28</v>
      </c>
      <c r="E8" s="202">
        <f t="shared" ref="E8:E13" si="1">100*(C8/C$7-1)</f>
        <v>41.280000000000008</v>
      </c>
      <c r="F8" s="203"/>
      <c r="G8" s="78">
        <f t="shared" si="0"/>
        <v>104.57283800943102</v>
      </c>
    </row>
    <row r="9" spans="1:7" ht="16.5" hidden="1" thickBot="1">
      <c r="A9" s="73">
        <v>1994</v>
      </c>
      <c r="B9" s="74" t="s">
        <v>57</v>
      </c>
      <c r="C9" s="75">
        <v>18.204000000000001</v>
      </c>
      <c r="D9" s="202">
        <v>43.28</v>
      </c>
      <c r="E9" s="202">
        <f t="shared" si="1"/>
        <v>92.025316455696199</v>
      </c>
      <c r="F9" s="203"/>
      <c r="G9" s="78">
        <f t="shared" si="0"/>
        <v>76.938035185485873</v>
      </c>
    </row>
    <row r="10" spans="1:7" ht="16.5" hidden="1" thickBot="1">
      <c r="A10" s="73">
        <v>1994</v>
      </c>
      <c r="B10" s="74" t="s">
        <v>58</v>
      </c>
      <c r="C10" s="75">
        <v>26.364000000000001</v>
      </c>
      <c r="D10" s="202">
        <f t="shared" ref="D10:D19" si="2">100*((C10/C9)-1)</f>
        <v>44.825313117996046</v>
      </c>
      <c r="E10" s="202">
        <f t="shared" si="1"/>
        <v>178.10126582278482</v>
      </c>
      <c r="F10" s="203"/>
      <c r="G10" s="78">
        <f t="shared" si="0"/>
        <v>53.124715237315463</v>
      </c>
    </row>
    <row r="11" spans="1:7" ht="16.5" hidden="1" thickBot="1">
      <c r="A11" s="73">
        <v>1994</v>
      </c>
      <c r="B11" s="74" t="s">
        <v>59</v>
      </c>
      <c r="C11" s="75">
        <v>37.557000000000002</v>
      </c>
      <c r="D11" s="202">
        <f t="shared" si="2"/>
        <v>42.45562130177516</v>
      </c>
      <c r="E11" s="202">
        <f t="shared" si="1"/>
        <v>296.1708860759494</v>
      </c>
      <c r="F11" s="203"/>
      <c r="G11" s="78">
        <f t="shared" si="0"/>
        <v>37.292115784449898</v>
      </c>
    </row>
    <row r="12" spans="1:7" ht="16.5" hidden="1" thickBot="1">
      <c r="A12" s="73">
        <v>1994</v>
      </c>
      <c r="B12" s="74" t="s">
        <v>60</v>
      </c>
      <c r="C12" s="75">
        <v>52.938000000000002</v>
      </c>
      <c r="D12" s="202">
        <f t="shared" si="2"/>
        <v>40.953750299544687</v>
      </c>
      <c r="E12" s="202">
        <f t="shared" si="1"/>
        <v>458.41772151898732</v>
      </c>
      <c r="F12" s="203"/>
      <c r="G12" s="78">
        <f t="shared" si="0"/>
        <v>26.456987277883275</v>
      </c>
    </row>
    <row r="13" spans="1:7" ht="16.5" hidden="1" thickBot="1">
      <c r="A13" s="73">
        <v>1994</v>
      </c>
      <c r="B13" s="74" t="s">
        <v>61</v>
      </c>
      <c r="C13" s="75">
        <v>77.593999999999994</v>
      </c>
      <c r="D13" s="202">
        <f t="shared" si="2"/>
        <v>46.575238958781952</v>
      </c>
      <c r="E13" s="202">
        <f t="shared" si="1"/>
        <v>718.50210970464127</v>
      </c>
      <c r="F13" s="203"/>
      <c r="G13" s="78">
        <f t="shared" si="0"/>
        <v>18.050106870590316</v>
      </c>
    </row>
    <row r="14" spans="1:7" ht="16.5" hidden="1" thickBot="1">
      <c r="A14" s="73">
        <v>1994</v>
      </c>
      <c r="B14" s="74" t="s">
        <v>62</v>
      </c>
      <c r="C14" s="75">
        <v>96.768000000000001</v>
      </c>
      <c r="D14" s="202">
        <f t="shared" si="2"/>
        <v>24.710673505683435</v>
      </c>
      <c r="E14" s="202">
        <f>100*(C14/C$7-1)</f>
        <v>920.75949367088606</v>
      </c>
      <c r="F14" s="203"/>
      <c r="G14" s="78">
        <f t="shared" si="0"/>
        <v>14.473586232190238</v>
      </c>
    </row>
    <row r="15" spans="1:7" ht="16.5" hidden="1" thickBot="1">
      <c r="A15" s="73">
        <v>1994</v>
      </c>
      <c r="B15" s="74" t="s">
        <v>63</v>
      </c>
      <c r="C15" s="75">
        <v>100</v>
      </c>
      <c r="D15" s="202">
        <f t="shared" si="2"/>
        <v>3.3399470899470929</v>
      </c>
      <c r="E15" s="202">
        <f>100*(C15/C$7-1)</f>
        <v>954.85232067510549</v>
      </c>
      <c r="F15" s="203"/>
      <c r="G15" s="78">
        <f t="shared" si="0"/>
        <v>14.005799925165849</v>
      </c>
    </row>
    <row r="16" spans="1:7" ht="16.5" hidden="1" thickBot="1">
      <c r="A16" s="73">
        <v>1994</v>
      </c>
      <c r="B16" s="74" t="s">
        <v>64</v>
      </c>
      <c r="C16" s="75">
        <v>101.54900000000001</v>
      </c>
      <c r="D16" s="202">
        <f t="shared" si="2"/>
        <v>1.5490000000000004</v>
      </c>
      <c r="E16" s="202">
        <f>100*(C16/C$7-1)</f>
        <v>971.1919831223629</v>
      </c>
      <c r="F16" s="203"/>
      <c r="G16" s="78">
        <f t="shared" si="0"/>
        <v>13.792159376425026</v>
      </c>
    </row>
    <row r="17" spans="1:7" ht="16.5" hidden="1" thickBot="1">
      <c r="A17" s="73">
        <v>1994</v>
      </c>
      <c r="B17" s="74" t="s">
        <v>65</v>
      </c>
      <c r="C17" s="75">
        <v>104.14</v>
      </c>
      <c r="D17" s="202">
        <f t="shared" si="2"/>
        <v>2.5514776117933069</v>
      </c>
      <c r="E17" s="202">
        <f>100*(C17/C$7-1)</f>
        <v>998.52320675105477</v>
      </c>
      <c r="F17" s="203"/>
      <c r="G17" s="78">
        <f t="shared" si="0"/>
        <v>13.449010874943202</v>
      </c>
    </row>
    <row r="18" spans="1:7" ht="16.5" hidden="1" thickBot="1">
      <c r="A18" s="73">
        <v>1994</v>
      </c>
      <c r="B18" s="74" t="s">
        <v>66</v>
      </c>
      <c r="C18" s="75">
        <v>106.72</v>
      </c>
      <c r="D18" s="202">
        <f t="shared" si="2"/>
        <v>2.4774342231611346</v>
      </c>
      <c r="E18" s="202">
        <f>100*(C18/C$7-1)</f>
        <v>1025.7383966244727</v>
      </c>
      <c r="F18" s="203"/>
      <c r="G18" s="78">
        <f t="shared" si="0"/>
        <v>13.123875492096936</v>
      </c>
    </row>
    <row r="19" spans="1:7" ht="16.5" hidden="1" thickBot="1">
      <c r="A19" s="73">
        <v>1994</v>
      </c>
      <c r="B19" s="74" t="s">
        <v>55</v>
      </c>
      <c r="C19" s="75">
        <v>107.33</v>
      </c>
      <c r="D19" s="202">
        <f t="shared" si="2"/>
        <v>0.57158920539730484</v>
      </c>
      <c r="E19" s="202">
        <f>100*($C$19/$C$7-1)</f>
        <v>1032.1729957805908</v>
      </c>
      <c r="F19" s="203">
        <f>100*($C$19/$C$7-1)</f>
        <v>1032.1729957805908</v>
      </c>
      <c r="G19" s="78">
        <f t="shared" si="0"/>
        <v>13.049287175222073</v>
      </c>
    </row>
    <row r="20" spans="1:7" ht="16.5" hidden="1" thickBot="1">
      <c r="A20" s="73">
        <v>1995</v>
      </c>
      <c r="B20" s="74" t="s">
        <v>56</v>
      </c>
      <c r="C20" s="75">
        <v>107.941</v>
      </c>
      <c r="D20" s="202" t="e">
        <f>100*((#REF!/C19)-1)</f>
        <v>#REF!</v>
      </c>
      <c r="E20" s="202">
        <f>100*((C20/C$19)-1)</f>
        <v>0.56927233765025065</v>
      </c>
      <c r="F20" s="203">
        <f>100*($C$19/$C$7-1)</f>
        <v>1032.1729957805908</v>
      </c>
      <c r="G20" s="78">
        <f t="shared" si="0"/>
        <v>12.975421688853956</v>
      </c>
    </row>
    <row r="21" spans="1:7" ht="16.5" hidden="1" thickBot="1">
      <c r="A21" s="73">
        <v>1995</v>
      </c>
      <c r="B21" s="74" t="s">
        <v>57</v>
      </c>
      <c r="C21" s="75">
        <v>108.56699999999999</v>
      </c>
      <c r="D21" s="202" t="e">
        <f>100*((#REF!/#REF!)-1)</f>
        <v>#REF!</v>
      </c>
      <c r="E21" s="202">
        <f t="shared" ref="E21:E30" si="3">100*((C21/C$19)-1)</f>
        <v>1.1525202646044841</v>
      </c>
      <c r="F21" s="203">
        <f t="shared" ref="F21:F50" si="4">100*((C21/C9)-1)</f>
        <v>496.39090309822006</v>
      </c>
      <c r="G21" s="78">
        <f t="shared" si="0"/>
        <v>12.90060508733395</v>
      </c>
    </row>
    <row r="22" spans="1:7" ht="16.5" hidden="1" thickBot="1">
      <c r="A22" s="73">
        <v>1995</v>
      </c>
      <c r="B22" s="74" t="s">
        <v>58</v>
      </c>
      <c r="C22" s="75">
        <v>109.741</v>
      </c>
      <c r="D22" s="202" t="e">
        <f>100*((#REF!/#REF!)-1)</f>
        <v>#REF!</v>
      </c>
      <c r="E22" s="202">
        <f t="shared" si="3"/>
        <v>2.2463430541321161</v>
      </c>
      <c r="F22" s="203">
        <f t="shared" si="4"/>
        <v>316.2532240934608</v>
      </c>
      <c r="G22" s="78">
        <f t="shared" si="0"/>
        <v>12.762595497731796</v>
      </c>
    </row>
    <row r="23" spans="1:7" ht="16.5" hidden="1" thickBot="1">
      <c r="A23" s="73">
        <v>1995</v>
      </c>
      <c r="B23" s="74" t="s">
        <v>59</v>
      </c>
      <c r="C23" s="75">
        <v>111.923</v>
      </c>
      <c r="D23" s="202" t="e">
        <f>100*((#REF!/#REF!)-1)</f>
        <v>#REF!</v>
      </c>
      <c r="E23" s="202">
        <f t="shared" si="3"/>
        <v>4.2793254448896034</v>
      </c>
      <c r="F23" s="203">
        <f t="shared" si="4"/>
        <v>198.00836062518306</v>
      </c>
      <c r="G23" s="78">
        <f t="shared" si="0"/>
        <v>12.513781729551432</v>
      </c>
    </row>
    <row r="24" spans="1:7" ht="16.5" hidden="1" thickBot="1">
      <c r="A24" s="73">
        <v>1995</v>
      </c>
      <c r="B24" s="74" t="s">
        <v>60</v>
      </c>
      <c r="C24" s="75">
        <v>109.652</v>
      </c>
      <c r="D24" s="202" t="e">
        <f>100*((#REF!/#REF!)-1)</f>
        <v>#REF!</v>
      </c>
      <c r="E24" s="202">
        <f t="shared" si="3"/>
        <v>2.1634212242616302</v>
      </c>
      <c r="F24" s="203">
        <f t="shared" si="4"/>
        <v>107.13287241678944</v>
      </c>
      <c r="G24" s="78">
        <f t="shared" si="0"/>
        <v>12.772954369428602</v>
      </c>
    </row>
    <row r="25" spans="1:7" ht="16.5" hidden="1" thickBot="1">
      <c r="A25" s="73">
        <v>1995</v>
      </c>
      <c r="B25" s="74" t="s">
        <v>61</v>
      </c>
      <c r="C25" s="75">
        <v>111.34699999999999</v>
      </c>
      <c r="D25" s="202" t="e">
        <f>100*((#REF!/#REF!)-1)</f>
        <v>#REF!</v>
      </c>
      <c r="E25" s="202">
        <f t="shared" si="3"/>
        <v>3.742662815615394</v>
      </c>
      <c r="F25" s="203">
        <f t="shared" si="4"/>
        <v>43.49949738381833</v>
      </c>
      <c r="G25" s="78">
        <f t="shared" si="0"/>
        <v>12.578515743725337</v>
      </c>
    </row>
    <row r="26" spans="1:7" ht="16.5" hidden="1" thickBot="1">
      <c r="A26" s="73">
        <v>1995</v>
      </c>
      <c r="B26" s="74" t="s">
        <v>62</v>
      </c>
      <c r="C26" s="75">
        <v>113.8436</v>
      </c>
      <c r="D26" s="202" t="e">
        <f>100*((#REF!/#REF!)-1)</f>
        <v>#REF!</v>
      </c>
      <c r="E26" s="202">
        <f t="shared" si="3"/>
        <v>6.0687598993757641</v>
      </c>
      <c r="F26" s="203">
        <f t="shared" si="4"/>
        <v>17.645916005290996</v>
      </c>
      <c r="G26" s="78">
        <f t="shared" si="0"/>
        <v>12.302667804923466</v>
      </c>
    </row>
    <row r="27" spans="1:7" ht="16.5" hidden="1" thickBot="1">
      <c r="A27" s="73">
        <v>1995</v>
      </c>
      <c r="B27" s="74" t="s">
        <v>63</v>
      </c>
      <c r="C27" s="75">
        <v>115.818</v>
      </c>
      <c r="D27" s="202" t="e">
        <f>100*((#REF!/#REF!)-1)</f>
        <v>#REF!</v>
      </c>
      <c r="E27" s="202">
        <f t="shared" si="3"/>
        <v>7.9083201341656473</v>
      </c>
      <c r="F27" s="203">
        <f t="shared" si="4"/>
        <v>15.817999999999998</v>
      </c>
      <c r="G27" s="78">
        <f t="shared" si="0"/>
        <v>12.092938856797605</v>
      </c>
    </row>
    <row r="28" spans="1:7" ht="16.5" hidden="1" thickBot="1">
      <c r="A28" s="73">
        <v>1995</v>
      </c>
      <c r="B28" s="74" t="s">
        <v>64</v>
      </c>
      <c r="C28" s="75">
        <v>113.011</v>
      </c>
      <c r="D28" s="202" t="e">
        <f>100*((#REF!/#REF!)-1)</f>
        <v>#REF!</v>
      </c>
      <c r="E28" s="202">
        <f t="shared" si="3"/>
        <v>5.293021522407515</v>
      </c>
      <c r="F28" s="203">
        <f t="shared" si="4"/>
        <v>11.287161862746053</v>
      </c>
      <c r="G28" s="78">
        <f t="shared" si="0"/>
        <v>12.393306780017742</v>
      </c>
    </row>
    <row r="29" spans="1:7" ht="16.5" hidden="1" thickBot="1">
      <c r="A29" s="73">
        <v>1995</v>
      </c>
      <c r="B29" s="74" t="s">
        <v>65</v>
      </c>
      <c r="C29" s="75">
        <v>112.854</v>
      </c>
      <c r="D29" s="202" t="e">
        <f>100*((#REF!/#REF!)-1)</f>
        <v>#REF!</v>
      </c>
      <c r="E29" s="202">
        <f t="shared" si="3"/>
        <v>5.1467436876921679</v>
      </c>
      <c r="F29" s="203">
        <f t="shared" si="4"/>
        <v>8.3675821010178666</v>
      </c>
      <c r="G29" s="78">
        <f t="shared" si="0"/>
        <v>12.410548075536401</v>
      </c>
    </row>
    <row r="30" spans="1:7" ht="16.5" hidden="1" thickBot="1">
      <c r="A30" s="73">
        <v>1995</v>
      </c>
      <c r="B30" s="74" t="s">
        <v>66</v>
      </c>
      <c r="C30" s="75">
        <v>114.54</v>
      </c>
      <c r="D30" s="202" t="e">
        <f>100*((#REF!/#REF!)-1)</f>
        <v>#REF!</v>
      </c>
      <c r="E30" s="202">
        <f t="shared" si="3"/>
        <v>6.7175999254635244</v>
      </c>
      <c r="F30" s="203">
        <f t="shared" si="4"/>
        <v>7.3275862068965525</v>
      </c>
      <c r="G30" s="78">
        <f t="shared" si="0"/>
        <v>12.227867928379474</v>
      </c>
    </row>
    <row r="31" spans="1:7" ht="16.5" hidden="1" thickBot="1">
      <c r="A31" s="73">
        <v>1995</v>
      </c>
      <c r="B31" s="74" t="s">
        <v>55</v>
      </c>
      <c r="C31" s="75">
        <v>113.846</v>
      </c>
      <c r="D31" s="202" t="e">
        <f>100*((#REF!/#REF!)-1)</f>
        <v>#REF!</v>
      </c>
      <c r="E31" s="202">
        <f>100*((C31/C$19)-1)</f>
        <v>6.0709959936644076</v>
      </c>
      <c r="F31" s="203">
        <f t="shared" si="4"/>
        <v>6.0709959936644076</v>
      </c>
      <c r="G31" s="78">
        <f t="shared" si="0"/>
        <v>12.302408451035477</v>
      </c>
    </row>
    <row r="32" spans="1:7" ht="16.5" hidden="1" thickBot="1">
      <c r="A32" s="73">
        <v>1996</v>
      </c>
      <c r="B32" s="74" t="s">
        <v>56</v>
      </c>
      <c r="C32" s="75">
        <v>115.334</v>
      </c>
      <c r="D32" s="202">
        <f>100*((C32/C31)-1)</f>
        <v>1.30702879328215</v>
      </c>
      <c r="E32" s="202">
        <f>100*((C32/C$31)-1)</f>
        <v>1.30702879328215</v>
      </c>
      <c r="F32" s="203">
        <f t="shared" si="4"/>
        <v>6.8491120148970186</v>
      </c>
      <c r="G32" s="78">
        <f t="shared" si="0"/>
        <v>12.143686965826079</v>
      </c>
    </row>
    <row r="33" spans="1:7" ht="16.5" hidden="1" thickBot="1">
      <c r="A33" s="73">
        <v>1996</v>
      </c>
      <c r="B33" s="74" t="s">
        <v>57</v>
      </c>
      <c r="C33" s="75">
        <v>115.879</v>
      </c>
      <c r="D33" s="202">
        <f>100*((C33/C32)-1)</f>
        <v>0.47254062115247297</v>
      </c>
      <c r="E33" s="202">
        <f t="shared" ref="E33:E42" si="5">100*((C33/C$31)-1)</f>
        <v>1.7857456564130514</v>
      </c>
      <c r="F33" s="203">
        <f t="shared" si="4"/>
        <v>6.7350115596820581</v>
      </c>
      <c r="G33" s="78">
        <f t="shared" si="0"/>
        <v>12.086572998701964</v>
      </c>
    </row>
    <row r="34" spans="1:7" ht="16.5" hidden="1" thickBot="1">
      <c r="A34" s="73">
        <v>1996</v>
      </c>
      <c r="B34" s="74" t="s">
        <v>58</v>
      </c>
      <c r="C34" s="75">
        <v>115.798</v>
      </c>
      <c r="D34" s="202">
        <f>100*((C34/C33)-1)</f>
        <v>-6.9900499659125703E-2</v>
      </c>
      <c r="E34" s="202">
        <f t="shared" si="5"/>
        <v>1.7145969116174387</v>
      </c>
      <c r="F34" s="203">
        <f t="shared" si="4"/>
        <v>5.5193592185236229</v>
      </c>
      <c r="G34" s="78">
        <f t="shared" si="0"/>
        <v>12.095027483346733</v>
      </c>
    </row>
    <row r="35" spans="1:7" ht="16.5" hidden="1" thickBot="1">
      <c r="A35" s="73">
        <v>1996</v>
      </c>
      <c r="B35" s="74" t="s">
        <v>59</v>
      </c>
      <c r="C35" s="75">
        <v>116.271</v>
      </c>
      <c r="D35" s="202">
        <f>100*((C35/C34)-1)</f>
        <v>0.40846992176031272</v>
      </c>
      <c r="E35" s="202">
        <f t="shared" si="5"/>
        <v>2.1300704460411435</v>
      </c>
      <c r="F35" s="203">
        <f t="shared" si="4"/>
        <v>3.8848136665386113</v>
      </c>
      <c r="G35" s="78">
        <f t="shared" si="0"/>
        <v>12.045823915822389</v>
      </c>
    </row>
    <row r="36" spans="1:7" ht="16.5" hidden="1" thickBot="1">
      <c r="A36" s="73">
        <v>1996</v>
      </c>
      <c r="B36" s="74" t="s">
        <v>60</v>
      </c>
      <c r="C36" s="79">
        <v>117.825</v>
      </c>
      <c r="D36" s="202">
        <f t="shared" ref="D36:D42" si="6">100*((C36/C35)-1)</f>
        <v>1.3365327553732209</v>
      </c>
      <c r="E36" s="202">
        <f t="shared" si="5"/>
        <v>3.4950722906382348</v>
      </c>
      <c r="F36" s="203">
        <f t="shared" si="4"/>
        <v>7.4535804180498211</v>
      </c>
      <c r="G36" s="78">
        <f t="shared" si="0"/>
        <v>11.886950923119754</v>
      </c>
    </row>
    <row r="37" spans="1:7" ht="16.5" hidden="1" thickBot="1">
      <c r="A37" s="73">
        <v>1996</v>
      </c>
      <c r="B37" s="74" t="s">
        <v>61</v>
      </c>
      <c r="C37" s="79">
        <v>118.931</v>
      </c>
      <c r="D37" s="202">
        <f t="shared" si="6"/>
        <v>0.93868024612773215</v>
      </c>
      <c r="E37" s="202">
        <f t="shared" si="5"/>
        <v>4.4665600899460589</v>
      </c>
      <c r="F37" s="203">
        <f>100*((C37/C25)-1)</f>
        <v>6.8111399498864023</v>
      </c>
      <c r="G37" s="78">
        <f t="shared" si="0"/>
        <v>11.776408106520462</v>
      </c>
    </row>
    <row r="38" spans="1:7" ht="16.5" hidden="1" thickBot="1">
      <c r="A38" s="73">
        <v>1996</v>
      </c>
      <c r="B38" s="74" t="s">
        <v>62</v>
      </c>
      <c r="C38" s="79">
        <v>120.568</v>
      </c>
      <c r="D38" s="202">
        <f t="shared" si="6"/>
        <v>1.3764283492108786</v>
      </c>
      <c r="E38" s="202">
        <f t="shared" si="5"/>
        <v>5.9044674384695073</v>
      </c>
      <c r="F38" s="203">
        <f t="shared" si="4"/>
        <v>5.9067000692177629</v>
      </c>
      <c r="G38" s="78">
        <f t="shared" si="0"/>
        <v>11.616515099500573</v>
      </c>
    </row>
    <row r="39" spans="1:7" ht="16.5" hidden="1" thickBot="1">
      <c r="A39" s="73">
        <v>1996</v>
      </c>
      <c r="B39" s="74" t="s">
        <v>63</v>
      </c>
      <c r="C39" s="79">
        <v>120.509</v>
      </c>
      <c r="D39" s="202">
        <f t="shared" si="6"/>
        <v>-4.893504080684119E-2</v>
      </c>
      <c r="E39" s="202">
        <f t="shared" si="5"/>
        <v>5.8526430441122157</v>
      </c>
      <c r="F39" s="203">
        <f t="shared" si="4"/>
        <v>4.0503203301732071</v>
      </c>
      <c r="G39" s="78">
        <f t="shared" si="0"/>
        <v>11.622202429001858</v>
      </c>
    </row>
    <row r="40" spans="1:7" ht="16.5" hidden="1" thickBot="1">
      <c r="A40" s="73">
        <v>1996</v>
      </c>
      <c r="B40" s="74" t="s">
        <v>64</v>
      </c>
      <c r="C40" s="79">
        <v>121.003</v>
      </c>
      <c r="D40" s="202">
        <f t="shared" si="6"/>
        <v>0.4099278892032876</v>
      </c>
      <c r="E40" s="202">
        <f t="shared" si="5"/>
        <v>6.2865625494088473</v>
      </c>
      <c r="F40" s="203">
        <f t="shared" si="4"/>
        <v>7.0718779587827685</v>
      </c>
      <c r="G40" s="78">
        <f t="shared" si="0"/>
        <v>11.574754283088724</v>
      </c>
    </row>
    <row r="41" spans="1:7" ht="16.5" hidden="1" thickBot="1">
      <c r="A41" s="73">
        <v>1996</v>
      </c>
      <c r="B41" s="74" t="s">
        <v>65</v>
      </c>
      <c r="C41" s="79">
        <v>121.29</v>
      </c>
      <c r="D41" s="202">
        <f t="shared" si="6"/>
        <v>0.23718420204459356</v>
      </c>
      <c r="E41" s="202">
        <f t="shared" si="5"/>
        <v>6.5386574846722834</v>
      </c>
      <c r="F41" s="203">
        <f t="shared" si="4"/>
        <v>7.4751448774522888</v>
      </c>
      <c r="G41" s="78">
        <f t="shared" si="0"/>
        <v>11.547365755763748</v>
      </c>
    </row>
    <row r="42" spans="1:7" ht="16.5" hidden="1" thickBot="1">
      <c r="A42" s="73">
        <v>1996</v>
      </c>
      <c r="B42" s="74" t="s">
        <v>66</v>
      </c>
      <c r="C42" s="79">
        <v>121.584</v>
      </c>
      <c r="D42" s="202">
        <f t="shared" si="6"/>
        <v>0.2423942616868624</v>
      </c>
      <c r="E42" s="202">
        <f t="shared" si="5"/>
        <v>6.7969010768933469</v>
      </c>
      <c r="F42" s="203">
        <f t="shared" si="4"/>
        <v>6.1498166579360802</v>
      </c>
      <c r="G42" s="78">
        <f t="shared" si="0"/>
        <v>11.519443286259582</v>
      </c>
    </row>
    <row r="43" spans="1:7" ht="16.5" hidden="1" thickBot="1">
      <c r="A43" s="73">
        <v>1996</v>
      </c>
      <c r="B43" s="74" t="s">
        <v>55</v>
      </c>
      <c r="C43" s="75">
        <f>+C42*(1+D43/100)</f>
        <v>123.0551664</v>
      </c>
      <c r="D43" s="202">
        <v>1.21</v>
      </c>
      <c r="E43" s="202">
        <f>100*((C43/C$31)-1)</f>
        <v>8.0891435799237641</v>
      </c>
      <c r="F43" s="203">
        <f t="shared" si="4"/>
        <v>8.0891435799237641</v>
      </c>
      <c r="G43" s="78">
        <f t="shared" si="0"/>
        <v>11.381724420768284</v>
      </c>
    </row>
    <row r="44" spans="1:7" ht="16.5" hidden="1" thickBot="1">
      <c r="A44" s="73">
        <v>1997</v>
      </c>
      <c r="B44" s="74" t="s">
        <v>56</v>
      </c>
      <c r="C44" s="75">
        <f t="shared" ref="C44:C52" si="7">+C43*(1+D44/100)</f>
        <v>125.11018767888</v>
      </c>
      <c r="D44" s="202">
        <v>1.67</v>
      </c>
      <c r="E44" s="202">
        <f t="shared" ref="E44:E55" si="8">100*((C44/C$31)-1)</f>
        <v>9.8942322777084701</v>
      </c>
      <c r="F44" s="203">
        <f t="shared" si="4"/>
        <v>8.4764143087727728</v>
      </c>
      <c r="G44" s="78">
        <f t="shared" si="0"/>
        <v>11.194771732830024</v>
      </c>
    </row>
    <row r="45" spans="1:7" ht="16.5" hidden="1" thickBot="1">
      <c r="A45" s="73">
        <v>1997</v>
      </c>
      <c r="B45" s="74" t="s">
        <v>57</v>
      </c>
      <c r="C45" s="75">
        <f t="shared" si="7"/>
        <v>125.53556231698819</v>
      </c>
      <c r="D45" s="202">
        <v>0.34</v>
      </c>
      <c r="E45" s="202">
        <f t="shared" si="8"/>
        <v>10.267872667452682</v>
      </c>
      <c r="F45" s="203">
        <f t="shared" si="4"/>
        <v>8.333315196876212</v>
      </c>
      <c r="G45" s="78">
        <f t="shared" si="0"/>
        <v>11.156838481991254</v>
      </c>
    </row>
    <row r="46" spans="1:7" ht="16.5" hidden="1" thickBot="1">
      <c r="A46" s="73">
        <v>1997</v>
      </c>
      <c r="B46" s="74" t="s">
        <v>58</v>
      </c>
      <c r="C46" s="75">
        <f t="shared" si="7"/>
        <v>127.5315777578283</v>
      </c>
      <c r="D46" s="202">
        <v>1.59</v>
      </c>
      <c r="E46" s="202">
        <f t="shared" si="8"/>
        <v>12.021131842865174</v>
      </c>
      <c r="F46" s="203">
        <f t="shared" si="4"/>
        <v>10.132798284796207</v>
      </c>
      <c r="G46" s="78">
        <f t="shared" si="0"/>
        <v>10.982221165460434</v>
      </c>
    </row>
    <row r="47" spans="1:7" ht="16.5" hidden="1" thickBot="1">
      <c r="A47" s="73">
        <v>1997</v>
      </c>
      <c r="B47" s="74" t="s">
        <v>59</v>
      </c>
      <c r="C47" s="75">
        <f t="shared" si="7"/>
        <v>128.20749511994481</v>
      </c>
      <c r="D47" s="202">
        <v>0.53</v>
      </c>
      <c r="E47" s="202">
        <f t="shared" si="8"/>
        <v>12.614843841632384</v>
      </c>
      <c r="F47" s="203">
        <f t="shared" si="4"/>
        <v>10.266098270372503</v>
      </c>
      <c r="G47" s="78">
        <f t="shared" si="0"/>
        <v>10.924322257495705</v>
      </c>
    </row>
    <row r="48" spans="1:7" ht="16.5" hidden="1" thickBot="1">
      <c r="A48" s="73">
        <v>1997</v>
      </c>
      <c r="B48" s="74" t="s">
        <v>60</v>
      </c>
      <c r="C48" s="75">
        <f t="shared" si="7"/>
        <v>128.38698561311273</v>
      </c>
      <c r="D48" s="202">
        <v>0.14000000000000001</v>
      </c>
      <c r="E48" s="202">
        <f t="shared" si="8"/>
        <v>12.772504623010672</v>
      </c>
      <c r="F48" s="203">
        <f t="shared" si="4"/>
        <v>8.9641295252388851</v>
      </c>
      <c r="G48" s="78">
        <f t="shared" si="0"/>
        <v>10.909049588072403</v>
      </c>
    </row>
    <row r="49" spans="1:7" ht="16.5" hidden="1" thickBot="1">
      <c r="A49" s="73">
        <v>1997</v>
      </c>
      <c r="B49" s="74" t="s">
        <v>61</v>
      </c>
      <c r="C49" s="75">
        <f t="shared" si="7"/>
        <v>128.69511437858418</v>
      </c>
      <c r="D49" s="202">
        <v>0.24</v>
      </c>
      <c r="E49" s="202">
        <f t="shared" si="8"/>
        <v>13.043158634105879</v>
      </c>
      <c r="F49" s="203">
        <f t="shared" si="4"/>
        <v>8.2098984945760058</v>
      </c>
      <c r="G49" s="78">
        <f t="shared" si="0"/>
        <v>10.882930554741026</v>
      </c>
    </row>
    <row r="50" spans="1:7" ht="16.5" hidden="1" thickBot="1">
      <c r="A50" s="73">
        <v>1997</v>
      </c>
      <c r="B50" s="74" t="s">
        <v>62</v>
      </c>
      <c r="C50" s="75">
        <f t="shared" si="7"/>
        <v>128.57928877564345</v>
      </c>
      <c r="D50" s="202">
        <v>-0.09</v>
      </c>
      <c r="E50" s="202">
        <f t="shared" si="8"/>
        <v>12.941419791335186</v>
      </c>
      <c r="F50" s="203">
        <f t="shared" si="4"/>
        <v>6.6446227652805501</v>
      </c>
      <c r="G50" s="78">
        <f t="shared" si="0"/>
        <v>10.892734015354847</v>
      </c>
    </row>
    <row r="51" spans="1:7" ht="16.5" hidden="1" thickBot="1">
      <c r="A51" s="73">
        <v>1997</v>
      </c>
      <c r="B51" s="74" t="s">
        <v>63</v>
      </c>
      <c r="C51" s="75">
        <f t="shared" si="7"/>
        <v>128.38641984248</v>
      </c>
      <c r="D51" s="202">
        <v>-0.15</v>
      </c>
      <c r="E51" s="202">
        <f t="shared" si="8"/>
        <v>12.772007661648189</v>
      </c>
      <c r="F51" s="203">
        <f>100*((C51/C39)-1)</f>
        <v>6.5367896526234537</v>
      </c>
      <c r="G51" s="78">
        <f t="shared" si="0"/>
        <v>10.909097661847616</v>
      </c>
    </row>
    <row r="52" spans="1:7" ht="16.5" hidden="1" thickBot="1">
      <c r="A52" s="73">
        <v>1997</v>
      </c>
      <c r="B52" s="74" t="s">
        <v>64</v>
      </c>
      <c r="C52" s="75">
        <f t="shared" si="7"/>
        <v>129.56757490503082</v>
      </c>
      <c r="D52" s="202">
        <v>0.92</v>
      </c>
      <c r="E52" s="202">
        <f t="shared" si="8"/>
        <v>13.809510132135362</v>
      </c>
      <c r="F52" s="203">
        <f t="shared" ref="F52:F115" si="9">100*((C52/C40)-1)</f>
        <v>7.0779855912918022</v>
      </c>
      <c r="G52" s="78">
        <f t="shared" si="0"/>
        <v>10.80964889204084</v>
      </c>
    </row>
    <row r="53" spans="1:7" ht="16.5" hidden="1" thickBot="1">
      <c r="A53" s="73">
        <v>1997</v>
      </c>
      <c r="B53" s="74" t="s">
        <v>65</v>
      </c>
      <c r="C53" s="75">
        <v>130.1</v>
      </c>
      <c r="D53" s="202">
        <v>0.41</v>
      </c>
      <c r="E53" s="202">
        <f t="shared" si="8"/>
        <v>14.2771814556506</v>
      </c>
      <c r="F53" s="203">
        <f t="shared" si="9"/>
        <v>7.2635831478275126</v>
      </c>
      <c r="G53" s="78">
        <f t="shared" si="0"/>
        <v>10.765411164616333</v>
      </c>
    </row>
    <row r="54" spans="1:7" ht="16.5" hidden="1" thickBot="1">
      <c r="A54" s="73">
        <v>1997</v>
      </c>
      <c r="B54" s="74" t="s">
        <v>66</v>
      </c>
      <c r="C54" s="75">
        <v>131.5</v>
      </c>
      <c r="D54" s="202">
        <f>100*($C$54/$C$53-1)</f>
        <v>1.0760953112989968</v>
      </c>
      <c r="E54" s="202">
        <f t="shared" si="8"/>
        <v>15.50691284717951</v>
      </c>
      <c r="F54" s="203">
        <f t="shared" si="9"/>
        <v>8.1556783787340326</v>
      </c>
      <c r="G54" s="78">
        <f t="shared" si="0"/>
        <v>10.650798422179353</v>
      </c>
    </row>
    <row r="55" spans="1:7" ht="16.5" hidden="1" thickBot="1">
      <c r="A55" s="73">
        <v>1997</v>
      </c>
      <c r="B55" s="74" t="s">
        <v>55</v>
      </c>
      <c r="C55" s="75">
        <v>132.65</v>
      </c>
      <c r="D55" s="202">
        <f>100*($C$55/$C$54-1)</f>
        <v>0.87452471482889482</v>
      </c>
      <c r="E55" s="202">
        <f t="shared" si="8"/>
        <v>16.517049347363976</v>
      </c>
      <c r="F55" s="203">
        <f t="shared" si="9"/>
        <v>7.7971806310116909</v>
      </c>
      <c r="G55" s="78">
        <f t="shared" si="0"/>
        <v>10.558462061941839</v>
      </c>
    </row>
    <row r="56" spans="1:7" ht="16.5" hidden="1" thickBot="1">
      <c r="A56" s="73">
        <v>1998</v>
      </c>
      <c r="B56" s="74" t="s">
        <v>56</v>
      </c>
      <c r="C56" s="75">
        <v>133.63999999999999</v>
      </c>
      <c r="D56" s="202">
        <f>100*($C$56/$C$55-1)</f>
        <v>0.74632491519033284</v>
      </c>
      <c r="E56" s="202">
        <f>100*($C$56/$C$55-1)</f>
        <v>0.74632491519033284</v>
      </c>
      <c r="F56" s="203">
        <f t="shared" si="9"/>
        <v>6.8178399212488028</v>
      </c>
      <c r="G56" s="78">
        <f t="shared" si="0"/>
        <v>10.480245379501534</v>
      </c>
    </row>
    <row r="57" spans="1:7" ht="16.5" hidden="1" thickBot="1">
      <c r="A57" s="73">
        <v>1998</v>
      </c>
      <c r="B57" s="74" t="s">
        <v>57</v>
      </c>
      <c r="C57" s="75">
        <v>133.44</v>
      </c>
      <c r="D57" s="202">
        <f>100*($C$57/$C$56-1)</f>
        <v>-0.14965579167912635</v>
      </c>
      <c r="E57" s="202">
        <f>100*($C$57/$C$55-1)</f>
        <v>0.59555220505087547</v>
      </c>
      <c r="F57" s="203">
        <f t="shared" si="9"/>
        <v>6.29657249079143</v>
      </c>
      <c r="G57" s="78">
        <f t="shared" si="0"/>
        <v>10.495953181329323</v>
      </c>
    </row>
    <row r="58" spans="1:7" ht="16.5" hidden="1" thickBot="1">
      <c r="A58" s="73">
        <v>1998</v>
      </c>
      <c r="B58" s="74" t="s">
        <v>58</v>
      </c>
      <c r="C58" s="75">
        <v>133.62</v>
      </c>
      <c r="D58" s="202">
        <f>100*($C$58/$C$57-1)</f>
        <v>0.13489208633095107</v>
      </c>
      <c r="E58" s="202">
        <f>100*($C$58/$C$55-1)</f>
        <v>0.73124764417640264</v>
      </c>
      <c r="F58" s="203">
        <f t="shared" si="9"/>
        <v>4.7740507482257444</v>
      </c>
      <c r="G58" s="78">
        <f t="shared" si="0"/>
        <v>10.481814043680474</v>
      </c>
    </row>
    <row r="59" spans="1:7" ht="16.5" hidden="1" thickBot="1">
      <c r="A59" s="73">
        <v>1998</v>
      </c>
      <c r="B59" s="74" t="s">
        <v>59</v>
      </c>
      <c r="C59" s="75">
        <v>133.24</v>
      </c>
      <c r="D59" s="202">
        <f>100*($C$59/$C$58-1)</f>
        <v>-0.28438856458613548</v>
      </c>
      <c r="E59" s="202">
        <f>100*($C$58/$C$55-1)</f>
        <v>0.73124764417640264</v>
      </c>
      <c r="F59" s="203">
        <f t="shared" si="9"/>
        <v>3.9252813381519092</v>
      </c>
      <c r="G59" s="78">
        <f t="shared" si="0"/>
        <v>10.511708139572088</v>
      </c>
    </row>
    <row r="60" spans="1:7" ht="16.5" hidden="1" thickBot="1">
      <c r="A60" s="73">
        <v>1998</v>
      </c>
      <c r="B60" s="74" t="s">
        <v>60</v>
      </c>
      <c r="C60" s="75">
        <v>133.41999999999999</v>
      </c>
      <c r="D60" s="202">
        <f>100*($C$60/$C$59-1)</f>
        <v>0.13509456619631433</v>
      </c>
      <c r="E60" s="202">
        <f>100*($C$59/$C$55-1)</f>
        <v>0.44477949491141811</v>
      </c>
      <c r="F60" s="203">
        <f t="shared" si="9"/>
        <v>3.9201904794727183</v>
      </c>
      <c r="G60" s="78">
        <f t="shared" si="0"/>
        <v>10.497526551615838</v>
      </c>
    </row>
    <row r="61" spans="1:7" ht="16.5" hidden="1" thickBot="1">
      <c r="A61" s="73">
        <v>1998</v>
      </c>
      <c r="B61" s="74" t="s">
        <v>61</v>
      </c>
      <c r="C61" s="75">
        <v>133.63999999999999</v>
      </c>
      <c r="D61" s="202">
        <f>100*($C$60/$C$59-1)</f>
        <v>0.13509456619631433</v>
      </c>
      <c r="E61" s="202">
        <f>100*($C$60/$C$55-1)</f>
        <v>0.58047493403692307</v>
      </c>
      <c r="F61" s="203">
        <f t="shared" si="9"/>
        <v>3.8423258297664464</v>
      </c>
      <c r="G61" s="78">
        <f t="shared" si="0"/>
        <v>10.480245379501534</v>
      </c>
    </row>
    <row r="62" spans="1:7" ht="16.5" hidden="1" thickBot="1">
      <c r="A62" s="73">
        <v>1998</v>
      </c>
      <c r="B62" s="74" t="s">
        <v>62</v>
      </c>
      <c r="C62" s="75">
        <v>132.83000000000001</v>
      </c>
      <c r="D62" s="202">
        <f>100*($C$61/$C$60-1)</f>
        <v>0.16489281966720615</v>
      </c>
      <c r="E62" s="202">
        <f>100*($C$61/$C$55-1)</f>
        <v>0.74632491519033284</v>
      </c>
      <c r="F62" s="203">
        <f t="shared" si="9"/>
        <v>3.3059066237126178</v>
      </c>
      <c r="G62" s="78">
        <f t="shared" si="0"/>
        <v>10.544154125698899</v>
      </c>
    </row>
    <row r="63" spans="1:7" ht="16.5" hidden="1" thickBot="1">
      <c r="A63" s="73">
        <v>1998</v>
      </c>
      <c r="B63" s="74" t="s">
        <v>63</v>
      </c>
      <c r="C63" s="75">
        <v>132.77000000000001</v>
      </c>
      <c r="D63" s="202">
        <f>100*($C$62/$C$61-1)</f>
        <v>-0.60610595630048447</v>
      </c>
      <c r="E63" s="202">
        <f>100*($C$62/$C$55-1)</f>
        <v>0.13569543912552717</v>
      </c>
      <c r="F63" s="203">
        <f t="shared" si="9"/>
        <v>3.414364356369104</v>
      </c>
      <c r="G63" s="78">
        <f t="shared" si="0"/>
        <v>10.54891912718675</v>
      </c>
    </row>
    <row r="64" spans="1:7" ht="16.5" hidden="1" thickBot="1">
      <c r="A64" s="73">
        <v>1998</v>
      </c>
      <c r="B64" s="74" t="s">
        <v>64</v>
      </c>
      <c r="C64" s="75">
        <v>132.85</v>
      </c>
      <c r="D64" s="202">
        <f>100*($C$63/$C$62-1)</f>
        <v>-4.5170518708126384E-2</v>
      </c>
      <c r="E64" s="202">
        <f>+$C$63/$C$55*100-100</f>
        <v>9.0463626083689519E-2</v>
      </c>
      <c r="F64" s="203">
        <f t="shared" si="9"/>
        <v>2.5333692456427359</v>
      </c>
      <c r="G64" s="78">
        <f t="shared" si="0"/>
        <v>10.54256674833711</v>
      </c>
    </row>
    <row r="65" spans="1:7" ht="16.5" hidden="1" thickBot="1">
      <c r="A65" s="73">
        <v>1998</v>
      </c>
      <c r="B65" s="74" t="s">
        <v>65</v>
      </c>
      <c r="C65" s="75">
        <v>132.6</v>
      </c>
      <c r="D65" s="202">
        <f>100*($C$65/$C$64-1)</f>
        <v>-0.18818216033119617</v>
      </c>
      <c r="E65" s="202">
        <f>+$C$65/$C$55*100-100</f>
        <v>-3.7693177534876554E-2</v>
      </c>
      <c r="F65" s="203">
        <f t="shared" si="9"/>
        <v>1.9215987701767911</v>
      </c>
      <c r="G65" s="78">
        <f t="shared" si="0"/>
        <v>10.562443382478017</v>
      </c>
    </row>
    <row r="66" spans="1:7" ht="16.5" hidden="1" thickBot="1">
      <c r="A66" s="73">
        <v>1998</v>
      </c>
      <c r="B66" s="74" t="s">
        <v>66</v>
      </c>
      <c r="C66" s="75">
        <v>132.34</v>
      </c>
      <c r="D66" s="202">
        <f>100*($C$66/$C$65-1)</f>
        <v>-0.19607843137253722</v>
      </c>
      <c r="E66" s="202">
        <f>+$C$66/$C$55*100-100</f>
        <v>-0.23369770071617779</v>
      </c>
      <c r="F66" s="203">
        <f t="shared" si="9"/>
        <v>0.63878326996198442</v>
      </c>
      <c r="G66" s="78">
        <f t="shared" si="0"/>
        <v>10.58319474472257</v>
      </c>
    </row>
    <row r="67" spans="1:7" ht="16.5" hidden="1" thickBot="1">
      <c r="A67" s="73">
        <v>1998</v>
      </c>
      <c r="B67" s="74" t="s">
        <v>55</v>
      </c>
      <c r="C67" s="75">
        <v>134.63999999999999</v>
      </c>
      <c r="D67" s="202">
        <f>100*($C$67/$C$66-1)</f>
        <v>1.7379477104427776</v>
      </c>
      <c r="E67" s="202">
        <f>+(($C$67/$C$55)-1)*100</f>
        <v>1.5001884658876641</v>
      </c>
      <c r="F67" s="203">
        <f t="shared" si="9"/>
        <v>1.5001884658876641</v>
      </c>
      <c r="G67" s="78">
        <f t="shared" si="0"/>
        <v>10.402406361531382</v>
      </c>
    </row>
    <row r="68" spans="1:7" ht="16.5" hidden="1" thickBot="1">
      <c r="A68" s="73">
        <v>1999</v>
      </c>
      <c r="B68" s="74" t="s">
        <v>56</v>
      </c>
      <c r="C68" s="75">
        <v>136.77000000000001</v>
      </c>
      <c r="D68" s="202">
        <f>($C$68/$C$67-1)*100</f>
        <v>1.5819964349376381</v>
      </c>
      <c r="E68" s="202">
        <f>+(($C$68/$C$67)-1)*100</f>
        <v>1.5819964349376381</v>
      </c>
      <c r="F68" s="203">
        <f t="shared" si="9"/>
        <v>2.3421131397785233</v>
      </c>
      <c r="G68" s="78">
        <f t="shared" si="0"/>
        <v>10.240403542564779</v>
      </c>
    </row>
    <row r="69" spans="1:7" ht="16.5" hidden="1" thickBot="1">
      <c r="A69" s="73">
        <v>1999</v>
      </c>
      <c r="B69" s="74" t="s">
        <v>57</v>
      </c>
      <c r="C69" s="75">
        <v>146.33000000000001</v>
      </c>
      <c r="D69" s="202">
        <f>($C$69/$C$68-1)*100</f>
        <v>6.9898369525480675</v>
      </c>
      <c r="E69" s="202">
        <f>+(($C$69/$C$67)-1)*100</f>
        <v>8.6824123588829636</v>
      </c>
      <c r="F69" s="203">
        <f t="shared" si="9"/>
        <v>9.6597721822542013</v>
      </c>
      <c r="G69" s="78">
        <f t="shared" si="0"/>
        <v>9.5713797069403732</v>
      </c>
    </row>
    <row r="70" spans="1:7" ht="16.5" hidden="1" thickBot="1">
      <c r="A70" s="73">
        <v>1999</v>
      </c>
      <c r="B70" s="74" t="s">
        <v>58</v>
      </c>
      <c r="C70" s="75">
        <v>150.47999999999999</v>
      </c>
      <c r="D70" s="202">
        <f>($C$70/$C$69-1)*100</f>
        <v>2.836055491013445</v>
      </c>
      <c r="E70" s="202">
        <f>+(($C$70/$C$67)-1)*100</f>
        <v>11.764705882352944</v>
      </c>
      <c r="F70" s="203">
        <f t="shared" si="9"/>
        <v>12.617871576111339</v>
      </c>
      <c r="G70" s="78">
        <f t="shared" si="0"/>
        <v>9.3074162182122873</v>
      </c>
    </row>
    <row r="71" spans="1:7" ht="16.5" hidden="1" thickBot="1">
      <c r="A71" s="73">
        <v>1999</v>
      </c>
      <c r="B71" s="74" t="s">
        <v>59</v>
      </c>
      <c r="C71" s="75">
        <v>149.97</v>
      </c>
      <c r="D71" s="202">
        <f>($C$71/$C$70-1)*100</f>
        <v>-0.33891547049441639</v>
      </c>
      <c r="E71" s="202">
        <f>+(($C$71/$C$67)-1)*100</f>
        <v>11.385918003565077</v>
      </c>
      <c r="F71" s="203">
        <f t="shared" si="9"/>
        <v>12.5562894025818</v>
      </c>
      <c r="G71" s="78">
        <f t="shared" ref="G71:G134" si="10">+$C$396/C71</f>
        <v>9.3390677636632997</v>
      </c>
    </row>
    <row r="72" spans="1:7" ht="16.5" hidden="1" thickBot="1">
      <c r="A72" s="73">
        <v>1999</v>
      </c>
      <c r="B72" s="74" t="s">
        <v>60</v>
      </c>
      <c r="C72" s="75">
        <v>148.74</v>
      </c>
      <c r="D72" s="202">
        <f>($C$72/$C$71-1)*100</f>
        <v>-0.82016403280655847</v>
      </c>
      <c r="E72" s="202">
        <f>+(($C$72/$C$67)-1)*100</f>
        <v>10.472370766488437</v>
      </c>
      <c r="F72" s="203">
        <f t="shared" si="9"/>
        <v>11.482536351371619</v>
      </c>
      <c r="G72" s="78">
        <f t="shared" si="10"/>
        <v>9.4162968435967791</v>
      </c>
    </row>
    <row r="73" spans="1:7" ht="16.5" hidden="1" thickBot="1">
      <c r="A73" s="73">
        <v>1999</v>
      </c>
      <c r="B73" s="74" t="s">
        <v>61</v>
      </c>
      <c r="C73" s="75">
        <v>150.75</v>
      </c>
      <c r="D73" s="202">
        <f>($C$73/$C$72-1)*100</f>
        <v>1.3513513513513375</v>
      </c>
      <c r="E73" s="202">
        <f>+(($C$73/$C$67)-1)*100</f>
        <v>11.965240641711251</v>
      </c>
      <c r="F73" s="203">
        <f t="shared" si="9"/>
        <v>12.803052978150276</v>
      </c>
      <c r="G73" s="78">
        <f t="shared" si="10"/>
        <v>9.2907462190154888</v>
      </c>
    </row>
    <row r="74" spans="1:7" ht="16.5" hidden="1" thickBot="1">
      <c r="A74" s="73">
        <v>1999</v>
      </c>
      <c r="B74" s="74" t="s">
        <v>62</v>
      </c>
      <c r="C74" s="75">
        <v>153.81</v>
      </c>
      <c r="D74" s="202">
        <f>($C$74/$C$73-1)*100</f>
        <v>2.0298507462686688</v>
      </c>
      <c r="E74" s="202">
        <f>+(($C$74/$C$67)-1)*100</f>
        <v>14.237967914438521</v>
      </c>
      <c r="F74" s="203">
        <f t="shared" si="9"/>
        <v>15.79462470827373</v>
      </c>
      <c r="G74" s="78">
        <f t="shared" si="10"/>
        <v>9.1059098401702414</v>
      </c>
    </row>
    <row r="75" spans="1:7" ht="16.5" hidden="1" thickBot="1">
      <c r="A75" s="73">
        <v>1999</v>
      </c>
      <c r="B75" s="74" t="s">
        <v>63</v>
      </c>
      <c r="C75" s="75">
        <v>157.12</v>
      </c>
      <c r="D75" s="202">
        <f>($C$75/$C$74-1)*100</f>
        <v>2.1520057213445076</v>
      </c>
      <c r="E75" s="202">
        <f>+(($C$75/$C$67)-1)*100</f>
        <v>16.696375519904947</v>
      </c>
      <c r="F75" s="203">
        <f t="shared" si="9"/>
        <v>18.33998644272048</v>
      </c>
      <c r="G75" s="78">
        <f t="shared" si="10"/>
        <v>8.9140783637766354</v>
      </c>
    </row>
    <row r="76" spans="1:7" ht="16.5" hidden="1" thickBot="1">
      <c r="A76" s="73">
        <v>1999</v>
      </c>
      <c r="B76" s="74" t="s">
        <v>64</v>
      </c>
      <c r="C76" s="75">
        <f>+$C$75*(1+$D$76/100)</f>
        <v>160.73375999999999</v>
      </c>
      <c r="D76" s="202">
        <v>2.2999999999999998</v>
      </c>
      <c r="E76" s="202">
        <f>+(($C$76/$C$67)-1)*100</f>
        <v>19.380392156862758</v>
      </c>
      <c r="F76" s="203">
        <f t="shared" si="9"/>
        <v>20.988904779826868</v>
      </c>
      <c r="G76" s="78">
        <f t="shared" si="10"/>
        <v>8.713664089713232</v>
      </c>
    </row>
    <row r="77" spans="1:7" ht="16.5" hidden="1" thickBot="1">
      <c r="A77" s="73">
        <v>1999</v>
      </c>
      <c r="B77" s="74" t="s">
        <v>65</v>
      </c>
      <c r="C77" s="75">
        <f>+$C$76*(1+$D$77/100)</f>
        <v>164.88069100799999</v>
      </c>
      <c r="D77" s="202">
        <v>2.58</v>
      </c>
      <c r="E77" s="202">
        <f>+(($C$77/$C$67)-1)*100</f>
        <v>22.460406274509804</v>
      </c>
      <c r="F77" s="203">
        <f t="shared" si="9"/>
        <v>24.344412524886884</v>
      </c>
      <c r="G77" s="78">
        <f t="shared" si="10"/>
        <v>8.4945058390653454</v>
      </c>
    </row>
    <row r="78" spans="1:7" ht="16.5" hidden="1" thickBot="1">
      <c r="A78" s="73">
        <v>1999</v>
      </c>
      <c r="B78" s="74" t="s">
        <v>66</v>
      </c>
      <c r="C78" s="75">
        <f>+$C$77*(1+$D$78/100)</f>
        <v>170.7999078151872</v>
      </c>
      <c r="D78" s="202">
        <v>3.59</v>
      </c>
      <c r="E78" s="202">
        <f>+(($C$78/$C$67)-1)*100</f>
        <v>26.856734859764721</v>
      </c>
      <c r="F78" s="203">
        <f t="shared" si="9"/>
        <v>29.06143857880248</v>
      </c>
      <c r="G78" s="78">
        <f t="shared" si="10"/>
        <v>8.2001214780049665</v>
      </c>
    </row>
    <row r="79" spans="1:7" ht="16.5" hidden="1" thickBot="1">
      <c r="A79" s="73">
        <v>1999</v>
      </c>
      <c r="B79" s="74" t="s">
        <v>55</v>
      </c>
      <c r="C79" s="75">
        <f>+$C$78*(1+$D$79/100)</f>
        <v>173.53270634023019</v>
      </c>
      <c r="D79" s="202">
        <v>1.6</v>
      </c>
      <c r="E79" s="202">
        <f>+(($C$79/$C$67)-1)*100</f>
        <v>28.886442617520956</v>
      </c>
      <c r="F79" s="203">
        <f t="shared" si="9"/>
        <v>28.886442617520956</v>
      </c>
      <c r="G79" s="78">
        <f t="shared" si="10"/>
        <v>8.0709857066978028</v>
      </c>
    </row>
    <row r="80" spans="1:7" ht="16.5" hidden="1" thickBot="1">
      <c r="A80" s="73">
        <v>2000</v>
      </c>
      <c r="B80" s="80" t="s">
        <v>56</v>
      </c>
      <c r="C80" s="75">
        <f>+$C$79*(1+$D$80/100)</f>
        <v>175.30273994490054</v>
      </c>
      <c r="D80" s="202">
        <v>1.02</v>
      </c>
      <c r="E80" s="202">
        <f>+(($C$80/$C$79)-1)*100</f>
        <v>1.0199999999999987</v>
      </c>
      <c r="F80" s="203">
        <f t="shared" si="9"/>
        <v>28.173385936170604</v>
      </c>
      <c r="G80" s="78">
        <f t="shared" si="10"/>
        <v>7.9894928793286502</v>
      </c>
    </row>
    <row r="81" spans="1:7" ht="16.5" hidden="1" thickBot="1">
      <c r="A81" s="73">
        <v>2000</v>
      </c>
      <c r="B81" s="80" t="s">
        <v>57</v>
      </c>
      <c r="C81" s="75">
        <f>+$C$80*(1+$D$81/100)</f>
        <v>175.60075460280689</v>
      </c>
      <c r="D81" s="202">
        <v>0.17</v>
      </c>
      <c r="E81" s="202">
        <f>+(($C$81/$C$79)-1)*100</f>
        <v>1.191734000000011</v>
      </c>
      <c r="F81" s="203">
        <f t="shared" si="9"/>
        <v>20.003249233107965</v>
      </c>
      <c r="G81" s="78">
        <f t="shared" si="10"/>
        <v>7.9759337918824489</v>
      </c>
    </row>
    <row r="82" spans="1:7" ht="16.5" hidden="1" thickBot="1">
      <c r="A82" s="73">
        <v>2000</v>
      </c>
      <c r="B82" s="80" t="s">
        <v>58</v>
      </c>
      <c r="C82" s="75">
        <f>+$C$81*(1+$D$82/100)</f>
        <v>175.5129542255055</v>
      </c>
      <c r="D82" s="202">
        <v>-0.05</v>
      </c>
      <c r="E82" s="202">
        <f>+(($C$82/$C$79)-1)*100</f>
        <v>1.1411381330000081</v>
      </c>
      <c r="F82" s="203">
        <f t="shared" si="9"/>
        <v>16.635402861181213</v>
      </c>
      <c r="G82" s="78">
        <f t="shared" si="10"/>
        <v>7.9799237537593282</v>
      </c>
    </row>
    <row r="83" spans="1:7" ht="16.5" hidden="1" thickBot="1">
      <c r="A83" s="73">
        <v>2000</v>
      </c>
      <c r="B83" s="80" t="s">
        <v>59</v>
      </c>
      <c r="C83" s="75">
        <f>+$C$82*(1+$D$83/100)</f>
        <v>175.4778516346604</v>
      </c>
      <c r="D83" s="202">
        <v>-0.02</v>
      </c>
      <c r="E83" s="202">
        <f>+(($C$83/$C$79)-1)*100</f>
        <v>1.1209099053734128</v>
      </c>
      <c r="F83" s="203">
        <f t="shared" si="9"/>
        <v>17.008636150337008</v>
      </c>
      <c r="G83" s="78">
        <f t="shared" si="10"/>
        <v>7.981520057770882</v>
      </c>
    </row>
    <row r="84" spans="1:7" ht="16.5" hidden="1" thickBot="1">
      <c r="A84" s="73">
        <v>2000</v>
      </c>
      <c r="B84" s="80" t="s">
        <v>60</v>
      </c>
      <c r="C84" s="75">
        <f>+$C$83*(1+$D$84/100)</f>
        <v>176.68864881093953</v>
      </c>
      <c r="D84" s="202">
        <v>0.69</v>
      </c>
      <c r="E84" s="202">
        <f>+(($C$84/$C$79)-1)*100</f>
        <v>1.8186441837204859</v>
      </c>
      <c r="F84" s="203">
        <f t="shared" si="9"/>
        <v>18.790270815476351</v>
      </c>
      <c r="G84" s="78">
        <f t="shared" si="10"/>
        <v>7.9268249655088727</v>
      </c>
    </row>
    <row r="85" spans="1:7" ht="16.5" hidden="1" thickBot="1">
      <c r="A85" s="73">
        <v>2000</v>
      </c>
      <c r="B85" s="80" t="s">
        <v>61</v>
      </c>
      <c r="C85" s="75">
        <f>+$C$84*(1+$D$85/100)</f>
        <v>179.25063421869814</v>
      </c>
      <c r="D85" s="202">
        <v>1.45</v>
      </c>
      <c r="E85" s="202">
        <f>+(($C$85/$C$79)-1)*100</f>
        <v>3.2950145243844098</v>
      </c>
      <c r="F85" s="203">
        <f t="shared" si="9"/>
        <v>18.905893345736736</v>
      </c>
      <c r="G85" s="78">
        <f t="shared" si="10"/>
        <v>7.8135287979387611</v>
      </c>
    </row>
    <row r="86" spans="1:7" ht="16.5" hidden="1" thickBot="1">
      <c r="A86" s="73">
        <v>2000</v>
      </c>
      <c r="B86" s="80" t="s">
        <v>62</v>
      </c>
      <c r="C86" s="75">
        <f>+$C$85*(1+$D$86/100)</f>
        <v>184.25172691339984</v>
      </c>
      <c r="D86" s="202">
        <v>2.79</v>
      </c>
      <c r="E86" s="202">
        <f>+(($C$86/$C$79)-1)*100</f>
        <v>6.1769454296147552</v>
      </c>
      <c r="F86" s="203">
        <f t="shared" si="9"/>
        <v>19.791773560496615</v>
      </c>
      <c r="G86" s="78">
        <f t="shared" si="10"/>
        <v>7.601448387915906</v>
      </c>
    </row>
    <row r="87" spans="1:7" ht="16.5" hidden="1" thickBot="1">
      <c r="A87" s="73">
        <v>2000</v>
      </c>
      <c r="B87" s="80" t="s">
        <v>63</v>
      </c>
      <c r="C87" s="75">
        <f>+$C$86*(1+$D$87/100)</f>
        <v>188.96857112238288</v>
      </c>
      <c r="D87" s="202">
        <v>2.56</v>
      </c>
      <c r="E87" s="202">
        <f>+(($C$87/$C$79)-1)*100</f>
        <v>8.8950752326129034</v>
      </c>
      <c r="F87" s="203">
        <f t="shared" si="9"/>
        <v>20.270220928196835</v>
      </c>
      <c r="G87" s="78">
        <f t="shared" si="10"/>
        <v>7.4117086465638709</v>
      </c>
    </row>
    <row r="88" spans="1:7" ht="16.5" hidden="1" thickBot="1">
      <c r="A88" s="73">
        <v>2000</v>
      </c>
      <c r="B88" s="80" t="s">
        <v>64</v>
      </c>
      <c r="C88" s="75">
        <f>+$C$87*(1+$D$88/100)</f>
        <v>191.02832854761684</v>
      </c>
      <c r="D88" s="202">
        <v>1.0900000000000001</v>
      </c>
      <c r="E88" s="202">
        <f>+(($C$88/$C$79)-1)*100</f>
        <v>10.082031552648374</v>
      </c>
      <c r="F88" s="203">
        <f t="shared" si="9"/>
        <v>18.847669927970866</v>
      </c>
      <c r="G88" s="78">
        <f t="shared" si="10"/>
        <v>7.3317921125372161</v>
      </c>
    </row>
    <row r="89" spans="1:7" ht="16.5" hidden="1" thickBot="1">
      <c r="A89" s="73">
        <v>2000</v>
      </c>
      <c r="B89" s="80" t="s">
        <v>65</v>
      </c>
      <c r="C89" s="75">
        <f>+$C$88*(1+$D$89/100)</f>
        <v>192.09808718748351</v>
      </c>
      <c r="D89" s="202">
        <v>0.56000000000000005</v>
      </c>
      <c r="E89" s="202">
        <f>+(($C$89/$C$79)-1)*100</f>
        <v>10.698490929343208</v>
      </c>
      <c r="F89" s="203">
        <f t="shared" si="9"/>
        <v>16.507327821765962</v>
      </c>
      <c r="G89" s="78">
        <f t="shared" si="10"/>
        <v>7.2909627212979462</v>
      </c>
    </row>
    <row r="90" spans="1:7" ht="16.5" hidden="1" thickBot="1">
      <c r="A90" s="73">
        <v>2000</v>
      </c>
      <c r="B90" s="80" t="s">
        <v>66</v>
      </c>
      <c r="C90" s="75">
        <f>+$C$89*(1+$D$90/100)</f>
        <v>192.82805991879596</v>
      </c>
      <c r="D90" s="202">
        <v>0.38</v>
      </c>
      <c r="E90" s="202">
        <f>+(($C$90/$C$79)-1)*100</f>
        <v>11.119145194874713</v>
      </c>
      <c r="F90" s="203">
        <f t="shared" si="9"/>
        <v>12.897051517992718</v>
      </c>
      <c r="G90" s="78">
        <f t="shared" si="10"/>
        <v>7.2633619459035126</v>
      </c>
    </row>
    <row r="91" spans="1:7" ht="16.5" hidden="1" thickBot="1">
      <c r="A91" s="73">
        <v>2000</v>
      </c>
      <c r="B91" s="80" t="s">
        <v>55</v>
      </c>
      <c r="C91" s="75">
        <f>+$C$90*(1+$D$91/100)</f>
        <v>194.46709842810571</v>
      </c>
      <c r="D91" s="202">
        <v>0.85</v>
      </c>
      <c r="E91" s="202">
        <f>+(($C$91/$C$79)-1)*100</f>
        <v>12.063657929031146</v>
      </c>
      <c r="F91" s="203">
        <f t="shared" si="9"/>
        <v>12.063657929031146</v>
      </c>
      <c r="G91" s="78">
        <f t="shared" si="10"/>
        <v>7.20214372424741</v>
      </c>
    </row>
    <row r="92" spans="1:7" ht="16.5" hidden="1" thickBot="1">
      <c r="A92" s="73">
        <v>2001</v>
      </c>
      <c r="B92" s="80" t="s">
        <v>56</v>
      </c>
      <c r="C92" s="75">
        <f>+$C$91*(1+$D$92/100)</f>
        <v>195.24496682181814</v>
      </c>
      <c r="D92" s="202">
        <v>0.4</v>
      </c>
      <c r="E92" s="202">
        <f>+(($C$92/$C$91)-1)*100</f>
        <v>0.40000000000000036</v>
      </c>
      <c r="F92" s="203">
        <f t="shared" si="9"/>
        <v>11.375878599037105</v>
      </c>
      <c r="G92" s="78">
        <f t="shared" si="10"/>
        <v>7.1734499245492129</v>
      </c>
    </row>
    <row r="93" spans="1:7" ht="16.5" hidden="1" thickBot="1">
      <c r="A93" s="73">
        <v>2001</v>
      </c>
      <c r="B93" s="80" t="s">
        <v>57</v>
      </c>
      <c r="C93" s="75">
        <f>+$C$92*(1+$D$93/100)</f>
        <v>195.83070172228358</v>
      </c>
      <c r="D93" s="202">
        <v>0.3</v>
      </c>
      <c r="E93" s="202">
        <f>+(($C$93/$C$91)-1)*100</f>
        <v>0.70120000000000182</v>
      </c>
      <c r="F93" s="203">
        <f t="shared" si="9"/>
        <v>11.520421518253166</v>
      </c>
      <c r="G93" s="78">
        <f t="shared" si="10"/>
        <v>7.1519939427210506</v>
      </c>
    </row>
    <row r="94" spans="1:7" ht="16.5" hidden="1" thickBot="1">
      <c r="A94" s="73">
        <v>2001</v>
      </c>
      <c r="B94" s="80" t="s">
        <v>58</v>
      </c>
      <c r="C94" s="75">
        <f>+$C$93*(1+$D$94/100)</f>
        <v>197.80859180967863</v>
      </c>
      <c r="D94" s="202">
        <v>1.01</v>
      </c>
      <c r="E94" s="202">
        <f>+(($C$94/$C$91)-1)*100</f>
        <v>1.7182821199999809</v>
      </c>
      <c r="F94" s="203">
        <f t="shared" si="9"/>
        <v>12.703129340257636</v>
      </c>
      <c r="G94" s="78">
        <f t="shared" si="10"/>
        <v>7.0804810837749246</v>
      </c>
    </row>
    <row r="95" spans="1:7" ht="16.5" hidden="1" thickBot="1">
      <c r="A95" s="73">
        <v>2001</v>
      </c>
      <c r="B95" s="80" t="s">
        <v>59</v>
      </c>
      <c r="C95" s="75">
        <f t="shared" ref="C95:C158" si="11">+C94*(1+D95/100)</f>
        <v>200.55813123583317</v>
      </c>
      <c r="D95" s="202">
        <v>1.39</v>
      </c>
      <c r="E95" s="202">
        <f t="shared" ref="E95:E100" si="12">+((C95/$C$91)-1)*100</f>
        <v>3.1321662414679929</v>
      </c>
      <c r="F95" s="203">
        <f t="shared" si="9"/>
        <v>14.29256135035728</v>
      </c>
      <c r="G95" s="78">
        <f t="shared" si="10"/>
        <v>6.9834116616776054</v>
      </c>
    </row>
    <row r="96" spans="1:7" ht="16.5" hidden="1" thickBot="1">
      <c r="A96" s="73">
        <v>2001</v>
      </c>
      <c r="B96" s="80" t="s">
        <v>60</v>
      </c>
      <c r="C96" s="75">
        <f t="shared" si="11"/>
        <v>200.91913587205767</v>
      </c>
      <c r="D96" s="202">
        <v>0.18</v>
      </c>
      <c r="E96" s="202">
        <f t="shared" si="12"/>
        <v>3.3178041407026404</v>
      </c>
      <c r="F96" s="203">
        <f t="shared" si="9"/>
        <v>13.713663681386379</v>
      </c>
      <c r="G96" s="78">
        <f t="shared" si="10"/>
        <v>6.9708641062862906</v>
      </c>
    </row>
    <row r="97" spans="1:7" ht="16.5" hidden="1" thickBot="1">
      <c r="A97" s="73">
        <v>2001</v>
      </c>
      <c r="B97" s="80" t="s">
        <v>61</v>
      </c>
      <c r="C97" s="75">
        <f>+C96*(1+D97/100)</f>
        <v>204.85715093515</v>
      </c>
      <c r="D97" s="202">
        <v>1.96</v>
      </c>
      <c r="E97" s="202">
        <f t="shared" si="12"/>
        <v>5.3428331018604114</v>
      </c>
      <c r="F97" s="203">
        <f t="shared" si="9"/>
        <v>14.285314430302186</v>
      </c>
      <c r="G97" s="78">
        <f t="shared" si="10"/>
        <v>6.836861618562466</v>
      </c>
    </row>
    <row r="98" spans="1:7" ht="16.5" hidden="1" thickBot="1">
      <c r="A98" s="73">
        <v>2001</v>
      </c>
      <c r="B98" s="80" t="s">
        <v>62</v>
      </c>
      <c r="C98" s="75">
        <f>+C97*(1+D98/100)</f>
        <v>208.81089394819841</v>
      </c>
      <c r="D98" s="202">
        <v>1.93</v>
      </c>
      <c r="E98" s="202">
        <f t="shared" si="12"/>
        <v>7.3759497807263097</v>
      </c>
      <c r="F98" s="203">
        <f t="shared" si="9"/>
        <v>13.329138047287682</v>
      </c>
      <c r="G98" s="78">
        <f t="shared" si="10"/>
        <v>6.7074086319655306</v>
      </c>
    </row>
    <row r="99" spans="1:7" ht="16.5" hidden="1" thickBot="1">
      <c r="A99" s="73">
        <v>2001</v>
      </c>
      <c r="B99" s="80" t="s">
        <v>63</v>
      </c>
      <c r="C99" s="75">
        <f t="shared" si="11"/>
        <v>211.17045704981308</v>
      </c>
      <c r="D99" s="202">
        <v>1.1299999999999999</v>
      </c>
      <c r="E99" s="202">
        <f t="shared" si="12"/>
        <v>8.5892980132485484</v>
      </c>
      <c r="F99" s="203">
        <f t="shared" si="9"/>
        <v>11.74898333387484</v>
      </c>
      <c r="G99" s="78">
        <f t="shared" si="10"/>
        <v>6.6324618134732818</v>
      </c>
    </row>
    <row r="100" spans="1:7" ht="16.5" hidden="1" thickBot="1">
      <c r="A100" s="73">
        <v>2001</v>
      </c>
      <c r="B100" s="80" t="s">
        <v>64</v>
      </c>
      <c r="C100" s="75">
        <f t="shared" si="11"/>
        <v>212.18407524365216</v>
      </c>
      <c r="D100" s="202">
        <v>0.48</v>
      </c>
      <c r="E100" s="202">
        <f t="shared" si="12"/>
        <v>9.1105266437121237</v>
      </c>
      <c r="F100" s="203">
        <f t="shared" si="9"/>
        <v>11.074664609632446</v>
      </c>
      <c r="G100" s="78">
        <f t="shared" si="10"/>
        <v>6.6007780786955434</v>
      </c>
    </row>
    <row r="101" spans="1:7" ht="16.5" hidden="1" thickBot="1">
      <c r="A101" s="73">
        <v>2001</v>
      </c>
      <c r="B101" s="80" t="s">
        <v>65</v>
      </c>
      <c r="C101" s="75">
        <f t="shared" si="11"/>
        <v>216.1731358582328</v>
      </c>
      <c r="D101" s="202">
        <v>1.88</v>
      </c>
      <c r="E101" s="202">
        <f>+((C101/$C$91)-1)*100</f>
        <v>11.161804544613908</v>
      </c>
      <c r="F101" s="203">
        <f t="shared" si="9"/>
        <v>12.532685266799426</v>
      </c>
      <c r="G101" s="78">
        <f t="shared" si="10"/>
        <v>6.4789733791672006</v>
      </c>
    </row>
    <row r="102" spans="1:7" ht="16.5" hidden="1" thickBot="1">
      <c r="A102" s="73">
        <v>2001</v>
      </c>
      <c r="B102" s="80" t="s">
        <v>66</v>
      </c>
      <c r="C102" s="75">
        <f t="shared" si="11"/>
        <v>217.75119974999791</v>
      </c>
      <c r="D102" s="202">
        <v>0.73</v>
      </c>
      <c r="E102" s="202">
        <f>+((C102/$C$91)-1)*100</f>
        <v>11.973285717789594</v>
      </c>
      <c r="F102" s="203">
        <f t="shared" si="9"/>
        <v>12.925058646390797</v>
      </c>
      <c r="G102" s="78">
        <f t="shared" si="10"/>
        <v>6.4320196358256734</v>
      </c>
    </row>
    <row r="103" spans="1:7" ht="16.5" hidden="1" thickBot="1">
      <c r="A103" s="73">
        <v>2001</v>
      </c>
      <c r="B103" s="80" t="s">
        <v>55</v>
      </c>
      <c r="C103" s="75">
        <f t="shared" si="11"/>
        <v>217.55522367022292</v>
      </c>
      <c r="D103" s="202">
        <v>-0.09</v>
      </c>
      <c r="E103" s="202">
        <f>+((C103/$C$91)-1)*100</f>
        <v>11.872509760643579</v>
      </c>
      <c r="F103" s="203">
        <f t="shared" si="9"/>
        <v>11.872509760643579</v>
      </c>
      <c r="G103" s="78">
        <f t="shared" si="10"/>
        <v>6.4378136681269877</v>
      </c>
    </row>
    <row r="104" spans="1:7" ht="16.5" hidden="1" thickBot="1">
      <c r="A104" s="73">
        <v>2002</v>
      </c>
      <c r="B104" s="80" t="s">
        <v>56</v>
      </c>
      <c r="C104" s="75">
        <f>+C103*(1+D104/100)</f>
        <v>217.27240187945162</v>
      </c>
      <c r="D104" s="202">
        <v>-0.13</v>
      </c>
      <c r="E104" s="202">
        <f t="shared" ref="E104:E110" si="13">+((C104/$C$103)-1)*100</f>
        <v>-0.12999999999999678</v>
      </c>
      <c r="F104" s="203">
        <f t="shared" si="9"/>
        <v>11.281947707126228</v>
      </c>
      <c r="G104" s="78">
        <f t="shared" si="10"/>
        <v>6.4461937199629391</v>
      </c>
    </row>
    <row r="105" spans="1:7" ht="16.5" hidden="1" thickBot="1">
      <c r="A105" s="73">
        <v>2002</v>
      </c>
      <c r="B105" s="80" t="s">
        <v>57</v>
      </c>
      <c r="C105" s="75">
        <f t="shared" si="11"/>
        <v>217.57658324208288</v>
      </c>
      <c r="D105" s="202">
        <v>0.14000000000000001</v>
      </c>
      <c r="E105" s="202">
        <f t="shared" si="13"/>
        <v>9.8180000000169798E-3</v>
      </c>
      <c r="F105" s="203">
        <f t="shared" si="9"/>
        <v>11.104429146476802</v>
      </c>
      <c r="G105" s="78">
        <f t="shared" si="10"/>
        <v>6.437181665631055</v>
      </c>
    </row>
    <row r="106" spans="1:7" ht="16.5" hidden="1" thickBot="1">
      <c r="A106" s="73">
        <v>2002</v>
      </c>
      <c r="B106" s="80" t="s">
        <v>58</v>
      </c>
      <c r="C106" s="75">
        <f t="shared" si="11"/>
        <v>217.33724900051658</v>
      </c>
      <c r="D106" s="202">
        <v>-0.11</v>
      </c>
      <c r="E106" s="202">
        <f t="shared" si="13"/>
        <v>-0.10019279979999185</v>
      </c>
      <c r="F106" s="203">
        <f t="shared" si="9"/>
        <v>9.8725020041735334</v>
      </c>
      <c r="G106" s="78">
        <f t="shared" si="10"/>
        <v>6.4442703630303892</v>
      </c>
    </row>
    <row r="107" spans="1:7" ht="16.5" hidden="1" thickBot="1">
      <c r="A107" s="73">
        <v>2002</v>
      </c>
      <c r="B107" s="80" t="s">
        <v>59</v>
      </c>
      <c r="C107" s="75">
        <f t="shared" si="11"/>
        <v>218.96727836802046</v>
      </c>
      <c r="D107" s="202">
        <v>0.75</v>
      </c>
      <c r="E107" s="202">
        <f t="shared" si="13"/>
        <v>0.64905575420151074</v>
      </c>
      <c r="F107" s="203">
        <f t="shared" si="9"/>
        <v>9.1789582495362723</v>
      </c>
      <c r="G107" s="78">
        <f t="shared" si="10"/>
        <v>6.3962981270773085</v>
      </c>
    </row>
    <row r="108" spans="1:7" ht="16.5" hidden="1" thickBot="1">
      <c r="A108" s="73">
        <v>2002</v>
      </c>
      <c r="B108" s="80" t="s">
        <v>60</v>
      </c>
      <c r="C108" s="75">
        <f t="shared" si="11"/>
        <v>221.74816280329429</v>
      </c>
      <c r="D108" s="202">
        <v>1.27</v>
      </c>
      <c r="E108" s="202">
        <f t="shared" si="13"/>
        <v>1.927298762279861</v>
      </c>
      <c r="F108" s="203">
        <f t="shared" si="9"/>
        <v>10.366870652131531</v>
      </c>
      <c r="G108" s="78">
        <f t="shared" si="10"/>
        <v>6.3160838620295348</v>
      </c>
    </row>
    <row r="109" spans="1:7" ht="16.5" hidden="1" thickBot="1">
      <c r="A109" s="73">
        <v>2002</v>
      </c>
      <c r="B109" s="80" t="s">
        <v>61</v>
      </c>
      <c r="C109" s="75">
        <f t="shared" si="11"/>
        <v>227.29186687337662</v>
      </c>
      <c r="D109" s="202">
        <v>2.5</v>
      </c>
      <c r="E109" s="202">
        <f t="shared" si="13"/>
        <v>4.4754812313368308</v>
      </c>
      <c r="F109" s="203">
        <f t="shared" si="9"/>
        <v>10.951395074965475</v>
      </c>
      <c r="G109" s="78">
        <f t="shared" si="10"/>
        <v>6.1620330361263758</v>
      </c>
    </row>
    <row r="110" spans="1:7" ht="16.5" hidden="1" thickBot="1">
      <c r="A110" s="73">
        <v>2002</v>
      </c>
      <c r="B110" s="80" t="s">
        <v>62</v>
      </c>
      <c r="C110" s="75">
        <f t="shared" si="11"/>
        <v>233.70149751920584</v>
      </c>
      <c r="D110" s="202">
        <v>2.82</v>
      </c>
      <c r="E110" s="202">
        <f t="shared" si="13"/>
        <v>7.4216898020605493</v>
      </c>
      <c r="F110" s="203">
        <f t="shared" si="9"/>
        <v>11.920165227194634</v>
      </c>
      <c r="G110" s="78">
        <f t="shared" si="10"/>
        <v>5.9930296013678035</v>
      </c>
    </row>
    <row r="111" spans="1:7" ht="16.5" hidden="1" thickBot="1">
      <c r="A111" s="73">
        <v>2002</v>
      </c>
      <c r="B111" s="80" t="s">
        <v>63</v>
      </c>
      <c r="C111" s="75">
        <f t="shared" si="11"/>
        <v>241.46038723684345</v>
      </c>
      <c r="D111" s="202">
        <v>3.32</v>
      </c>
      <c r="E111" s="202">
        <f>+((C111/$C$103)-1)*100</f>
        <v>10.988089903488941</v>
      </c>
      <c r="F111" s="203">
        <f t="shared" si="9"/>
        <v>14.343829440064738</v>
      </c>
      <c r="G111" s="78">
        <f t="shared" si="10"/>
        <v>5.8004545115832409</v>
      </c>
    </row>
    <row r="112" spans="1:7" ht="16.5" hidden="1" thickBot="1">
      <c r="A112" s="73">
        <v>2002</v>
      </c>
      <c r="B112" s="80" t="s">
        <v>64</v>
      </c>
      <c r="C112" s="75">
        <f t="shared" si="11"/>
        <v>250.73246610673823</v>
      </c>
      <c r="D112" s="202">
        <v>3.84</v>
      </c>
      <c r="E112" s="202">
        <f>+((C112/$C$103)-1)*100</f>
        <v>15.2500325557829</v>
      </c>
      <c r="F112" s="203">
        <f t="shared" si="9"/>
        <v>18.167428832168842</v>
      </c>
      <c r="G112" s="78">
        <f t="shared" si="10"/>
        <v>5.5859538824954171</v>
      </c>
    </row>
    <row r="113" spans="1:7" ht="16.5" hidden="1" thickBot="1">
      <c r="A113" s="73">
        <v>2002</v>
      </c>
      <c r="B113" s="80" t="s">
        <v>65</v>
      </c>
      <c r="C113" s="75">
        <f t="shared" si="11"/>
        <v>265.82656056636387</v>
      </c>
      <c r="D113" s="202">
        <v>6.02</v>
      </c>
      <c r="E113" s="202">
        <f>+((C113/$C$103)-1)*100</f>
        <v>22.188084515641027</v>
      </c>
      <c r="F113" s="203">
        <f t="shared" si="9"/>
        <v>22.969285480825885</v>
      </c>
      <c r="G113" s="78">
        <f t="shared" si="10"/>
        <v>5.2687737054286146</v>
      </c>
    </row>
    <row r="114" spans="1:7" ht="16.5" hidden="1" thickBot="1">
      <c r="A114" s="73">
        <v>2002</v>
      </c>
      <c r="B114" s="80" t="s">
        <v>66</v>
      </c>
      <c r="C114" s="75">
        <f t="shared" si="11"/>
        <v>285.630639328558</v>
      </c>
      <c r="D114" s="202">
        <v>7.45</v>
      </c>
      <c r="E114" s="202">
        <f>+((C114/$C$103)-1)*100</f>
        <v>31.291096812056306</v>
      </c>
      <c r="F114" s="203">
        <f t="shared" si="9"/>
        <v>31.17293482492547</v>
      </c>
      <c r="G114" s="78">
        <f t="shared" si="10"/>
        <v>4.9034655238981983</v>
      </c>
    </row>
    <row r="115" spans="1:7" ht="16.5" hidden="1" thickBot="1">
      <c r="A115" s="73">
        <v>2002</v>
      </c>
      <c r="B115" s="80" t="s">
        <v>55</v>
      </c>
      <c r="C115" s="75">
        <f t="shared" si="11"/>
        <v>294.59944140347477</v>
      </c>
      <c r="D115" s="202">
        <v>3.14</v>
      </c>
      <c r="E115" s="202">
        <f>+((C115/$C$103)-1)*100</f>
        <v>35.413637251954896</v>
      </c>
      <c r="F115" s="203">
        <f t="shared" si="9"/>
        <v>35.413637251954896</v>
      </c>
      <c r="G115" s="78">
        <f t="shared" si="10"/>
        <v>4.7541841418442869</v>
      </c>
    </row>
    <row r="116" spans="1:7" ht="16.5" hidden="1" thickBot="1">
      <c r="A116" s="73">
        <v>2003</v>
      </c>
      <c r="B116" s="80" t="s">
        <v>56</v>
      </c>
      <c r="C116" s="75">
        <f t="shared" si="11"/>
        <v>301.11008905849155</v>
      </c>
      <c r="D116" s="202">
        <v>2.21</v>
      </c>
      <c r="E116" s="202">
        <f t="shared" ref="E116:E127" si="14">+((C116/$C$115)-1)*100</f>
        <v>2.2100000000000009</v>
      </c>
      <c r="F116" s="203">
        <f t="shared" ref="F116:F179" si="15">100*((C116/C104)-1)</f>
        <v>38.586441008534187</v>
      </c>
      <c r="G116" s="78">
        <f t="shared" si="10"/>
        <v>4.6513884569457851</v>
      </c>
    </row>
    <row r="117" spans="1:7" ht="16.5" hidden="1" thickBot="1">
      <c r="A117" s="73">
        <v>2003</v>
      </c>
      <c r="B117" s="80" t="s">
        <v>57</v>
      </c>
      <c r="C117" s="75">
        <f t="shared" si="11"/>
        <v>306.25907158139171</v>
      </c>
      <c r="D117" s="202">
        <v>1.71</v>
      </c>
      <c r="E117" s="202">
        <f t="shared" si="14"/>
        <v>3.9577909999999772</v>
      </c>
      <c r="F117" s="203">
        <f t="shared" si="15"/>
        <v>40.759206261014654</v>
      </c>
      <c r="G117" s="78">
        <f t="shared" si="10"/>
        <v>4.5731869599309665</v>
      </c>
    </row>
    <row r="118" spans="1:7" ht="16.5" hidden="1" thickBot="1">
      <c r="A118" s="73">
        <v>2003</v>
      </c>
      <c r="B118" s="80" t="s">
        <v>58</v>
      </c>
      <c r="C118" s="75">
        <f t="shared" si="11"/>
        <v>312.16987166291261</v>
      </c>
      <c r="D118" s="202">
        <v>1.93</v>
      </c>
      <c r="E118" s="202">
        <f t="shared" si="14"/>
        <v>5.9641763663000003</v>
      </c>
      <c r="F118" s="203">
        <f t="shared" si="15"/>
        <v>43.633856183654295</v>
      </c>
      <c r="G118" s="78">
        <f t="shared" si="10"/>
        <v>4.4865956636230413</v>
      </c>
    </row>
    <row r="119" spans="1:7" ht="16.5" hidden="1" thickBot="1">
      <c r="A119" s="73">
        <v>2003</v>
      </c>
      <c r="B119" s="80" t="s">
        <v>59</v>
      </c>
      <c r="C119" s="75">
        <f t="shared" si="11"/>
        <v>312.38839057307661</v>
      </c>
      <c r="D119" s="202">
        <v>7.0000000000000007E-2</v>
      </c>
      <c r="E119" s="202">
        <f t="shared" si="14"/>
        <v>6.0383512897563829</v>
      </c>
      <c r="F119" s="203">
        <f t="shared" si="15"/>
        <v>42.664416757303059</v>
      </c>
      <c r="G119" s="78">
        <f t="shared" si="10"/>
        <v>4.4834572435525546</v>
      </c>
    </row>
    <row r="120" spans="1:7" ht="16.5" hidden="1" thickBot="1">
      <c r="A120" s="73">
        <v>2003</v>
      </c>
      <c r="B120" s="80" t="s">
        <v>60</v>
      </c>
      <c r="C120" s="75">
        <f t="shared" si="11"/>
        <v>307.14026561144891</v>
      </c>
      <c r="D120" s="202">
        <v>-1.68</v>
      </c>
      <c r="E120" s="202">
        <f t="shared" si="14"/>
        <v>4.2569069880884713</v>
      </c>
      <c r="F120" s="203">
        <f t="shared" si="15"/>
        <v>38.508595394273115</v>
      </c>
      <c r="G120" s="78">
        <f t="shared" si="10"/>
        <v>4.5600663583732253</v>
      </c>
    </row>
    <row r="121" spans="1:7" ht="16.5" hidden="1" thickBot="1">
      <c r="A121" s="73">
        <v>2003</v>
      </c>
      <c r="B121" s="80" t="s">
        <v>61</v>
      </c>
      <c r="C121" s="75">
        <f t="shared" si="11"/>
        <v>303.57743853035606</v>
      </c>
      <c r="D121" s="202">
        <v>-1.1599999999999999</v>
      </c>
      <c r="E121" s="202">
        <f t="shared" si="14"/>
        <v>3.0475268670266287</v>
      </c>
      <c r="F121" s="203">
        <f t="shared" si="15"/>
        <v>33.562825061170273</v>
      </c>
      <c r="G121" s="78">
        <f t="shared" si="10"/>
        <v>4.6135839319842429</v>
      </c>
    </row>
    <row r="122" spans="1:7" ht="16.5" hidden="1" thickBot="1">
      <c r="A122" s="73">
        <v>2003</v>
      </c>
      <c r="B122" s="80" t="s">
        <v>62</v>
      </c>
      <c r="C122" s="75">
        <f t="shared" si="11"/>
        <v>301.78633164302698</v>
      </c>
      <c r="D122" s="202">
        <v>-0.59</v>
      </c>
      <c r="E122" s="202">
        <f t="shared" si="14"/>
        <v>2.4395464585111881</v>
      </c>
      <c r="F122" s="203">
        <f t="shared" si="15"/>
        <v>29.133246832629233</v>
      </c>
      <c r="G122" s="78">
        <f t="shared" si="10"/>
        <v>4.6409656291965025</v>
      </c>
    </row>
    <row r="123" spans="1:7" ht="16.5" hidden="1" thickBot="1">
      <c r="A123" s="73">
        <v>2003</v>
      </c>
      <c r="B123" s="80" t="s">
        <v>63</v>
      </c>
      <c r="C123" s="75">
        <f t="shared" si="11"/>
        <v>303.89883596452813</v>
      </c>
      <c r="D123" s="202">
        <v>0.7</v>
      </c>
      <c r="E123" s="202">
        <f t="shared" si="14"/>
        <v>3.1566232837207497</v>
      </c>
      <c r="F123" s="203">
        <f t="shared" si="15"/>
        <v>25.858671661302402</v>
      </c>
      <c r="G123" s="78">
        <f t="shared" si="10"/>
        <v>4.6087046963222473</v>
      </c>
    </row>
    <row r="124" spans="1:7" ht="16.5" hidden="1" thickBot="1">
      <c r="A124" s="73">
        <v>2003</v>
      </c>
      <c r="B124" s="80" t="s">
        <v>64</v>
      </c>
      <c r="C124" s="75">
        <f t="shared" si="11"/>
        <v>307.8191309484705</v>
      </c>
      <c r="D124" s="202">
        <v>1.29</v>
      </c>
      <c r="E124" s="202">
        <f t="shared" si="14"/>
        <v>4.4873437240807279</v>
      </c>
      <c r="F124" s="203">
        <f t="shared" si="15"/>
        <v>22.767958903826258</v>
      </c>
      <c r="G124" s="78">
        <f t="shared" si="10"/>
        <v>4.5500095728327059</v>
      </c>
    </row>
    <row r="125" spans="1:7" ht="16.5" hidden="1" thickBot="1">
      <c r="A125" s="73">
        <v>2003</v>
      </c>
      <c r="B125" s="80" t="s">
        <v>65</v>
      </c>
      <c r="C125" s="75">
        <f t="shared" si="11"/>
        <v>309.35822660321281</v>
      </c>
      <c r="D125" s="202">
        <v>0.5</v>
      </c>
      <c r="E125" s="202">
        <f t="shared" si="14"/>
        <v>5.0097804427011283</v>
      </c>
      <c r="F125" s="203">
        <f t="shared" si="15"/>
        <v>16.375965570972806</v>
      </c>
      <c r="G125" s="78">
        <f t="shared" si="10"/>
        <v>4.5273727092862748</v>
      </c>
    </row>
    <row r="126" spans="1:7" ht="16.5" hidden="1" thickBot="1">
      <c r="A126" s="73">
        <v>2003</v>
      </c>
      <c r="B126" s="80" t="s">
        <v>66</v>
      </c>
      <c r="C126" s="75">
        <f t="shared" si="11"/>
        <v>310.7812744455876</v>
      </c>
      <c r="D126" s="202">
        <v>0.46</v>
      </c>
      <c r="E126" s="202">
        <f t="shared" si="14"/>
        <v>5.492825432737547</v>
      </c>
      <c r="F126" s="203">
        <f t="shared" si="15"/>
        <v>8.8053001513255236</v>
      </c>
      <c r="G126" s="78">
        <f t="shared" si="10"/>
        <v>4.5066421553715657</v>
      </c>
    </row>
    <row r="127" spans="1:7" ht="16.5" hidden="1" thickBot="1">
      <c r="A127" s="73">
        <v>2003</v>
      </c>
      <c r="B127" s="80" t="s">
        <v>55</v>
      </c>
      <c r="C127" s="75">
        <f t="shared" si="11"/>
        <v>313.08105587648498</v>
      </c>
      <c r="D127" s="202">
        <v>0.74</v>
      </c>
      <c r="E127" s="202">
        <f t="shared" si="14"/>
        <v>6.273472340939823</v>
      </c>
      <c r="F127" s="203">
        <f t="shared" si="15"/>
        <v>6.273472340939823</v>
      </c>
      <c r="G127" s="78">
        <f t="shared" si="10"/>
        <v>4.4735379743612915</v>
      </c>
    </row>
    <row r="128" spans="1:7" ht="16.5" hidden="1" thickBot="1">
      <c r="A128" s="73">
        <v>2004</v>
      </c>
      <c r="B128" s="80" t="s">
        <v>56</v>
      </c>
      <c r="C128" s="75">
        <f t="shared" si="11"/>
        <v>315.42916379555862</v>
      </c>
      <c r="D128" s="202">
        <v>0.75</v>
      </c>
      <c r="E128" s="202">
        <f t="shared" ref="E128:E139" si="16">+((C128/$C$127)-1)*100</f>
        <v>0.75000000000000622</v>
      </c>
      <c r="F128" s="203">
        <f t="shared" si="15"/>
        <v>4.7554284155140181</v>
      </c>
      <c r="G128" s="78">
        <f t="shared" si="10"/>
        <v>4.4402362028399915</v>
      </c>
    </row>
    <row r="129" spans="1:7" ht="16.5" hidden="1" thickBot="1">
      <c r="A129" s="73">
        <v>2004</v>
      </c>
      <c r="B129" s="80" t="s">
        <v>57</v>
      </c>
      <c r="C129" s="75">
        <f t="shared" si="11"/>
        <v>319.90825792145557</v>
      </c>
      <c r="D129" s="202">
        <v>1.42</v>
      </c>
      <c r="E129" s="202">
        <f t="shared" si="16"/>
        <v>2.1806500000000062</v>
      </c>
      <c r="F129" s="203">
        <f t="shared" si="15"/>
        <v>4.4567451568324978</v>
      </c>
      <c r="G129" s="78">
        <f t="shared" si="10"/>
        <v>4.3780676423190608</v>
      </c>
    </row>
    <row r="130" spans="1:7" ht="16.5" hidden="1" thickBot="1">
      <c r="A130" s="73">
        <v>2004</v>
      </c>
      <c r="B130" s="80" t="s">
        <v>58</v>
      </c>
      <c r="C130" s="75">
        <f t="shared" si="11"/>
        <v>323.39525793279938</v>
      </c>
      <c r="D130" s="202">
        <v>1.0900000000000001</v>
      </c>
      <c r="E130" s="202">
        <f t="shared" si="16"/>
        <v>3.2944190849999888</v>
      </c>
      <c r="F130" s="203">
        <f t="shared" si="15"/>
        <v>3.595922377162708</v>
      </c>
      <c r="G130" s="78">
        <f t="shared" si="10"/>
        <v>4.3308612546434482</v>
      </c>
    </row>
    <row r="131" spans="1:7" ht="16.5" hidden="1" thickBot="1">
      <c r="A131" s="73">
        <v>2004</v>
      </c>
      <c r="B131" s="80" t="s">
        <v>59</v>
      </c>
      <c r="C131" s="75">
        <f t="shared" si="11"/>
        <v>328.47256348234436</v>
      </c>
      <c r="D131" s="202">
        <v>1.57</v>
      </c>
      <c r="E131" s="202">
        <f t="shared" si="16"/>
        <v>4.9161414646345047</v>
      </c>
      <c r="F131" s="203">
        <f t="shared" si="15"/>
        <v>5.1487742165326145</v>
      </c>
      <c r="G131" s="78">
        <f t="shared" si="10"/>
        <v>4.2639177460307645</v>
      </c>
    </row>
    <row r="132" spans="1:7" ht="16.5" hidden="1" thickBot="1">
      <c r="A132" s="73">
        <v>2004</v>
      </c>
      <c r="B132" s="80" t="s">
        <v>60</v>
      </c>
      <c r="C132" s="75">
        <f t="shared" si="11"/>
        <v>334.0894443178924</v>
      </c>
      <c r="D132" s="202">
        <v>1.71</v>
      </c>
      <c r="E132" s="202">
        <f t="shared" si="16"/>
        <v>6.7102074836797421</v>
      </c>
      <c r="F132" s="203">
        <f t="shared" si="15"/>
        <v>8.7742252396616252</v>
      </c>
      <c r="G132" s="78">
        <f t="shared" si="10"/>
        <v>4.192230602724182</v>
      </c>
    </row>
    <row r="133" spans="1:7" ht="16.5" hidden="1" thickBot="1">
      <c r="A133" s="73">
        <v>2004</v>
      </c>
      <c r="B133" s="80" t="s">
        <v>61</v>
      </c>
      <c r="C133" s="75">
        <f t="shared" si="11"/>
        <v>339.33464859368331</v>
      </c>
      <c r="D133" s="202">
        <v>1.57</v>
      </c>
      <c r="E133" s="202">
        <f t="shared" si="16"/>
        <v>8.3855577411735105</v>
      </c>
      <c r="F133" s="203">
        <f t="shared" si="15"/>
        <v>11.778612480700446</v>
      </c>
      <c r="G133" s="78">
        <f t="shared" si="10"/>
        <v>4.1274299524703961</v>
      </c>
    </row>
    <row r="134" spans="1:7" ht="16.5" hidden="1" thickBot="1">
      <c r="A134" s="73">
        <v>2004</v>
      </c>
      <c r="B134" s="80" t="s">
        <v>62</v>
      </c>
      <c r="C134" s="75">
        <f t="shared" si="11"/>
        <v>343.91566634969809</v>
      </c>
      <c r="D134" s="202">
        <v>1.35</v>
      </c>
      <c r="E134" s="202">
        <f t="shared" si="16"/>
        <v>9.8487627706793646</v>
      </c>
      <c r="F134" s="203">
        <f t="shared" si="15"/>
        <v>13.959987676481145</v>
      </c>
      <c r="G134" s="78">
        <f t="shared" si="10"/>
        <v>4.0724518524621569</v>
      </c>
    </row>
    <row r="135" spans="1:7" ht="16.5" hidden="1" thickBot="1">
      <c r="A135" s="73">
        <v>2004</v>
      </c>
      <c r="B135" s="80" t="s">
        <v>63</v>
      </c>
      <c r="C135" s="75">
        <f t="shared" si="11"/>
        <v>349.3839254446583</v>
      </c>
      <c r="D135" s="202">
        <v>1.59</v>
      </c>
      <c r="E135" s="202">
        <f t="shared" si="16"/>
        <v>11.595358098733177</v>
      </c>
      <c r="F135" s="203">
        <f t="shared" si="15"/>
        <v>14.96718121205285</v>
      </c>
      <c r="G135" s="78">
        <f t="shared" ref="G135:G198" si="17">+$C$396/C135</f>
        <v>4.0087133108201165</v>
      </c>
    </row>
    <row r="136" spans="1:7" ht="16.5" hidden="1" thickBot="1">
      <c r="A136" s="73">
        <v>2004</v>
      </c>
      <c r="B136" s="80" t="s">
        <v>64</v>
      </c>
      <c r="C136" s="75">
        <f t="shared" si="11"/>
        <v>351.65492096004857</v>
      </c>
      <c r="D136" s="202">
        <v>0.65</v>
      </c>
      <c r="E136" s="202">
        <f t="shared" si="16"/>
        <v>12.32072792637493</v>
      </c>
      <c r="F136" s="203">
        <f t="shared" si="15"/>
        <v>14.240762059365398</v>
      </c>
      <c r="G136" s="78">
        <f t="shared" si="17"/>
        <v>3.9828249486538665</v>
      </c>
    </row>
    <row r="137" spans="1:7" ht="16.5" hidden="1" thickBot="1">
      <c r="A137" s="73">
        <v>2004</v>
      </c>
      <c r="B137" s="80" t="s">
        <v>65</v>
      </c>
      <c r="C137" s="75">
        <f t="shared" si="11"/>
        <v>353.80001597790488</v>
      </c>
      <c r="D137" s="202">
        <v>0.61</v>
      </c>
      <c r="E137" s="202">
        <f t="shared" si="16"/>
        <v>13.005884366725828</v>
      </c>
      <c r="F137" s="203">
        <f t="shared" si="15"/>
        <v>14.365801699430381</v>
      </c>
      <c r="G137" s="78">
        <f t="shared" si="17"/>
        <v>3.9586770188389488</v>
      </c>
    </row>
    <row r="138" spans="1:7" ht="16.5" hidden="1" thickBot="1">
      <c r="A138" s="73">
        <v>2004</v>
      </c>
      <c r="B138" s="80" t="s">
        <v>66</v>
      </c>
      <c r="C138" s="75">
        <f t="shared" si="11"/>
        <v>357.33801613768395</v>
      </c>
      <c r="D138" s="202">
        <v>1</v>
      </c>
      <c r="E138" s="202">
        <f t="shared" si="16"/>
        <v>14.135943210393087</v>
      </c>
      <c r="F138" s="203">
        <f t="shared" si="15"/>
        <v>14.980549190150017</v>
      </c>
      <c r="G138" s="78">
        <f t="shared" si="17"/>
        <v>3.9194821968702462</v>
      </c>
    </row>
    <row r="139" spans="1:7" ht="16.5" hidden="1" thickBot="1">
      <c r="A139" s="73">
        <v>2004</v>
      </c>
      <c r="B139" s="80" t="s">
        <v>55</v>
      </c>
      <c r="C139" s="75">
        <f t="shared" si="11"/>
        <v>359.05323861514478</v>
      </c>
      <c r="D139" s="202">
        <v>0.48</v>
      </c>
      <c r="E139" s="202">
        <f t="shared" si="16"/>
        <v>14.683795737802964</v>
      </c>
      <c r="F139" s="203">
        <f t="shared" si="15"/>
        <v>14.683795737802964</v>
      </c>
      <c r="G139" s="78">
        <f t="shared" si="17"/>
        <v>3.9007585558023954</v>
      </c>
    </row>
    <row r="140" spans="1:7" ht="16.5" hidden="1" thickBot="1">
      <c r="A140" s="73">
        <v>2005</v>
      </c>
      <c r="B140" s="80" t="s">
        <v>56</v>
      </c>
      <c r="C140" s="75">
        <f t="shared" si="11"/>
        <v>359.34048120603688</v>
      </c>
      <c r="D140" s="202">
        <v>0.08</v>
      </c>
      <c r="E140" s="202">
        <f t="shared" ref="E140:E151" si="18">+((C140/$C$139)-1)*100</f>
        <v>7.9999999999991189E-2</v>
      </c>
      <c r="F140" s="203">
        <f t="shared" si="15"/>
        <v>13.921134267387792</v>
      </c>
      <c r="G140" s="78">
        <f t="shared" si="17"/>
        <v>3.8976404434476373</v>
      </c>
    </row>
    <row r="141" spans="1:7" ht="16.5" hidden="1" thickBot="1">
      <c r="A141" s="73">
        <v>2005</v>
      </c>
      <c r="B141" s="80" t="s">
        <v>57</v>
      </c>
      <c r="C141" s="75">
        <f t="shared" si="11"/>
        <v>360.74190908274045</v>
      </c>
      <c r="D141" s="202">
        <v>0.39</v>
      </c>
      <c r="E141" s="202">
        <f t="shared" si="18"/>
        <v>0.47031200000000606</v>
      </c>
      <c r="F141" s="203">
        <f t="shared" si="15"/>
        <v>12.764175400345689</v>
      </c>
      <c r="G141" s="78">
        <f t="shared" si="17"/>
        <v>3.882498698523396</v>
      </c>
    </row>
    <row r="142" spans="1:7" ht="16.5" hidden="1" thickBot="1">
      <c r="A142" s="73">
        <v>2005</v>
      </c>
      <c r="B142" s="80" t="s">
        <v>58</v>
      </c>
      <c r="C142" s="75">
        <f t="shared" si="11"/>
        <v>364.85436684628371</v>
      </c>
      <c r="D142" s="202">
        <v>1.1399999999999999</v>
      </c>
      <c r="E142" s="202">
        <f t="shared" si="18"/>
        <v>1.6156735568000125</v>
      </c>
      <c r="F142" s="203">
        <f t="shared" si="15"/>
        <v>12.819949549816666</v>
      </c>
      <c r="G142" s="78">
        <f t="shared" si="17"/>
        <v>3.8387370956331774</v>
      </c>
    </row>
    <row r="143" spans="1:7" ht="16.5" hidden="1" thickBot="1">
      <c r="A143" s="73">
        <v>2005</v>
      </c>
      <c r="B143" s="80" t="s">
        <v>59</v>
      </c>
      <c r="C143" s="75">
        <f t="shared" si="11"/>
        <v>366.05838625687647</v>
      </c>
      <c r="D143" s="202">
        <v>0.33</v>
      </c>
      <c r="E143" s="202">
        <f t="shared" si="18"/>
        <v>1.9510052795374655</v>
      </c>
      <c r="F143" s="203">
        <f t="shared" si="15"/>
        <v>11.442606461879535</v>
      </c>
      <c r="G143" s="78">
        <f t="shared" si="17"/>
        <v>3.8261109295656106</v>
      </c>
    </row>
    <row r="144" spans="1:7" ht="16.5" hidden="1" thickBot="1">
      <c r="A144" s="73">
        <v>2005</v>
      </c>
      <c r="B144" s="80" t="s">
        <v>60</v>
      </c>
      <c r="C144" s="75">
        <f t="shared" si="11"/>
        <v>362.47101407155907</v>
      </c>
      <c r="D144" s="202">
        <v>-0.98</v>
      </c>
      <c r="E144" s="202">
        <f t="shared" si="18"/>
        <v>0.95188542779798269</v>
      </c>
      <c r="F144" s="203">
        <f t="shared" si="15"/>
        <v>8.495200981764949</v>
      </c>
      <c r="G144" s="78">
        <f t="shared" si="17"/>
        <v>3.8639779131141294</v>
      </c>
    </row>
    <row r="145" spans="1:7" ht="16.5" hidden="1" thickBot="1">
      <c r="A145" s="73">
        <v>2005</v>
      </c>
      <c r="B145" s="80" t="s">
        <v>61</v>
      </c>
      <c r="C145" s="75">
        <f t="shared" si="11"/>
        <v>359.64374016180091</v>
      </c>
      <c r="D145" s="202">
        <v>-0.78</v>
      </c>
      <c r="E145" s="202">
        <f t="shared" si="18"/>
        <v>0.16446072146116819</v>
      </c>
      <c r="F145" s="203">
        <f t="shared" si="15"/>
        <v>5.9849743173251868</v>
      </c>
      <c r="G145" s="78">
        <f t="shared" si="17"/>
        <v>3.8943538733260725</v>
      </c>
    </row>
    <row r="146" spans="1:7" ht="16.5" hidden="1" thickBot="1">
      <c r="A146" s="73">
        <v>2005</v>
      </c>
      <c r="B146" s="80" t="s">
        <v>62</v>
      </c>
      <c r="C146" s="75">
        <f t="shared" si="11"/>
        <v>357.16219835468445</v>
      </c>
      <c r="D146" s="202">
        <v>-0.69</v>
      </c>
      <c r="E146" s="202">
        <f t="shared" si="18"/>
        <v>-0.52667405751692931</v>
      </c>
      <c r="F146" s="203">
        <f t="shared" si="15"/>
        <v>3.8516803103459507</v>
      </c>
      <c r="G146" s="78">
        <f t="shared" si="17"/>
        <v>3.9214116134589396</v>
      </c>
    </row>
    <row r="147" spans="1:7" ht="16.5" hidden="1" thickBot="1">
      <c r="A147" s="73">
        <v>2005</v>
      </c>
      <c r="B147" s="80" t="s">
        <v>63</v>
      </c>
      <c r="C147" s="75">
        <f t="shared" si="11"/>
        <v>353.44771149179576</v>
      </c>
      <c r="D147" s="202">
        <v>-1.04</v>
      </c>
      <c r="E147" s="202">
        <f t="shared" si="18"/>
        <v>-1.5611966473187522</v>
      </c>
      <c r="F147" s="203">
        <f t="shared" si="15"/>
        <v>1.1631290827033736</v>
      </c>
      <c r="G147" s="78">
        <f t="shared" si="17"/>
        <v>3.9626228915308603</v>
      </c>
    </row>
    <row r="148" spans="1:7" ht="16.5" hidden="1" thickBot="1">
      <c r="A148" s="83">
        <v>2005</v>
      </c>
      <c r="B148" s="80" t="s">
        <v>64</v>
      </c>
      <c r="C148" s="75">
        <f t="shared" si="11"/>
        <v>352.45805789961872</v>
      </c>
      <c r="D148" s="202">
        <v>-0.28000000000000003</v>
      </c>
      <c r="E148" s="202">
        <f t="shared" si="18"/>
        <v>-1.836825296706257</v>
      </c>
      <c r="F148" s="203">
        <f t="shared" si="15"/>
        <v>0.22838780056810837</v>
      </c>
      <c r="G148" s="78">
        <f t="shared" si="17"/>
        <v>3.973749389822363</v>
      </c>
    </row>
    <row r="149" spans="1:7" ht="16.5" hidden="1" thickBot="1">
      <c r="A149" s="83">
        <v>2005</v>
      </c>
      <c r="B149" s="80" t="s">
        <v>65</v>
      </c>
      <c r="C149" s="75">
        <f t="shared" si="11"/>
        <v>355.24247655702573</v>
      </c>
      <c r="D149" s="202">
        <v>0.79</v>
      </c>
      <c r="E149" s="202">
        <f t="shared" si="18"/>
        <v>-1.0613362165502349</v>
      </c>
      <c r="F149" s="203">
        <f t="shared" si="15"/>
        <v>0.40770506330642942</v>
      </c>
      <c r="G149" s="78">
        <f t="shared" si="17"/>
        <v>3.9426028274852296</v>
      </c>
    </row>
    <row r="150" spans="1:7" ht="16.5" hidden="1" thickBot="1">
      <c r="A150" s="83">
        <v>2005</v>
      </c>
      <c r="B150" s="80" t="s">
        <v>66</v>
      </c>
      <c r="C150" s="75">
        <f t="shared" si="11"/>
        <v>356.09505850076255</v>
      </c>
      <c r="D150" s="202">
        <v>0.24</v>
      </c>
      <c r="E150" s="202">
        <f t="shared" si="18"/>
        <v>-0.82388342346996213</v>
      </c>
      <c r="F150" s="203">
        <f t="shared" si="15"/>
        <v>-0.34783806390263905</v>
      </c>
      <c r="G150" s="78">
        <f t="shared" si="17"/>
        <v>3.933163235719503</v>
      </c>
    </row>
    <row r="151" spans="1:7" ht="16.5" hidden="1" thickBot="1">
      <c r="A151" s="83">
        <v>2005</v>
      </c>
      <c r="B151" s="80" t="s">
        <v>55</v>
      </c>
      <c r="C151" s="75">
        <f t="shared" si="11"/>
        <v>355.59652541886152</v>
      </c>
      <c r="D151" s="202">
        <v>-0.14000000000000001</v>
      </c>
      <c r="E151" s="202">
        <f t="shared" si="18"/>
        <v>-0.96272998667709109</v>
      </c>
      <c r="F151" s="203">
        <f t="shared" si="15"/>
        <v>-0.96272998667709109</v>
      </c>
      <c r="G151" s="78">
        <f t="shared" si="17"/>
        <v>3.9386773840571827</v>
      </c>
    </row>
    <row r="152" spans="1:7" ht="16.5" hidden="1" thickBot="1">
      <c r="A152" s="83">
        <v>2006</v>
      </c>
      <c r="B152" s="80" t="s">
        <v>56</v>
      </c>
      <c r="C152" s="75">
        <f t="shared" si="11"/>
        <v>358.47685727475431</v>
      </c>
      <c r="D152" s="202">
        <v>0.81</v>
      </c>
      <c r="E152" s="202">
        <f t="shared" ref="E152:E158" si="19">+((C152/$C$151)-1)*100</f>
        <v>0.80999999999999961</v>
      </c>
      <c r="F152" s="203">
        <f t="shared" si="15"/>
        <v>-0.24033583090444788</v>
      </c>
      <c r="G152" s="78">
        <f t="shared" si="17"/>
        <v>3.9070304375133249</v>
      </c>
    </row>
    <row r="153" spans="1:7" ht="16.5" hidden="1" thickBot="1">
      <c r="A153" s="73">
        <v>2006</v>
      </c>
      <c r="B153" s="80" t="s">
        <v>57</v>
      </c>
      <c r="C153" s="75">
        <f t="shared" si="11"/>
        <v>358.04668504602461</v>
      </c>
      <c r="D153" s="202">
        <v>-0.12</v>
      </c>
      <c r="E153" s="202">
        <f t="shared" si="19"/>
        <v>0.68902800000001374</v>
      </c>
      <c r="F153" s="203">
        <f t="shared" si="15"/>
        <v>-0.74713360684068864</v>
      </c>
      <c r="G153" s="78">
        <f t="shared" si="17"/>
        <v>3.9117245069216304</v>
      </c>
    </row>
    <row r="154" spans="1:7" ht="16.5" hidden="1" thickBot="1">
      <c r="A154" s="73">
        <v>2006</v>
      </c>
      <c r="B154" s="80" t="s">
        <v>58</v>
      </c>
      <c r="C154" s="75">
        <f t="shared" si="11"/>
        <v>355.1107022286472</v>
      </c>
      <c r="D154" s="202">
        <v>-0.82</v>
      </c>
      <c r="E154" s="202">
        <f t="shared" si="19"/>
        <v>-0.13662202959999759</v>
      </c>
      <c r="F154" s="203">
        <f t="shared" si="15"/>
        <v>-2.6705626965242257</v>
      </c>
      <c r="G154" s="78">
        <f t="shared" si="17"/>
        <v>3.9440658468659313</v>
      </c>
    </row>
    <row r="155" spans="1:7" ht="16.5" hidden="1" thickBot="1">
      <c r="A155" s="73">
        <v>2006</v>
      </c>
      <c r="B155" s="80" t="s">
        <v>59</v>
      </c>
      <c r="C155" s="75">
        <f t="shared" si="11"/>
        <v>354.57803617530425</v>
      </c>
      <c r="D155" s="202">
        <v>-0.15</v>
      </c>
      <c r="E155" s="202">
        <f t="shared" si="19"/>
        <v>-0.28641709655559122</v>
      </c>
      <c r="F155" s="203">
        <f t="shared" si="15"/>
        <v>-3.1362073681645009</v>
      </c>
      <c r="G155" s="78">
        <f t="shared" si="17"/>
        <v>3.9499908331156046</v>
      </c>
    </row>
    <row r="156" spans="1:7" ht="16.5" hidden="1" thickBot="1">
      <c r="A156" s="73">
        <v>2006</v>
      </c>
      <c r="B156" s="80" t="s">
        <v>60</v>
      </c>
      <c r="C156" s="75">
        <f t="shared" si="11"/>
        <v>356.20909514171063</v>
      </c>
      <c r="D156" s="202">
        <v>0.46</v>
      </c>
      <c r="E156" s="202">
        <f t="shared" si="19"/>
        <v>0.17226538480024089</v>
      </c>
      <c r="F156" s="203">
        <f t="shared" si="15"/>
        <v>-1.7275640497455669</v>
      </c>
      <c r="G156" s="78">
        <f t="shared" si="17"/>
        <v>3.9319040743734868</v>
      </c>
    </row>
    <row r="157" spans="1:7" ht="16.5" hidden="1" thickBot="1">
      <c r="A157" s="73">
        <v>2006</v>
      </c>
      <c r="B157" s="80" t="s">
        <v>61</v>
      </c>
      <c r="C157" s="75">
        <f t="shared" si="11"/>
        <v>359.98491155021276</v>
      </c>
      <c r="D157" s="202">
        <v>1.06</v>
      </c>
      <c r="E157" s="202">
        <f t="shared" si="19"/>
        <v>1.2340913978791335</v>
      </c>
      <c r="F157" s="203">
        <f t="shared" si="15"/>
        <v>9.4863708251491374E-2</v>
      </c>
      <c r="G157" s="78">
        <f t="shared" si="17"/>
        <v>3.890663046084986</v>
      </c>
    </row>
    <row r="158" spans="1:7" ht="16.5" hidden="1" thickBot="1">
      <c r="A158" s="73">
        <v>2006</v>
      </c>
      <c r="B158" s="80" t="s">
        <v>62</v>
      </c>
      <c r="C158" s="75">
        <f t="shared" si="11"/>
        <v>360.59688589984813</v>
      </c>
      <c r="D158" s="202">
        <v>0.17</v>
      </c>
      <c r="E158" s="202">
        <f t="shared" si="19"/>
        <v>1.4061893532555381</v>
      </c>
      <c r="F158" s="203">
        <f t="shared" si="15"/>
        <v>0.96166043354701802</v>
      </c>
      <c r="G158" s="78">
        <f t="shared" si="17"/>
        <v>3.8840601438404572</v>
      </c>
    </row>
    <row r="159" spans="1:7" ht="16.5" hidden="1" thickBot="1">
      <c r="A159" s="73">
        <v>2006</v>
      </c>
      <c r="B159" s="80" t="s">
        <v>63</v>
      </c>
      <c r="C159" s="75">
        <f t="shared" ref="C159:C173" si="20">+C158*(1+D159/100)</f>
        <v>362.50804939511738</v>
      </c>
      <c r="D159" s="202">
        <v>0.53</v>
      </c>
      <c r="E159" s="202">
        <f>+((C159/$C$151)-1)*100</f>
        <v>1.9436421568278073</v>
      </c>
      <c r="F159" s="203">
        <f t="shared" si="15"/>
        <v>2.5634167682344611</v>
      </c>
      <c r="G159" s="78">
        <f t="shared" si="17"/>
        <v>3.8635831531288733</v>
      </c>
    </row>
    <row r="160" spans="1:7" ht="16.5" hidden="1" thickBot="1">
      <c r="A160" s="73">
        <v>2006</v>
      </c>
      <c r="B160" s="80" t="s">
        <v>64</v>
      </c>
      <c r="C160" s="75">
        <f t="shared" si="20"/>
        <v>363.52307193342369</v>
      </c>
      <c r="D160" s="202">
        <v>0.28000000000000003</v>
      </c>
      <c r="E160" s="202">
        <f>+((C160/$C$151)-1)*100</f>
        <v>2.2290843548669059</v>
      </c>
      <c r="F160" s="203">
        <f t="shared" si="15"/>
        <v>3.139384612099394</v>
      </c>
      <c r="G160" s="78">
        <f t="shared" si="17"/>
        <v>3.8527953262154702</v>
      </c>
    </row>
    <row r="161" spans="1:7" ht="16.5" hidden="1" thickBot="1">
      <c r="A161" s="73">
        <v>2006</v>
      </c>
      <c r="B161" s="80" t="s">
        <v>65</v>
      </c>
      <c r="C161" s="75">
        <f t="shared" si="20"/>
        <v>367.73993956785142</v>
      </c>
      <c r="D161" s="202">
        <v>1.1599999999999999</v>
      </c>
      <c r="E161" s="202">
        <f>+((C161/$C$151)-1)*100</f>
        <v>3.4149417333833698</v>
      </c>
      <c r="F161" s="203">
        <f t="shared" si="15"/>
        <v>3.5180092009125197</v>
      </c>
      <c r="G161" s="78">
        <f t="shared" si="17"/>
        <v>3.8086153877179418</v>
      </c>
    </row>
    <row r="162" spans="1:7" ht="16.5" hidden="1" thickBot="1">
      <c r="A162" s="84">
        <v>2006</v>
      </c>
      <c r="B162" s="80" t="s">
        <v>66</v>
      </c>
      <c r="C162" s="75">
        <f t="shared" si="20"/>
        <v>370.49798911461033</v>
      </c>
      <c r="D162" s="202">
        <v>0.75</v>
      </c>
      <c r="E162" s="202">
        <f>+((C162/$C$151)-1)*100</f>
        <v>4.1905537963837558</v>
      </c>
      <c r="F162" s="203">
        <f t="shared" si="15"/>
        <v>4.0446870210688157</v>
      </c>
      <c r="G162" s="78">
        <f t="shared" si="17"/>
        <v>3.7802634121269891</v>
      </c>
    </row>
    <row r="163" spans="1:7" ht="16.5" hidden="1" thickBot="1">
      <c r="A163" s="84">
        <v>2006</v>
      </c>
      <c r="B163" s="80" t="s">
        <v>55</v>
      </c>
      <c r="C163" s="75">
        <f t="shared" si="20"/>
        <v>370.90553690263647</v>
      </c>
      <c r="D163" s="202">
        <v>0.11</v>
      </c>
      <c r="E163" s="202">
        <f>+((C163/$C$162)-1)*100</f>
        <v>0.11000000000001009</v>
      </c>
      <c r="F163" s="203">
        <f t="shared" si="15"/>
        <v>4.3051634055597976</v>
      </c>
      <c r="G163" s="78">
        <f t="shared" si="17"/>
        <v>3.7761096914663757</v>
      </c>
    </row>
    <row r="164" spans="1:7" ht="16.5" hidden="1" thickBot="1">
      <c r="A164" s="73">
        <v>2007</v>
      </c>
      <c r="B164" s="80" t="s">
        <v>56</v>
      </c>
      <c r="C164" s="75">
        <f t="shared" si="20"/>
        <v>372.09243462072493</v>
      </c>
      <c r="D164" s="202">
        <v>0.32</v>
      </c>
      <c r="E164" s="202">
        <f t="shared" ref="E164:E175" si="21">+((C164/$C$163)-1)*100</f>
        <v>0.32000000000000917</v>
      </c>
      <c r="F164" s="203">
        <f t="shared" si="15"/>
        <v>3.7981747132800114</v>
      </c>
      <c r="G164" s="78">
        <f t="shared" si="17"/>
        <v>3.7640646844760521</v>
      </c>
    </row>
    <row r="165" spans="1:7" ht="16.5" hidden="1" thickBot="1">
      <c r="A165" s="73">
        <v>2007</v>
      </c>
      <c r="B165" s="80" t="s">
        <v>57</v>
      </c>
      <c r="C165" s="75">
        <f t="shared" si="20"/>
        <v>372.79941024650429</v>
      </c>
      <c r="D165" s="202">
        <v>0.19</v>
      </c>
      <c r="E165" s="202">
        <f t="shared" si="21"/>
        <v>0.51060800000000128</v>
      </c>
      <c r="F165" s="203">
        <f t="shared" si="15"/>
        <v>4.1203356480128628</v>
      </c>
      <c r="G165" s="78">
        <f t="shared" si="17"/>
        <v>3.7569265240802996</v>
      </c>
    </row>
    <row r="166" spans="1:7" ht="16.5" hidden="1" thickBot="1">
      <c r="A166" s="73">
        <v>2007</v>
      </c>
      <c r="B166" s="80" t="s">
        <v>58</v>
      </c>
      <c r="C166" s="75">
        <f t="shared" si="20"/>
        <v>373.20948959777547</v>
      </c>
      <c r="D166" s="202">
        <v>0.11</v>
      </c>
      <c r="E166" s="202">
        <f t="shared" si="21"/>
        <v>0.62116966880001456</v>
      </c>
      <c r="F166" s="203">
        <f t="shared" si="15"/>
        <v>5.0966606344279963</v>
      </c>
      <c r="G166" s="78">
        <f t="shared" si="17"/>
        <v>3.7527984457899302</v>
      </c>
    </row>
    <row r="167" spans="1:7" ht="16.5" hidden="1" thickBot="1">
      <c r="A167" s="73">
        <v>2007</v>
      </c>
      <c r="B167" s="80" t="s">
        <v>59</v>
      </c>
      <c r="C167" s="75">
        <f t="shared" si="20"/>
        <v>373.28413149569502</v>
      </c>
      <c r="D167" s="202">
        <v>0.02</v>
      </c>
      <c r="E167" s="202">
        <f t="shared" si="21"/>
        <v>0.64129390273377496</v>
      </c>
      <c r="F167" s="203">
        <f t="shared" si="15"/>
        <v>5.2755933565897584</v>
      </c>
      <c r="G167" s="78">
        <f t="shared" si="17"/>
        <v>3.752048036182694</v>
      </c>
    </row>
    <row r="168" spans="1:7" ht="16.5" hidden="1" thickBot="1">
      <c r="A168" s="73">
        <v>2007</v>
      </c>
      <c r="B168" s="80" t="s">
        <v>60</v>
      </c>
      <c r="C168" s="75">
        <f t="shared" si="20"/>
        <v>373.13481784309676</v>
      </c>
      <c r="D168" s="202">
        <v>-0.04</v>
      </c>
      <c r="E168" s="202">
        <f t="shared" si="21"/>
        <v>0.6010373851726758</v>
      </c>
      <c r="F168" s="203">
        <f t="shared" si="15"/>
        <v>4.7516256412971636</v>
      </c>
      <c r="G168" s="78">
        <f t="shared" si="17"/>
        <v>3.7535494559650799</v>
      </c>
    </row>
    <row r="169" spans="1:7" ht="16.5" hidden="1" thickBot="1">
      <c r="A169" s="73">
        <v>2007</v>
      </c>
      <c r="B169" s="80" t="s">
        <v>61</v>
      </c>
      <c r="C169" s="75">
        <f t="shared" si="20"/>
        <v>373.47063917915551</v>
      </c>
      <c r="D169" s="202">
        <v>0.09</v>
      </c>
      <c r="E169" s="202">
        <f t="shared" si="21"/>
        <v>0.69157831881931919</v>
      </c>
      <c r="F169" s="203">
        <f t="shared" si="15"/>
        <v>3.7461924642532285</v>
      </c>
      <c r="G169" s="78">
        <f t="shared" si="17"/>
        <v>3.7501742990958937</v>
      </c>
    </row>
    <row r="170" spans="1:7" ht="16.5" hidden="1" thickBot="1">
      <c r="A170" s="73">
        <v>2007</v>
      </c>
      <c r="B170" s="80" t="s">
        <v>62</v>
      </c>
      <c r="C170" s="75">
        <f t="shared" si="20"/>
        <v>375.03921586370797</v>
      </c>
      <c r="D170" s="202">
        <v>0.42</v>
      </c>
      <c r="E170" s="202">
        <f t="shared" si="21"/>
        <v>1.1144829477583551</v>
      </c>
      <c r="F170" s="203">
        <f t="shared" si="15"/>
        <v>4.0051177723900322</v>
      </c>
      <c r="G170" s="78">
        <f t="shared" si="17"/>
        <v>3.734489443433473</v>
      </c>
    </row>
    <row r="171" spans="1:7" ht="16.5" hidden="1" thickBot="1">
      <c r="A171" s="73">
        <v>2007</v>
      </c>
      <c r="B171" s="80" t="s">
        <v>63</v>
      </c>
      <c r="C171" s="75">
        <f t="shared" si="20"/>
        <v>382.38998449463668</v>
      </c>
      <c r="D171" s="202">
        <v>1.96</v>
      </c>
      <c r="E171" s="202">
        <f t="shared" si="21"/>
        <v>3.0963268135344446</v>
      </c>
      <c r="F171" s="203">
        <f t="shared" si="15"/>
        <v>5.4845499659095465</v>
      </c>
      <c r="G171" s="78">
        <f t="shared" si="17"/>
        <v>3.6627005133713935</v>
      </c>
    </row>
    <row r="172" spans="1:7" ht="16.5" hidden="1" thickBot="1">
      <c r="A172" s="73">
        <v>2007</v>
      </c>
      <c r="B172" s="80" t="s">
        <v>64</v>
      </c>
      <c r="C172" s="75">
        <f t="shared" si="20"/>
        <v>388.6611802403487</v>
      </c>
      <c r="D172" s="202">
        <v>1.64</v>
      </c>
      <c r="E172" s="202">
        <f t="shared" si="21"/>
        <v>4.7871065732763896</v>
      </c>
      <c r="F172" s="203">
        <f t="shared" si="15"/>
        <v>6.9151342095636892</v>
      </c>
      <c r="G172" s="78">
        <f t="shared" si="17"/>
        <v>3.6036014495979867</v>
      </c>
    </row>
    <row r="173" spans="1:7" ht="16.5" hidden="1" thickBot="1">
      <c r="A173" s="73">
        <v>2007</v>
      </c>
      <c r="B173" s="80" t="s">
        <v>65</v>
      </c>
      <c r="C173" s="75">
        <f t="shared" si="20"/>
        <v>392.62552427880024</v>
      </c>
      <c r="D173" s="202">
        <v>1.02</v>
      </c>
      <c r="E173" s="202">
        <f t="shared" si="21"/>
        <v>5.8559350603238247</v>
      </c>
      <c r="F173" s="203">
        <f t="shared" si="15"/>
        <v>6.7671694133068838</v>
      </c>
      <c r="G173" s="78">
        <f t="shared" si="17"/>
        <v>3.567215847948908</v>
      </c>
    </row>
    <row r="174" spans="1:7" ht="16.5" hidden="1" thickBot="1">
      <c r="A174" s="73">
        <v>2007</v>
      </c>
      <c r="B174" s="80" t="s">
        <v>66</v>
      </c>
      <c r="C174" s="75">
        <f>+C173*(1+D174/100)</f>
        <v>398.31859438084285</v>
      </c>
      <c r="D174" s="202">
        <v>1.45</v>
      </c>
      <c r="E174" s="202">
        <f t="shared" si="21"/>
        <v>7.390846118698513</v>
      </c>
      <c r="F174" s="203">
        <f t="shared" si="15"/>
        <v>7.5089760494291058</v>
      </c>
      <c r="G174" s="78">
        <f t="shared" si="17"/>
        <v>3.5162305056174548</v>
      </c>
    </row>
    <row r="175" spans="1:7" ht="16.5" hidden="1" thickBot="1">
      <c r="A175" s="73">
        <v>2007</v>
      </c>
      <c r="B175" s="80" t="s">
        <v>55</v>
      </c>
      <c r="C175" s="75">
        <f>+C174*(1+D175/100)</f>
        <v>405.8866476740788</v>
      </c>
      <c r="D175" s="202">
        <v>1.9</v>
      </c>
      <c r="E175" s="202">
        <f t="shared" si="21"/>
        <v>9.4312721949537668</v>
      </c>
      <c r="F175" s="203">
        <f t="shared" si="15"/>
        <v>9.4312721949537668</v>
      </c>
      <c r="G175" s="78">
        <f t="shared" si="17"/>
        <v>3.4506678170926941</v>
      </c>
    </row>
    <row r="176" spans="1:7" ht="16.5" hidden="1" thickBot="1">
      <c r="A176" s="73">
        <v>2008</v>
      </c>
      <c r="B176" s="80" t="s">
        <v>56</v>
      </c>
      <c r="C176" s="75">
        <f>+C175*(1+D176/100)-0.03</f>
        <v>410.24022346895885</v>
      </c>
      <c r="D176" s="202">
        <v>1.08</v>
      </c>
      <c r="E176" s="202">
        <f t="shared" ref="E176:E187" si="22">+((C176/$C$175)-1)*100</f>
        <v>1.0726087738604173</v>
      </c>
      <c r="F176" s="203">
        <f t="shared" si="15"/>
        <v>10.252234471554921</v>
      </c>
      <c r="G176" s="78">
        <f t="shared" si="17"/>
        <v>3.4140484340452808</v>
      </c>
    </row>
    <row r="177" spans="1:7" ht="16.5" hidden="1" thickBot="1">
      <c r="A177" s="73">
        <v>2008</v>
      </c>
      <c r="B177" s="80" t="s">
        <v>57</v>
      </c>
      <c r="C177" s="75">
        <f t="shared" ref="C177:C240" si="23">+C176*(1+D177/100)</f>
        <v>412.37347263099747</v>
      </c>
      <c r="D177" s="202">
        <v>0.52</v>
      </c>
      <c r="E177" s="202">
        <f t="shared" si="22"/>
        <v>1.5981863394844975</v>
      </c>
      <c r="F177" s="203">
        <f t="shared" si="15"/>
        <v>10.615376874745008</v>
      </c>
      <c r="G177" s="78">
        <f t="shared" si="17"/>
        <v>3.3963872204986871</v>
      </c>
    </row>
    <row r="178" spans="1:7" ht="16.5" hidden="1" thickBot="1">
      <c r="A178" s="73">
        <v>2008</v>
      </c>
      <c r="B178" s="80" t="s">
        <v>58</v>
      </c>
      <c r="C178" s="75">
        <f t="shared" si="23"/>
        <v>415.67246041204544</v>
      </c>
      <c r="D178" s="202">
        <v>0.8</v>
      </c>
      <c r="E178" s="202">
        <f t="shared" si="22"/>
        <v>2.4109718302003591</v>
      </c>
      <c r="F178" s="203">
        <f t="shared" si="15"/>
        <v>11.377784326983264</v>
      </c>
      <c r="G178" s="78">
        <f t="shared" si="17"/>
        <v>3.3694317663677453</v>
      </c>
    </row>
    <row r="179" spans="1:7" ht="16.5" hidden="1" thickBot="1">
      <c r="A179" s="73">
        <v>2008</v>
      </c>
      <c r="B179" s="80" t="s">
        <v>59</v>
      </c>
      <c r="C179" s="75">
        <f t="shared" si="23"/>
        <v>421.09282929581849</v>
      </c>
      <c r="D179" s="202">
        <v>1.304</v>
      </c>
      <c r="E179" s="202">
        <f t="shared" si="22"/>
        <v>3.7464109028661596</v>
      </c>
      <c r="F179" s="203">
        <f t="shared" si="15"/>
        <v>12.807589116783769</v>
      </c>
      <c r="G179" s="78">
        <f t="shared" si="17"/>
        <v>3.3260599446890011</v>
      </c>
    </row>
    <row r="180" spans="1:7" ht="16.5" hidden="1" thickBot="1">
      <c r="A180" s="73">
        <v>2008</v>
      </c>
      <c r="B180" s="80" t="s">
        <v>60</v>
      </c>
      <c r="C180" s="75">
        <f t="shared" si="23"/>
        <v>430.44109010618564</v>
      </c>
      <c r="D180" s="202">
        <v>2.2200000000000002</v>
      </c>
      <c r="E180" s="202">
        <f t="shared" si="22"/>
        <v>6.0495812249097947</v>
      </c>
      <c r="F180" s="203">
        <f t="shared" ref="F180:F243" si="24">100*((C180/C168)-1)</f>
        <v>15.358060819504171</v>
      </c>
      <c r="G180" s="78">
        <f t="shared" si="17"/>
        <v>3.2538250290442194</v>
      </c>
    </row>
    <row r="181" spans="1:7" ht="16.5" hidden="1" thickBot="1">
      <c r="A181" s="73">
        <v>2008</v>
      </c>
      <c r="B181" s="80" t="s">
        <v>61</v>
      </c>
      <c r="C181" s="75">
        <f t="shared" si="23"/>
        <v>440.29819106961725</v>
      </c>
      <c r="D181" s="202">
        <v>2.29</v>
      </c>
      <c r="E181" s="202">
        <f t="shared" si="22"/>
        <v>8.4781166349602088</v>
      </c>
      <c r="F181" s="203">
        <f t="shared" si="24"/>
        <v>17.893656121761214</v>
      </c>
      <c r="G181" s="78">
        <f t="shared" si="17"/>
        <v>3.1809805739018668</v>
      </c>
    </row>
    <row r="182" spans="1:7" ht="16.5" hidden="1" thickBot="1">
      <c r="A182" s="73">
        <v>2008</v>
      </c>
      <c r="B182" s="80" t="s">
        <v>62</v>
      </c>
      <c r="C182" s="75">
        <f t="shared" si="23"/>
        <v>445.93400791530831</v>
      </c>
      <c r="D182" s="202">
        <v>1.28</v>
      </c>
      <c r="E182" s="202">
        <f t="shared" si="22"/>
        <v>9.8666365278877066</v>
      </c>
      <c r="F182" s="203">
        <f t="shared" si="24"/>
        <v>18.903301055685873</v>
      </c>
      <c r="G182" s="78">
        <f t="shared" si="17"/>
        <v>3.1407786077230129</v>
      </c>
    </row>
    <row r="183" spans="1:7" ht="16.5" hidden="1" thickBot="1">
      <c r="A183" s="73">
        <v>2008</v>
      </c>
      <c r="B183" s="80" t="s">
        <v>63</v>
      </c>
      <c r="C183" s="75">
        <f t="shared" si="23"/>
        <v>442.34869849166921</v>
      </c>
      <c r="D183" s="202">
        <v>-0.80400000000000005</v>
      </c>
      <c r="E183" s="202">
        <f t="shared" si="22"/>
        <v>8.9833087702034788</v>
      </c>
      <c r="F183" s="203">
        <f t="shared" si="24"/>
        <v>15.679990697526613</v>
      </c>
      <c r="G183" s="78">
        <f t="shared" si="17"/>
        <v>3.1662351382344176</v>
      </c>
    </row>
    <row r="184" spans="1:7" ht="16.5" hidden="1" thickBot="1">
      <c r="A184" s="73">
        <v>2008</v>
      </c>
      <c r="B184" s="80" t="s">
        <v>64</v>
      </c>
      <c r="C184" s="75">
        <f t="shared" si="23"/>
        <v>444.29503276503254</v>
      </c>
      <c r="D184" s="202">
        <v>0.44</v>
      </c>
      <c r="E184" s="202">
        <f t="shared" si="22"/>
        <v>9.462835328792373</v>
      </c>
      <c r="F184" s="203">
        <f t="shared" si="24"/>
        <v>14.314229296139057</v>
      </c>
      <c r="G184" s="78">
        <f t="shared" si="17"/>
        <v>3.152364733407425</v>
      </c>
    </row>
    <row r="185" spans="1:7" ht="16.5" hidden="1" thickBot="1">
      <c r="A185" s="73">
        <v>2008</v>
      </c>
      <c r="B185" s="80" t="s">
        <v>65</v>
      </c>
      <c r="C185" s="75">
        <f t="shared" si="23"/>
        <v>450.33744521063699</v>
      </c>
      <c r="D185" s="202">
        <v>1.36</v>
      </c>
      <c r="E185" s="202">
        <f t="shared" si="22"/>
        <v>10.951529889263956</v>
      </c>
      <c r="F185" s="203">
        <f t="shared" si="24"/>
        <v>14.698973287038775</v>
      </c>
      <c r="G185" s="78">
        <f t="shared" si="17"/>
        <v>3.1100678111754392</v>
      </c>
    </row>
    <row r="186" spans="1:7" ht="16.5" hidden="1" thickBot="1">
      <c r="A186" s="73">
        <v>2008</v>
      </c>
      <c r="B186" s="80" t="s">
        <v>66</v>
      </c>
      <c r="C186" s="75">
        <f t="shared" si="23"/>
        <v>449.57187155377886</v>
      </c>
      <c r="D186" s="202">
        <v>-0.17</v>
      </c>
      <c r="E186" s="202">
        <f t="shared" si="22"/>
        <v>10.762912288452187</v>
      </c>
      <c r="F186" s="203">
        <f t="shared" si="24"/>
        <v>12.86740762193277</v>
      </c>
      <c r="G186" s="78">
        <f t="shared" si="17"/>
        <v>3.115363929856195</v>
      </c>
    </row>
    <row r="187" spans="1:7" ht="16.5" hidden="1" thickBot="1">
      <c r="A187" s="73">
        <v>2008</v>
      </c>
      <c r="B187" s="80" t="s">
        <v>55</v>
      </c>
      <c r="C187" s="75">
        <f t="shared" si="23"/>
        <v>445.61563908410557</v>
      </c>
      <c r="D187" s="202">
        <v>-0.88</v>
      </c>
      <c r="E187" s="202">
        <f t="shared" si="22"/>
        <v>9.788198660313796</v>
      </c>
      <c r="F187" s="203">
        <f t="shared" si="24"/>
        <v>9.788198660313796</v>
      </c>
      <c r="G187" s="78">
        <f t="shared" si="17"/>
        <v>3.143022528103506</v>
      </c>
    </row>
    <row r="188" spans="1:7" ht="16.5" hidden="1" thickBot="1">
      <c r="A188" s="73">
        <v>2009</v>
      </c>
      <c r="B188" s="80" t="s">
        <v>56</v>
      </c>
      <c r="C188" s="75">
        <f t="shared" si="23"/>
        <v>444.14510747512804</v>
      </c>
      <c r="D188" s="202">
        <v>-0.33</v>
      </c>
      <c r="E188" s="202">
        <f t="shared" ref="E188:E199" si="25">+((C188/$C$187)-1)*100</f>
        <v>-0.32999999999999696</v>
      </c>
      <c r="F188" s="203">
        <f t="shared" si="24"/>
        <v>8.2646415603697232</v>
      </c>
      <c r="G188" s="78">
        <f t="shared" si="17"/>
        <v>3.1534288432863509</v>
      </c>
    </row>
    <row r="189" spans="1:7" ht="16.5" hidden="1" thickBot="1">
      <c r="A189" s="73">
        <v>2009</v>
      </c>
      <c r="B189" s="80" t="s">
        <v>57</v>
      </c>
      <c r="C189" s="75">
        <f t="shared" si="23"/>
        <v>442.76825764195513</v>
      </c>
      <c r="D189" s="202">
        <v>-0.31</v>
      </c>
      <c r="E189" s="202">
        <f t="shared" si="25"/>
        <v>-0.63897699999999613</v>
      </c>
      <c r="F189" s="203">
        <f t="shared" si="24"/>
        <v>7.3706935649946015</v>
      </c>
      <c r="G189" s="78">
        <f t="shared" si="17"/>
        <v>3.1632348713876528</v>
      </c>
    </row>
    <row r="190" spans="1:7" ht="16.5" hidden="1" thickBot="1">
      <c r="A190" s="73">
        <v>2009</v>
      </c>
      <c r="B190" s="80" t="s">
        <v>58</v>
      </c>
      <c r="C190" s="75">
        <f t="shared" si="23"/>
        <v>436.3038410803826</v>
      </c>
      <c r="D190" s="202">
        <v>-1.46</v>
      </c>
      <c r="E190" s="202">
        <f t="shared" si="25"/>
        <v>-2.0896479357999986</v>
      </c>
      <c r="F190" s="203">
        <f t="shared" si="24"/>
        <v>4.9633744433984939</v>
      </c>
      <c r="G190" s="78">
        <f t="shared" si="17"/>
        <v>3.2101023659302341</v>
      </c>
    </row>
    <row r="191" spans="1:7" ht="16.5" hidden="1" thickBot="1">
      <c r="A191" s="73">
        <v>2009</v>
      </c>
      <c r="B191" s="80" t="s">
        <v>59</v>
      </c>
      <c r="C191" s="75">
        <f t="shared" si="23"/>
        <v>435.86753723930224</v>
      </c>
      <c r="D191" s="202">
        <v>-0.1</v>
      </c>
      <c r="E191" s="202">
        <f t="shared" si="25"/>
        <v>-2.1875582878641886</v>
      </c>
      <c r="F191" s="203">
        <f t="shared" si="24"/>
        <v>3.5086581664643957</v>
      </c>
      <c r="G191" s="78">
        <f t="shared" si="17"/>
        <v>3.2133156816118458</v>
      </c>
    </row>
    <row r="192" spans="1:7" ht="16.5" hidden="1" thickBot="1">
      <c r="A192" s="73">
        <v>2009</v>
      </c>
      <c r="B192" s="80" t="s">
        <v>60</v>
      </c>
      <c r="C192" s="75">
        <f t="shared" si="23"/>
        <v>435.43166970206295</v>
      </c>
      <c r="D192" s="202">
        <v>-0.1</v>
      </c>
      <c r="E192" s="202">
        <f t="shared" si="25"/>
        <v>-2.2853707295763193</v>
      </c>
      <c r="F192" s="203">
        <f t="shared" si="24"/>
        <v>1.1594105931304499</v>
      </c>
      <c r="G192" s="78">
        <f t="shared" si="17"/>
        <v>3.2165322138256713</v>
      </c>
    </row>
    <row r="193" spans="1:7" ht="16.5" hidden="1" thickBot="1">
      <c r="A193" s="73">
        <v>2009</v>
      </c>
      <c r="B193" s="80" t="s">
        <v>61</v>
      </c>
      <c r="C193" s="75">
        <f t="shared" si="23"/>
        <v>432.64490701596975</v>
      </c>
      <c r="D193" s="202">
        <v>-0.64</v>
      </c>
      <c r="E193" s="202">
        <f t="shared" si="25"/>
        <v>-2.9107443569070357</v>
      </c>
      <c r="F193" s="203">
        <f t="shared" si="24"/>
        <v>-1.7382047459825745</v>
      </c>
      <c r="G193" s="78">
        <f t="shared" si="17"/>
        <v>3.2372506177794595</v>
      </c>
    </row>
    <row r="194" spans="1:7" ht="16.5" hidden="1" thickBot="1">
      <c r="A194" s="73">
        <v>2009</v>
      </c>
      <c r="B194" s="80" t="s">
        <v>76</v>
      </c>
      <c r="C194" s="75">
        <f t="shared" si="23"/>
        <v>427.62622609458447</v>
      </c>
      <c r="D194" s="202">
        <v>-1.1599999999999999</v>
      </c>
      <c r="E194" s="202">
        <f t="shared" si="25"/>
        <v>-4.0369797223669179</v>
      </c>
      <c r="F194" s="203">
        <f t="shared" si="24"/>
        <v>-4.1054912825130074</v>
      </c>
      <c r="G194" s="78">
        <f t="shared" si="17"/>
        <v>3.2752434417032172</v>
      </c>
    </row>
    <row r="195" spans="1:7" ht="16.5" hidden="1" thickBot="1">
      <c r="A195" s="73">
        <v>2009</v>
      </c>
      <c r="B195" s="80" t="s">
        <v>77</v>
      </c>
      <c r="C195" s="75">
        <f t="shared" si="23"/>
        <v>427.92556445285067</v>
      </c>
      <c r="D195" s="202">
        <v>7.0000000000000007E-2</v>
      </c>
      <c r="E195" s="202">
        <f t="shared" si="25"/>
        <v>-3.969805608172583</v>
      </c>
      <c r="F195" s="203">
        <f t="shared" si="24"/>
        <v>-3.2605801911475885</v>
      </c>
      <c r="G195" s="78">
        <f t="shared" si="17"/>
        <v>3.2729523750406888</v>
      </c>
    </row>
    <row r="196" spans="1:7" ht="16.5" hidden="1" thickBot="1">
      <c r="A196" s="73">
        <v>2009</v>
      </c>
      <c r="B196" s="80" t="s">
        <v>64</v>
      </c>
      <c r="C196" s="75">
        <f t="shared" si="23"/>
        <v>429.16654858976386</v>
      </c>
      <c r="D196" s="202">
        <v>0.28999999999999998</v>
      </c>
      <c r="E196" s="202">
        <f t="shared" si="25"/>
        <v>-3.6913180444362981</v>
      </c>
      <c r="F196" s="203">
        <f t="shared" si="24"/>
        <v>-3.4050536376960649</v>
      </c>
      <c r="G196" s="78">
        <f t="shared" si="17"/>
        <v>3.2634882590893302</v>
      </c>
    </row>
    <row r="197" spans="1:7" ht="16.5" hidden="1" thickBot="1">
      <c r="A197" s="73">
        <v>2009</v>
      </c>
      <c r="B197" s="80" t="s">
        <v>78</v>
      </c>
      <c r="C197" s="75">
        <f t="shared" si="23"/>
        <v>428.82321535089204</v>
      </c>
      <c r="D197" s="202">
        <v>-0.08</v>
      </c>
      <c r="E197" s="202">
        <f t="shared" si="25"/>
        <v>-3.7683649900007499</v>
      </c>
      <c r="F197" s="203">
        <f t="shared" si="24"/>
        <v>-4.7773575323460049</v>
      </c>
      <c r="G197" s="78">
        <f t="shared" si="17"/>
        <v>3.2661011400013313</v>
      </c>
    </row>
    <row r="198" spans="1:7" ht="16.5" hidden="1" thickBot="1">
      <c r="A198" s="73">
        <v>2009</v>
      </c>
      <c r="B198" s="80" t="s">
        <v>68</v>
      </c>
      <c r="C198" s="75">
        <f t="shared" si="23"/>
        <v>428.65168606475169</v>
      </c>
      <c r="D198" s="202">
        <v>-0.04</v>
      </c>
      <c r="E198" s="202">
        <f t="shared" si="25"/>
        <v>-3.8068576440047464</v>
      </c>
      <c r="F198" s="203">
        <f t="shared" si="24"/>
        <v>-4.6533572967375143</v>
      </c>
      <c r="G198" s="78">
        <f t="shared" si="17"/>
        <v>3.2674081032426288</v>
      </c>
    </row>
    <row r="199" spans="1:7" ht="16.5" hidden="1" thickBot="1">
      <c r="A199" s="73">
        <v>2009</v>
      </c>
      <c r="B199" s="80" t="s">
        <v>55</v>
      </c>
      <c r="C199" s="75">
        <f t="shared" si="23"/>
        <v>427.40859617516389</v>
      </c>
      <c r="D199" s="202">
        <v>-0.28999999999999998</v>
      </c>
      <c r="E199" s="202">
        <f t="shared" si="25"/>
        <v>-4.0858177568371401</v>
      </c>
      <c r="F199" s="203">
        <f t="shared" si="24"/>
        <v>-4.0858177568371401</v>
      </c>
      <c r="G199" s="78">
        <f t="shared" ref="G199:G262" si="26">+$C$396/C199</f>
        <v>3.2769111455647666</v>
      </c>
    </row>
    <row r="200" spans="1:7" ht="16.5" hidden="1" thickBot="1">
      <c r="A200" s="73">
        <v>2010</v>
      </c>
      <c r="B200" s="80" t="s">
        <v>56</v>
      </c>
      <c r="C200" s="75">
        <f t="shared" si="23"/>
        <v>431.51171869844546</v>
      </c>
      <c r="D200" s="202">
        <v>0.96</v>
      </c>
      <c r="E200" s="202">
        <f t="shared" ref="E200:E211" si="27">+((C200/$C$199)-1)*100</f>
        <v>0.96000000000000529</v>
      </c>
      <c r="F200" s="203">
        <f t="shared" si="24"/>
        <v>-2.8444282204301952</v>
      </c>
      <c r="G200" s="78">
        <f t="shared" si="26"/>
        <v>3.2457519270649429</v>
      </c>
    </row>
    <row r="201" spans="1:7" ht="16.5" hidden="1" thickBot="1">
      <c r="A201" s="73">
        <v>2010</v>
      </c>
      <c r="B201" s="80" t="s">
        <v>57</v>
      </c>
      <c r="C201" s="75">
        <f t="shared" si="23"/>
        <v>437.46658041648402</v>
      </c>
      <c r="D201" s="202">
        <v>1.38</v>
      </c>
      <c r="E201" s="202">
        <f t="shared" si="27"/>
        <v>2.3532480000000078</v>
      </c>
      <c r="F201" s="203">
        <f t="shared" si="24"/>
        <v>-1.1973932489438566</v>
      </c>
      <c r="G201" s="78">
        <f t="shared" si="26"/>
        <v>3.2015702575112872</v>
      </c>
    </row>
    <row r="202" spans="1:7" ht="16.5" hidden="1" thickBot="1">
      <c r="A202" s="73">
        <v>2010</v>
      </c>
      <c r="B202" s="80" t="s">
        <v>58</v>
      </c>
      <c r="C202" s="75">
        <f t="shared" si="23"/>
        <v>439.74140663464976</v>
      </c>
      <c r="D202" s="202">
        <v>0.52</v>
      </c>
      <c r="E202" s="202">
        <f t="shared" si="27"/>
        <v>2.8854848896000096</v>
      </c>
      <c r="F202" s="203">
        <f t="shared" si="24"/>
        <v>0.78788340385795852</v>
      </c>
      <c r="G202" s="78">
        <f t="shared" si="26"/>
        <v>3.1850082147943564</v>
      </c>
    </row>
    <row r="203" spans="1:7" ht="16.5" hidden="1" thickBot="1">
      <c r="A203" s="73">
        <v>2010</v>
      </c>
      <c r="B203" s="80" t="s">
        <v>59</v>
      </c>
      <c r="C203" s="75">
        <f t="shared" si="23"/>
        <v>442.73164819976535</v>
      </c>
      <c r="D203" s="202">
        <v>0.68</v>
      </c>
      <c r="E203" s="202">
        <f t="shared" si="27"/>
        <v>3.5851061868492851</v>
      </c>
      <c r="F203" s="203">
        <f t="shared" si="24"/>
        <v>1.5748158268310108</v>
      </c>
      <c r="G203" s="78">
        <f t="shared" si="26"/>
        <v>3.1634964390090947</v>
      </c>
    </row>
    <row r="204" spans="1:7" ht="16.5" hidden="1" thickBot="1">
      <c r="A204" s="73">
        <v>2010</v>
      </c>
      <c r="B204" s="80" t="s">
        <v>60</v>
      </c>
      <c r="C204" s="75">
        <f t="shared" si="23"/>
        <v>451.85192015268046</v>
      </c>
      <c r="D204" s="202">
        <v>2.06</v>
      </c>
      <c r="E204" s="202">
        <f t="shared" si="27"/>
        <v>5.7189593742983602</v>
      </c>
      <c r="F204" s="203">
        <f t="shared" si="24"/>
        <v>3.7710280609246416</v>
      </c>
      <c r="G204" s="78">
        <f t="shared" si="26"/>
        <v>3.0996437771987999</v>
      </c>
    </row>
    <row r="205" spans="1:7" ht="16.5" hidden="1" thickBot="1">
      <c r="A205" s="73">
        <v>2010</v>
      </c>
      <c r="B205" s="80" t="s">
        <v>61</v>
      </c>
      <c r="C205" s="75">
        <f t="shared" si="23"/>
        <v>453.79488340933699</v>
      </c>
      <c r="D205" s="202">
        <v>0.43</v>
      </c>
      <c r="E205" s="202">
        <f t="shared" si="27"/>
        <v>6.1735508996078492</v>
      </c>
      <c r="F205" s="203">
        <f t="shared" si="24"/>
        <v>4.8885300740606041</v>
      </c>
      <c r="G205" s="78">
        <f t="shared" si="26"/>
        <v>3.0863723759820769</v>
      </c>
    </row>
    <row r="206" spans="1:7" ht="16.5" hidden="1" thickBot="1">
      <c r="A206" s="73">
        <v>2010</v>
      </c>
      <c r="B206" s="80" t="s">
        <v>62</v>
      </c>
      <c r="C206" s="75">
        <f t="shared" si="23"/>
        <v>455.33778601292875</v>
      </c>
      <c r="D206" s="202">
        <v>0.34</v>
      </c>
      <c r="E206" s="202">
        <f t="shared" si="27"/>
        <v>6.5345409726665249</v>
      </c>
      <c r="F206" s="203">
        <f t="shared" si="24"/>
        <v>6.480322821036455</v>
      </c>
      <c r="G206" s="78">
        <f t="shared" si="26"/>
        <v>3.0759142674726698</v>
      </c>
    </row>
    <row r="207" spans="1:7" ht="16.5" hidden="1" thickBot="1">
      <c r="A207" s="73">
        <v>2010</v>
      </c>
      <c r="B207" s="80" t="s">
        <v>63</v>
      </c>
      <c r="C207" s="75">
        <f t="shared" si="23"/>
        <v>463.07852837514849</v>
      </c>
      <c r="D207" s="202">
        <v>1.7</v>
      </c>
      <c r="E207" s="202">
        <f t="shared" si="27"/>
        <v>8.3456281692018344</v>
      </c>
      <c r="F207" s="203">
        <f t="shared" si="24"/>
        <v>8.2147379923993782</v>
      </c>
      <c r="G207" s="78">
        <f t="shared" si="26"/>
        <v>3.0244978047912192</v>
      </c>
    </row>
    <row r="208" spans="1:7" ht="16.5" hidden="1" thickBot="1">
      <c r="A208" s="73">
        <v>2010</v>
      </c>
      <c r="B208" s="80" t="s">
        <v>64</v>
      </c>
      <c r="C208" s="75">
        <f t="shared" si="23"/>
        <v>469.88578274226313</v>
      </c>
      <c r="D208" s="202">
        <v>1.47</v>
      </c>
      <c r="E208" s="202">
        <f t="shared" si="27"/>
        <v>9.9383089032890837</v>
      </c>
      <c r="F208" s="203">
        <f t="shared" si="24"/>
        <v>9.4879795003366851</v>
      </c>
      <c r="G208" s="78">
        <f t="shared" si="26"/>
        <v>2.9806817825871881</v>
      </c>
    </row>
    <row r="209" spans="1:7" ht="16.5" hidden="1" thickBot="1">
      <c r="A209" s="73">
        <v>2010</v>
      </c>
      <c r="B209" s="80" t="s">
        <v>65</v>
      </c>
      <c r="C209" s="75">
        <f t="shared" si="23"/>
        <v>476.08827507446108</v>
      </c>
      <c r="D209" s="202">
        <v>1.32</v>
      </c>
      <c r="E209" s="202">
        <f t="shared" si="27"/>
        <v>11.389494580812531</v>
      </c>
      <c r="F209" s="203">
        <f t="shared" si="24"/>
        <v>11.022038460509552</v>
      </c>
      <c r="G209" s="78">
        <f t="shared" si="26"/>
        <v>2.9418493708914206</v>
      </c>
    </row>
    <row r="210" spans="1:7" ht="16.5" hidden="1" thickBot="1">
      <c r="A210" s="73">
        <v>2010</v>
      </c>
      <c r="B210" s="80" t="s">
        <v>66</v>
      </c>
      <c r="C210" s="75">
        <f t="shared" si="23"/>
        <v>485.51482292093544</v>
      </c>
      <c r="D210" s="202">
        <v>1.98</v>
      </c>
      <c r="E210" s="202">
        <f t="shared" si="27"/>
        <v>13.595006573512624</v>
      </c>
      <c r="F210" s="203">
        <f t="shared" si="24"/>
        <v>13.265581054449438</v>
      </c>
      <c r="G210" s="78">
        <f t="shared" si="26"/>
        <v>2.8847316835569923</v>
      </c>
    </row>
    <row r="211" spans="1:7" ht="16.5" hidden="1" thickBot="1">
      <c r="A211" s="73">
        <v>2010</v>
      </c>
      <c r="B211" s="80" t="s">
        <v>55</v>
      </c>
      <c r="C211" s="75">
        <f t="shared" si="23"/>
        <v>486.53440404906939</v>
      </c>
      <c r="D211" s="202">
        <v>0.21</v>
      </c>
      <c r="E211" s="202">
        <f t="shared" si="27"/>
        <v>13.833556087317</v>
      </c>
      <c r="F211" s="203">
        <f t="shared" si="24"/>
        <v>13.833556087317</v>
      </c>
      <c r="G211" s="78">
        <f t="shared" si="26"/>
        <v>2.8786864420287319</v>
      </c>
    </row>
    <row r="212" spans="1:7">
      <c r="A212" s="204">
        <v>2011</v>
      </c>
      <c r="B212" s="205" t="s">
        <v>56</v>
      </c>
      <c r="C212" s="206">
        <f t="shared" si="23"/>
        <v>491.20513432794047</v>
      </c>
      <c r="D212" s="207">
        <v>0.96</v>
      </c>
      <c r="E212" s="207">
        <f t="shared" ref="E212:E223" si="28">+((C212/$C$211)-1)*100</f>
        <v>0.96000000000000529</v>
      </c>
      <c r="F212" s="208">
        <f t="shared" si="24"/>
        <v>13.833556087317</v>
      </c>
      <c r="G212" s="209">
        <f t="shared" si="26"/>
        <v>2.8513138292677613</v>
      </c>
    </row>
    <row r="213" spans="1:7">
      <c r="A213" s="91">
        <v>2011</v>
      </c>
      <c r="B213" s="92" t="s">
        <v>57</v>
      </c>
      <c r="C213" s="93">
        <f t="shared" si="23"/>
        <v>497.24237395745382</v>
      </c>
      <c r="D213" s="210">
        <v>1.2290668821638873</v>
      </c>
      <c r="E213" s="210">
        <f t="shared" si="28"/>
        <v>2.2008659242326534</v>
      </c>
      <c r="F213" s="211">
        <f t="shared" si="24"/>
        <v>13.664082290368572</v>
      </c>
      <c r="G213" s="96">
        <f t="shared" si="26"/>
        <v>2.8166947667183821</v>
      </c>
    </row>
    <row r="214" spans="1:7">
      <c r="A214" s="91">
        <v>2011</v>
      </c>
      <c r="B214" s="92" t="s">
        <v>58</v>
      </c>
      <c r="C214" s="93">
        <f t="shared" si="23"/>
        <v>500.23899654268928</v>
      </c>
      <c r="D214" s="210">
        <v>0.60264827419793665</v>
      </c>
      <c r="E214" s="210">
        <f t="shared" si="28"/>
        <v>2.8167776789403964</v>
      </c>
      <c r="F214" s="211">
        <f t="shared" si="24"/>
        <v>13.757537724506964</v>
      </c>
      <c r="G214" s="96">
        <f t="shared" si="26"/>
        <v>2.7998216896252361</v>
      </c>
    </row>
    <row r="215" spans="1:7">
      <c r="A215" s="91">
        <v>2011</v>
      </c>
      <c r="B215" s="92" t="s">
        <v>59</v>
      </c>
      <c r="C215" s="93">
        <f t="shared" si="23"/>
        <v>501.46184252925678</v>
      </c>
      <c r="D215" s="210">
        <v>0.24445235078012217</v>
      </c>
      <c r="E215" s="210">
        <f t="shared" si="28"/>
        <v>3.0681157089729405</v>
      </c>
      <c r="F215" s="211">
        <f t="shared" si="24"/>
        <v>13.265415871736309</v>
      </c>
      <c r="G215" s="96">
        <f t="shared" si="26"/>
        <v>2.7929941497689748</v>
      </c>
    </row>
    <row r="216" spans="1:7">
      <c r="A216" s="91">
        <v>2011</v>
      </c>
      <c r="B216" s="92" t="s">
        <v>60</v>
      </c>
      <c r="C216" s="93">
        <f t="shared" si="23"/>
        <v>498.31523883364923</v>
      </c>
      <c r="D216" s="210">
        <v>-0.62748616719007222</v>
      </c>
      <c r="E216" s="210">
        <f t="shared" si="28"/>
        <v>2.4213775401156878</v>
      </c>
      <c r="F216" s="211">
        <f t="shared" si="24"/>
        <v>10.28286405538983</v>
      </c>
      <c r="G216" s="96">
        <f t="shared" si="26"/>
        <v>2.810630467161241</v>
      </c>
    </row>
    <row r="217" spans="1:7">
      <c r="A217" s="91">
        <v>2011</v>
      </c>
      <c r="B217" s="92" t="s">
        <v>61</v>
      </c>
      <c r="C217" s="93">
        <f t="shared" si="23"/>
        <v>497.35236010506009</v>
      </c>
      <c r="D217" s="210">
        <v>-0.19322682782947354</v>
      </c>
      <c r="E217" s="210">
        <f t="shared" si="28"/>
        <v>2.2234719612756582</v>
      </c>
      <c r="F217" s="211">
        <f t="shared" si="24"/>
        <v>9.5984944494036828</v>
      </c>
      <c r="G217" s="96">
        <f t="shared" si="26"/>
        <v>2.816071873511826</v>
      </c>
    </row>
    <row r="218" spans="1:7">
      <c r="A218" s="91">
        <v>2011</v>
      </c>
      <c r="B218" s="92" t="s">
        <v>62</v>
      </c>
      <c r="C218" s="93">
        <f t="shared" si="23"/>
        <v>496.68644397500776</v>
      </c>
      <c r="D218" s="210">
        <v>-0.13389222279183155</v>
      </c>
      <c r="E218" s="210">
        <f t="shared" si="28"/>
        <v>2.0866026824517103</v>
      </c>
      <c r="F218" s="211">
        <f t="shared" si="24"/>
        <v>9.0808756119583158</v>
      </c>
      <c r="G218" s="96">
        <f t="shared" si="26"/>
        <v>2.819847429915078</v>
      </c>
    </row>
    <row r="219" spans="1:7">
      <c r="A219" s="91">
        <v>2011</v>
      </c>
      <c r="B219" s="92" t="s">
        <v>63</v>
      </c>
      <c r="C219" s="93">
        <f t="shared" si="23"/>
        <v>500.4999636747367</v>
      </c>
      <c r="D219" s="210">
        <v>0.76779218478546518</v>
      </c>
      <c r="E219" s="210">
        <f t="shared" si="28"/>
        <v>2.870415639560564</v>
      </c>
      <c r="F219" s="211">
        <f t="shared" si="24"/>
        <v>8.0810128318608676</v>
      </c>
      <c r="G219" s="96">
        <f t="shared" si="26"/>
        <v>2.798361826509121</v>
      </c>
    </row>
    <row r="220" spans="1:7">
      <c r="A220" s="91">
        <v>2011</v>
      </c>
      <c r="B220" s="92" t="s">
        <v>64</v>
      </c>
      <c r="C220" s="93">
        <f t="shared" si="23"/>
        <v>505.21936928111347</v>
      </c>
      <c r="D220" s="210">
        <v>0.94293825152877986</v>
      </c>
      <c r="E220" s="210">
        <f t="shared" si="28"/>
        <v>3.8404201381326386</v>
      </c>
      <c r="F220" s="211">
        <f t="shared" si="24"/>
        <v>7.5196117517416283</v>
      </c>
      <c r="G220" s="96">
        <f t="shared" si="26"/>
        <v>2.7722214896659598</v>
      </c>
    </row>
    <row r="221" spans="1:7">
      <c r="A221" s="91">
        <v>2011</v>
      </c>
      <c r="B221" s="92" t="s">
        <v>65</v>
      </c>
      <c r="C221" s="93">
        <f t="shared" si="23"/>
        <v>507.62506629148265</v>
      </c>
      <c r="D221" s="210">
        <v>0.4761688004544018</v>
      </c>
      <c r="E221" s="210">
        <f t="shared" si="28"/>
        <v>4.3348758210911997</v>
      </c>
      <c r="F221" s="211">
        <f t="shared" si="24"/>
        <v>6.6241478457097491</v>
      </c>
      <c r="G221" s="96">
        <f t="shared" si="26"/>
        <v>2.7590835944109191</v>
      </c>
    </row>
    <row r="222" spans="1:7">
      <c r="A222" s="91">
        <v>2011</v>
      </c>
      <c r="B222" s="92" t="s">
        <v>66</v>
      </c>
      <c r="C222" s="93">
        <f t="shared" si="23"/>
        <v>509.36484717179945</v>
      </c>
      <c r="D222" s="210">
        <v>0.34272950566192062</v>
      </c>
      <c r="E222" s="210">
        <f t="shared" si="28"/>
        <v>4.692462225225813</v>
      </c>
      <c r="F222" s="211">
        <f t="shared" si="24"/>
        <v>4.9123163958987748</v>
      </c>
      <c r="G222" s="96">
        <f t="shared" si="26"/>
        <v>2.749659699316068</v>
      </c>
    </row>
    <row r="223" spans="1:7">
      <c r="A223" s="91">
        <v>2011</v>
      </c>
      <c r="B223" s="92" t="s">
        <v>55</v>
      </c>
      <c r="C223" s="93">
        <f t="shared" si="23"/>
        <v>506.55120154121812</v>
      </c>
      <c r="D223" s="210">
        <v>-0.55238315839890584</v>
      </c>
      <c r="E223" s="210">
        <f t="shared" si="28"/>
        <v>4.1141586957805121</v>
      </c>
      <c r="F223" s="211">
        <f t="shared" si="24"/>
        <v>4.1141586957805121</v>
      </c>
      <c r="G223" s="96">
        <f t="shared" si="26"/>
        <v>2.7649327220135311</v>
      </c>
    </row>
    <row r="224" spans="1:7">
      <c r="A224" s="91">
        <f>2012</f>
        <v>2012</v>
      </c>
      <c r="B224" s="92" t="s">
        <v>56</v>
      </c>
      <c r="C224" s="93">
        <f t="shared" si="23"/>
        <v>506.61819310385101</v>
      </c>
      <c r="D224" s="210">
        <v>1.3225032815844528E-2</v>
      </c>
      <c r="E224" s="210">
        <f t="shared" ref="E224:E235" si="29">+((C224/$C$223)-1)*100</f>
        <v>1.3225032815844528E-2</v>
      </c>
      <c r="F224" s="211">
        <f t="shared" si="24"/>
        <v>3.1378049003902397</v>
      </c>
      <c r="G224" s="96">
        <f t="shared" si="26"/>
        <v>2.7645671071064002</v>
      </c>
    </row>
    <row r="225" spans="1:7">
      <c r="A225" s="91">
        <f>2012</f>
        <v>2012</v>
      </c>
      <c r="B225" s="92" t="s">
        <v>57</v>
      </c>
      <c r="C225" s="93">
        <f t="shared" si="23"/>
        <v>506.45821325278735</v>
      </c>
      <c r="D225" s="210">
        <v>-3.15779917186787E-2</v>
      </c>
      <c r="E225" s="210">
        <f t="shared" si="29"/>
        <v>-1.8357135102597955E-2</v>
      </c>
      <c r="F225" s="211">
        <f t="shared" si="24"/>
        <v>1.8533897708649549</v>
      </c>
      <c r="G225" s="96">
        <f t="shared" si="26"/>
        <v>2.7654403776398362</v>
      </c>
    </row>
    <row r="226" spans="1:7">
      <c r="A226" s="91">
        <f>2012</f>
        <v>2012</v>
      </c>
      <c r="B226" s="92" t="s">
        <v>58</v>
      </c>
      <c r="C226" s="93">
        <f t="shared" si="23"/>
        <v>509.24086278722518</v>
      </c>
      <c r="D226" s="210">
        <v>0.54943319342497521</v>
      </c>
      <c r="E226" s="210">
        <f t="shared" si="29"/>
        <v>0.53097519812874694</v>
      </c>
      <c r="F226" s="211">
        <f t="shared" si="24"/>
        <v>1.7995130940911652</v>
      </c>
      <c r="G226" s="96">
        <f t="shared" si="26"/>
        <v>2.7503291563265333</v>
      </c>
    </row>
    <row r="227" spans="1:7">
      <c r="A227" s="91">
        <f>2012</f>
        <v>2012</v>
      </c>
      <c r="B227" s="92" t="s">
        <v>59</v>
      </c>
      <c r="C227" s="93">
        <f t="shared" si="23"/>
        <v>515.59006312631243</v>
      </c>
      <c r="D227" s="210">
        <v>1.2467971058599314</v>
      </c>
      <c r="E227" s="210">
        <f t="shared" si="29"/>
        <v>1.7843924873917727</v>
      </c>
      <c r="F227" s="211">
        <f t="shared" si="24"/>
        <v>2.8174069089277332</v>
      </c>
      <c r="G227" s="96">
        <f t="shared" si="26"/>
        <v>2.7164604065952727</v>
      </c>
    </row>
    <row r="228" spans="1:7">
      <c r="A228" s="91">
        <f>2012</f>
        <v>2012</v>
      </c>
      <c r="B228" s="92" t="s">
        <v>60</v>
      </c>
      <c r="C228" s="93">
        <f t="shared" si="23"/>
        <v>520.25747528109343</v>
      </c>
      <c r="D228" s="210">
        <v>0.90525642144456686</v>
      </c>
      <c r="E228" s="210">
        <f t="shared" si="29"/>
        <v>2.7058022364122358</v>
      </c>
      <c r="F228" s="211">
        <f t="shared" si="24"/>
        <v>4.4032842541203321</v>
      </c>
      <c r="G228" s="96">
        <f t="shared" si="26"/>
        <v>2.6920900882007626</v>
      </c>
    </row>
    <row r="229" spans="1:7">
      <c r="A229" s="91">
        <f>2012</f>
        <v>2012</v>
      </c>
      <c r="B229" s="92" t="s">
        <v>61</v>
      </c>
      <c r="C229" s="93">
        <f t="shared" si="23"/>
        <v>524.90988932483731</v>
      </c>
      <c r="D229" s="210">
        <v>0.89425222409926786</v>
      </c>
      <c r="E229" s="210">
        <f t="shared" si="29"/>
        <v>3.6242511571903391</v>
      </c>
      <c r="F229" s="211">
        <f t="shared" si="24"/>
        <v>5.5408461747232796</v>
      </c>
      <c r="G229" s="96">
        <f t="shared" si="26"/>
        <v>2.6682293875584508</v>
      </c>
    </row>
    <row r="230" spans="1:7">
      <c r="A230" s="91">
        <f>2012</f>
        <v>2012</v>
      </c>
      <c r="B230" s="92" t="s">
        <v>62</v>
      </c>
      <c r="C230" s="93">
        <f t="shared" si="23"/>
        <v>536.09248091418419</v>
      </c>
      <c r="D230" s="210">
        <v>2.1303831032275733</v>
      </c>
      <c r="E230" s="210">
        <f t="shared" si="29"/>
        <v>5.8318446946892255</v>
      </c>
      <c r="F230" s="211">
        <f t="shared" si="24"/>
        <v>7.9337854731463597</v>
      </c>
      <c r="G230" s="96">
        <f t="shared" si="26"/>
        <v>2.6125716035565603</v>
      </c>
    </row>
    <row r="231" spans="1:7">
      <c r="A231" s="91">
        <f>2012</f>
        <v>2012</v>
      </c>
      <c r="B231" s="92" t="s">
        <v>63</v>
      </c>
      <c r="C231" s="93">
        <f t="shared" si="23"/>
        <v>545.55728885273561</v>
      </c>
      <c r="D231" s="210">
        <v>1.7655177558937751</v>
      </c>
      <c r="E231" s="210">
        <f t="shared" si="29"/>
        <v>7.7003247041639078</v>
      </c>
      <c r="F231" s="211">
        <f t="shared" si="24"/>
        <v>9.0024632264070767</v>
      </c>
      <c r="G231" s="96">
        <f t="shared" si="26"/>
        <v>2.5672464123096868</v>
      </c>
    </row>
    <row r="232" spans="1:7">
      <c r="A232" s="91">
        <f>2012</f>
        <v>2012</v>
      </c>
      <c r="B232" s="92" t="s">
        <v>64</v>
      </c>
      <c r="C232" s="93">
        <f t="shared" si="23"/>
        <v>551.58652948969564</v>
      </c>
      <c r="D232" s="210">
        <v>1.1051526136950818</v>
      </c>
      <c r="E232" s="210">
        <f t="shared" si="29"/>
        <v>8.8905776575900486</v>
      </c>
      <c r="F232" s="211">
        <f t="shared" si="24"/>
        <v>9.1776291701877852</v>
      </c>
      <c r="G232" s="96">
        <f t="shared" si="26"/>
        <v>2.5391845479118968</v>
      </c>
    </row>
    <row r="233" spans="1:7">
      <c r="A233" s="91">
        <f>2012</f>
        <v>2012</v>
      </c>
      <c r="B233" s="92" t="s">
        <v>65</v>
      </c>
      <c r="C233" s="93">
        <f t="shared" si="23"/>
        <v>547.8370017303921</v>
      </c>
      <c r="D233" s="210">
        <v>-0.67977145177429144</v>
      </c>
      <c r="E233" s="210">
        <f t="shared" si="29"/>
        <v>8.150370597001654</v>
      </c>
      <c r="F233" s="211">
        <f t="shared" si="24"/>
        <v>7.9215819133366949</v>
      </c>
      <c r="G233" s="96">
        <f t="shared" si="26"/>
        <v>2.5565633356139288</v>
      </c>
    </row>
    <row r="234" spans="1:7">
      <c r="A234" s="91">
        <f>2012</f>
        <v>2012</v>
      </c>
      <c r="B234" s="92" t="s">
        <v>66</v>
      </c>
      <c r="C234" s="93">
        <f t="shared" si="23"/>
        <v>548.7378882666942</v>
      </c>
      <c r="D234" s="210">
        <v>0.16444426598725137</v>
      </c>
      <c r="E234" s="210">
        <f t="shared" si="29"/>
        <v>8.3282176800923757</v>
      </c>
      <c r="F234" s="211">
        <f t="shared" si="24"/>
        <v>7.7298308498338297</v>
      </c>
      <c r="G234" s="96">
        <f t="shared" si="26"/>
        <v>2.5523661158893476</v>
      </c>
    </row>
    <row r="235" spans="1:7">
      <c r="A235" s="91">
        <f>2012</f>
        <v>2012</v>
      </c>
      <c r="B235" s="92" t="s">
        <v>55</v>
      </c>
      <c r="C235" s="93">
        <f t="shared" si="23"/>
        <v>552.79137774301864</v>
      </c>
      <c r="D235" s="210">
        <v>0.73869320179953402</v>
      </c>
      <c r="E235" s="210">
        <f t="shared" si="29"/>
        <v>9.1284308597258335</v>
      </c>
      <c r="F235" s="211">
        <f t="shared" si="24"/>
        <v>9.1284308597258335</v>
      </c>
      <c r="G235" s="96">
        <f t="shared" si="26"/>
        <v>2.5336502140011414</v>
      </c>
    </row>
    <row r="236" spans="1:7">
      <c r="A236" s="91">
        <f>2013</f>
        <v>2013</v>
      </c>
      <c r="B236" s="92" t="s">
        <v>56</v>
      </c>
      <c r="C236" s="93">
        <f t="shared" si="23"/>
        <v>552.8013764837101</v>
      </c>
      <c r="D236" s="210">
        <v>1.8087729103610783E-3</v>
      </c>
      <c r="E236" s="210">
        <f t="shared" ref="E236:E247" si="30">+((C236/$C$235)-1)*100</f>
        <v>1.8087729103610783E-3</v>
      </c>
      <c r="F236" s="211">
        <f t="shared" si="24"/>
        <v>9.1159741218357802</v>
      </c>
      <c r="G236" s="96">
        <f t="shared" si="26"/>
        <v>2.5336043868513363</v>
      </c>
    </row>
    <row r="237" spans="1:7">
      <c r="A237" s="91">
        <f>2013</f>
        <v>2013</v>
      </c>
      <c r="B237" s="92" t="s">
        <v>57</v>
      </c>
      <c r="C237" s="93">
        <f t="shared" si="23"/>
        <v>553.27331704434778</v>
      </c>
      <c r="D237" s="210">
        <v>8.5372537174133178E-2</v>
      </c>
      <c r="E237" s="210">
        <f t="shared" si="30"/>
        <v>8.718285427982142E-2</v>
      </c>
      <c r="F237" s="211">
        <f t="shared" si="24"/>
        <v>9.2436261406217302</v>
      </c>
      <c r="G237" s="96">
        <f t="shared" si="26"/>
        <v>2.5314432295391556</v>
      </c>
    </row>
    <row r="238" spans="1:7">
      <c r="A238" s="91">
        <f>2013</f>
        <v>2013</v>
      </c>
      <c r="B238" s="92" t="s">
        <v>58</v>
      </c>
      <c r="C238" s="93">
        <f t="shared" si="23"/>
        <v>553.95523115950652</v>
      </c>
      <c r="D238" s="210">
        <v>0.12325085887054943</v>
      </c>
      <c r="E238" s="210">
        <f t="shared" si="30"/>
        <v>0.21054116676706425</v>
      </c>
      <c r="F238" s="211">
        <f t="shared" si="24"/>
        <v>8.7805931612688006</v>
      </c>
      <c r="G238" s="96">
        <f t="shared" si="26"/>
        <v>2.5283270447414554</v>
      </c>
    </row>
    <row r="239" spans="1:7">
      <c r="A239" s="91">
        <f>2013</f>
        <v>2013</v>
      </c>
      <c r="B239" s="92" t="s">
        <v>59</v>
      </c>
      <c r="C239" s="93">
        <f t="shared" si="23"/>
        <v>551.7725060665573</v>
      </c>
      <c r="D239" s="210">
        <v>-0.39402554036369608</v>
      </c>
      <c r="E239" s="210">
        <f t="shared" si="30"/>
        <v>-0.18431395956667318</v>
      </c>
      <c r="F239" s="211">
        <f t="shared" si="24"/>
        <v>7.0176765473039415</v>
      </c>
      <c r="G239" s="96">
        <f t="shared" si="26"/>
        <v>2.5383287081499502</v>
      </c>
    </row>
    <row r="240" spans="1:7">
      <c r="A240" s="91">
        <f>2013</f>
        <v>2013</v>
      </c>
      <c r="B240" s="92" t="s">
        <v>60</v>
      </c>
      <c r="C240" s="93">
        <f t="shared" si="23"/>
        <v>551.82149989594552</v>
      </c>
      <c r="D240" s="210">
        <v>8.879353148172342E-3</v>
      </c>
      <c r="E240" s="210">
        <f t="shared" si="30"/>
        <v>-0.17545097230586837</v>
      </c>
      <c r="F240" s="211">
        <f t="shared" si="24"/>
        <v>6.0670006899560924</v>
      </c>
      <c r="G240" s="96">
        <f t="shared" si="26"/>
        <v>2.5381033409910381</v>
      </c>
    </row>
    <row r="241" spans="1:7">
      <c r="A241" s="91">
        <f>2013</f>
        <v>2013</v>
      </c>
      <c r="B241" s="92" t="s">
        <v>61</v>
      </c>
      <c r="C241" s="93">
        <f t="shared" ref="C241:C304" si="31">+C240*(1+D241/100)</f>
        <v>556.51890827280113</v>
      </c>
      <c r="D241" s="210">
        <v>0.85125504855128042</v>
      </c>
      <c r="E241" s="210">
        <f t="shared" si="30"/>
        <v>0.67431054098592291</v>
      </c>
      <c r="F241" s="211">
        <f t="shared" si="24"/>
        <v>6.0217990917680764</v>
      </c>
      <c r="G241" s="96">
        <f t="shared" si="26"/>
        <v>2.5166799756425022</v>
      </c>
    </row>
    <row r="242" spans="1:7">
      <c r="A242" s="91">
        <f>2013</f>
        <v>2013</v>
      </c>
      <c r="B242" s="92" t="s">
        <v>62</v>
      </c>
      <c r="C242" s="93">
        <f t="shared" si="31"/>
        <v>557.61776987479425</v>
      </c>
      <c r="D242" s="210">
        <v>0.19745269849025249</v>
      </c>
      <c r="E242" s="210">
        <f t="shared" si="30"/>
        <v>0.87309468383556244</v>
      </c>
      <c r="F242" s="211">
        <f t="shared" si="24"/>
        <v>4.0152193375112333</v>
      </c>
      <c r="G242" s="96">
        <f t="shared" si="26"/>
        <v>2.5117205157057079</v>
      </c>
    </row>
    <row r="243" spans="1:7">
      <c r="A243" s="91">
        <f>2013</f>
        <v>2013</v>
      </c>
      <c r="B243" s="92" t="s">
        <v>63</v>
      </c>
      <c r="C243" s="93">
        <f t="shared" si="31"/>
        <v>560.87835921428461</v>
      </c>
      <c r="D243" s="210">
        <v>0.58473555106079989</v>
      </c>
      <c r="E243" s="210">
        <f t="shared" si="30"/>
        <v>1.4629355299071722</v>
      </c>
      <c r="F243" s="211">
        <f t="shared" si="24"/>
        <v>2.8083339137064733</v>
      </c>
      <c r="G243" s="96">
        <f t="shared" si="26"/>
        <v>2.4971189733164421</v>
      </c>
    </row>
    <row r="244" spans="1:7">
      <c r="A244" s="91">
        <f>2013</f>
        <v>2013</v>
      </c>
      <c r="B244" s="92" t="s">
        <v>64</v>
      </c>
      <c r="C244" s="93">
        <f t="shared" si="31"/>
        <v>571.53701679139817</v>
      </c>
      <c r="D244" s="210">
        <v>1.9003510123023704</v>
      </c>
      <c r="E244" s="210">
        <f t="shared" si="30"/>
        <v>3.391087452361452</v>
      </c>
      <c r="F244" s="211">
        <f t="shared" ref="F244:F307" si="32">100*((C244/C232)-1)</f>
        <v>3.6169279406007115</v>
      </c>
      <c r="G244" s="96">
        <f t="shared" si="26"/>
        <v>2.4505499230468466</v>
      </c>
    </row>
    <row r="245" spans="1:7">
      <c r="A245" s="91">
        <f>2013</f>
        <v>2013</v>
      </c>
      <c r="B245" s="92" t="s">
        <v>65</v>
      </c>
      <c r="C245" s="93">
        <f t="shared" si="31"/>
        <v>575.61650299352038</v>
      </c>
      <c r="D245" s="210">
        <v>0.71377462566193373</v>
      </c>
      <c r="E245" s="210">
        <f t="shared" si="30"/>
        <v>4.1290667997923469</v>
      </c>
      <c r="F245" s="211">
        <f t="shared" si="32"/>
        <v>5.0707603129004131</v>
      </c>
      <c r="G245" s="96">
        <f t="shared" si="26"/>
        <v>2.433182483880854</v>
      </c>
    </row>
    <row r="246" spans="1:7">
      <c r="A246" s="91">
        <f>2013</f>
        <v>2013</v>
      </c>
      <c r="B246" s="92" t="s">
        <v>66</v>
      </c>
      <c r="C246" s="93">
        <f t="shared" si="31"/>
        <v>576.30841584937059</v>
      </c>
      <c r="D246" s="210">
        <v>0.12020379058832464</v>
      </c>
      <c r="E246" s="210">
        <f t="shared" si="30"/>
        <v>4.254233885189973</v>
      </c>
      <c r="F246" s="211">
        <f t="shared" si="32"/>
        <v>5.0243528234880541</v>
      </c>
      <c r="G246" s="96">
        <f t="shared" si="26"/>
        <v>2.4302612177758891</v>
      </c>
    </row>
    <row r="247" spans="1:7">
      <c r="A247" s="91">
        <f>2013</f>
        <v>2013</v>
      </c>
      <c r="B247" s="92" t="s">
        <v>55</v>
      </c>
      <c r="C247" s="93">
        <f t="shared" si="31"/>
        <v>580.82184739750301</v>
      </c>
      <c r="D247" s="210">
        <v>0.78316252617627313</v>
      </c>
      <c r="E247" s="210">
        <f t="shared" si="30"/>
        <v>5.0707139769309517</v>
      </c>
      <c r="F247" s="211">
        <f t="shared" si="32"/>
        <v>5.0707139769309517</v>
      </c>
      <c r="G247" s="96">
        <f t="shared" si="26"/>
        <v>2.4113762228335323</v>
      </c>
    </row>
    <row r="248" spans="1:7">
      <c r="A248" s="91">
        <f>2014</f>
        <v>2014</v>
      </c>
      <c r="B248" s="92" t="s">
        <v>56</v>
      </c>
      <c r="C248" s="93">
        <f t="shared" si="31"/>
        <v>581.49076314976276</v>
      </c>
      <c r="D248" s="94">
        <v>0.11516711281729375</v>
      </c>
      <c r="E248" s="94">
        <f t="shared" ref="E248:E259" si="33">+((C248/$C$247)-1)*100</f>
        <v>0.11516711281729375</v>
      </c>
      <c r="F248" s="95">
        <f t="shared" si="32"/>
        <v>5.1898182396979076</v>
      </c>
      <c r="G248" s="96">
        <f t="shared" si="26"/>
        <v>2.4086023050994982</v>
      </c>
    </row>
    <row r="249" spans="1:7">
      <c r="A249" s="91">
        <f>2014</f>
        <v>2014</v>
      </c>
      <c r="B249" s="92" t="s">
        <v>57</v>
      </c>
      <c r="C249" s="93">
        <f t="shared" si="31"/>
        <v>587.30003149151048</v>
      </c>
      <c r="D249" s="94">
        <v>0.9990302013192176</v>
      </c>
      <c r="E249" s="94">
        <f t="shared" si="33"/>
        <v>1.1153478683755491</v>
      </c>
      <c r="F249" s="95">
        <f t="shared" si="32"/>
        <v>6.1500732818523529</v>
      </c>
      <c r="G249" s="96">
        <f t="shared" si="26"/>
        <v>2.3847776560809373</v>
      </c>
    </row>
    <row r="250" spans="1:7">
      <c r="A250" s="91">
        <f>2014</f>
        <v>2014</v>
      </c>
      <c r="B250" s="92" t="s">
        <v>58</v>
      </c>
      <c r="C250" s="93">
        <f t="shared" si="31"/>
        <v>598.52561766583062</v>
      </c>
      <c r="D250" s="94">
        <v>1.9113886552690307</v>
      </c>
      <c r="E250" s="94">
        <f t="shared" si="33"/>
        <v>3.0480551562674707</v>
      </c>
      <c r="F250" s="95">
        <f t="shared" si="32"/>
        <v>8.0458463065746333</v>
      </c>
      <c r="G250" s="96">
        <f t="shared" si="26"/>
        <v>2.3400502019924536</v>
      </c>
    </row>
    <row r="251" spans="1:7">
      <c r="A251" s="91">
        <f>2014</f>
        <v>2014</v>
      </c>
      <c r="B251" s="92" t="s">
        <v>59</v>
      </c>
      <c r="C251" s="93">
        <f t="shared" si="31"/>
        <v>600.11541743577538</v>
      </c>
      <c r="D251" s="94">
        <v>0.26561933575119934</v>
      </c>
      <c r="E251" s="94">
        <f t="shared" si="33"/>
        <v>3.3217707158780918</v>
      </c>
      <c r="F251" s="95">
        <f t="shared" si="32"/>
        <v>8.7613845992150061</v>
      </c>
      <c r="G251" s="96">
        <f t="shared" si="26"/>
        <v>2.3338510423563243</v>
      </c>
    </row>
    <row r="252" spans="1:7">
      <c r="A252" s="91">
        <f>2014</f>
        <v>2014</v>
      </c>
      <c r="B252" s="92" t="s">
        <v>60</v>
      </c>
      <c r="C252" s="93">
        <f t="shared" si="31"/>
        <v>592.84633295307231</v>
      </c>
      <c r="D252" s="94">
        <v>-1.2112810755242842</v>
      </c>
      <c r="E252" s="94">
        <f t="shared" si="33"/>
        <v>2.0702536603000699</v>
      </c>
      <c r="F252" s="95">
        <f t="shared" si="32"/>
        <v>7.4344390468408017</v>
      </c>
      <c r="G252" s="96">
        <f t="shared" si="26"/>
        <v>2.3624671599806457</v>
      </c>
    </row>
    <row r="253" spans="1:7">
      <c r="A253" s="91">
        <f>2014</f>
        <v>2014</v>
      </c>
      <c r="B253" s="92" t="s">
        <v>61</v>
      </c>
      <c r="C253" s="93">
        <f t="shared" si="31"/>
        <v>585.70123285494333</v>
      </c>
      <c r="D253" s="94">
        <v>-1.2052195823727074</v>
      </c>
      <c r="E253" s="94">
        <f t="shared" si="33"/>
        <v>0.8400829754086292</v>
      </c>
      <c r="F253" s="95">
        <f t="shared" si="32"/>
        <v>5.2437256215986938</v>
      </c>
      <c r="G253" s="96">
        <f t="shared" si="26"/>
        <v>2.3912874242889925</v>
      </c>
    </row>
    <row r="254" spans="1:7">
      <c r="A254" s="91">
        <f>2014</f>
        <v>2014</v>
      </c>
      <c r="B254" s="92" t="s">
        <v>62</v>
      </c>
      <c r="C254" s="93">
        <f t="shared" si="31"/>
        <v>579.76498050641396</v>
      </c>
      <c r="D254" s="94">
        <v>-1.0135290853996892</v>
      </c>
      <c r="E254" s="94">
        <f t="shared" si="33"/>
        <v>-0.18196059528831077</v>
      </c>
      <c r="F254" s="95">
        <f t="shared" si="32"/>
        <v>3.9717548163130667</v>
      </c>
      <c r="G254" s="96">
        <f t="shared" si="26"/>
        <v>2.4157719759016909</v>
      </c>
    </row>
    <row r="255" spans="1:7">
      <c r="A255" s="91">
        <f>2014</f>
        <v>2014</v>
      </c>
      <c r="B255" s="92" t="s">
        <v>63</v>
      </c>
      <c r="C255" s="93">
        <f t="shared" si="31"/>
        <v>579.99595141638702</v>
      </c>
      <c r="D255" s="94">
        <v>3.9838713571715978E-2</v>
      </c>
      <c r="E255" s="94">
        <f t="shared" si="33"/>
        <v>-0.14219437247696698</v>
      </c>
      <c r="F255" s="95">
        <f t="shared" si="32"/>
        <v>3.4085095079944949</v>
      </c>
      <c r="G255" s="96">
        <f t="shared" si="26"/>
        <v>2.4148099466837305</v>
      </c>
    </row>
    <row r="256" spans="1:7">
      <c r="A256" s="91">
        <f>2014</f>
        <v>2014</v>
      </c>
      <c r="B256" s="92" t="s">
        <v>64</v>
      </c>
      <c r="C256" s="93">
        <f t="shared" si="31"/>
        <v>578.93708477715973</v>
      </c>
      <c r="D256" s="94">
        <v>-0.18256448801780012</v>
      </c>
      <c r="E256" s="94">
        <f t="shared" si="33"/>
        <v>-0.32449926406665774</v>
      </c>
      <c r="F256" s="95">
        <f t="shared" si="32"/>
        <v>1.2947661775794428</v>
      </c>
      <c r="G256" s="96">
        <f t="shared" si="26"/>
        <v>2.4192265953314878</v>
      </c>
    </row>
    <row r="257" spans="1:7">
      <c r="A257" s="91">
        <f>2014</f>
        <v>2014</v>
      </c>
      <c r="B257" s="92" t="s">
        <v>65</v>
      </c>
      <c r="C257" s="93">
        <f t="shared" si="31"/>
        <v>583.15655334896269</v>
      </c>
      <c r="D257" s="94">
        <v>0.72883024472807367</v>
      </c>
      <c r="E257" s="94">
        <f t="shared" si="33"/>
        <v>0.40196593188097651</v>
      </c>
      <c r="F257" s="95">
        <f t="shared" si="32"/>
        <v>1.3099086485932832</v>
      </c>
      <c r="G257" s="96">
        <f t="shared" si="26"/>
        <v>2.4017221181401585</v>
      </c>
    </row>
    <row r="258" spans="1:7">
      <c r="A258" s="91">
        <f>2014</f>
        <v>2014</v>
      </c>
      <c r="B258" s="92" t="s">
        <v>66</v>
      </c>
      <c r="C258" s="93">
        <f t="shared" si="31"/>
        <v>591.57949250746219</v>
      </c>
      <c r="D258" s="94">
        <v>1.4443701455686409</v>
      </c>
      <c r="E258" s="94">
        <f t="shared" si="33"/>
        <v>1.8521419533650718</v>
      </c>
      <c r="F258" s="95">
        <f t="shared" si="32"/>
        <v>2.6498097612516869</v>
      </c>
      <c r="G258" s="96">
        <f t="shared" si="26"/>
        <v>2.3675262754293636</v>
      </c>
    </row>
    <row r="259" spans="1:7">
      <c r="A259" s="91">
        <f>2014</f>
        <v>2014</v>
      </c>
      <c r="B259" s="92" t="s">
        <v>55</v>
      </c>
      <c r="C259" s="93">
        <f t="shared" si="31"/>
        <v>593.33327162474723</v>
      </c>
      <c r="D259" s="94">
        <v>0.29645705091152497</v>
      </c>
      <c r="E259" s="94">
        <f t="shared" si="33"/>
        <v>2.1540898096902517</v>
      </c>
      <c r="F259" s="95">
        <f t="shared" si="32"/>
        <v>2.1540898096902517</v>
      </c>
      <c r="G259" s="96">
        <f t="shared" si="26"/>
        <v>2.360528322777725</v>
      </c>
    </row>
    <row r="260" spans="1:7">
      <c r="A260" s="91">
        <f>2015</f>
        <v>2015</v>
      </c>
      <c r="B260" s="92" t="s">
        <v>56</v>
      </c>
      <c r="C260" s="93">
        <f t="shared" si="31"/>
        <v>594.66910338112848</v>
      </c>
      <c r="D260" s="94">
        <v>0.22514020707506965</v>
      </c>
      <c r="E260" s="94">
        <f t="shared" ref="E260:E271" si="34">+((C260/$C$259)-1)*100</f>
        <v>0.22514020707506965</v>
      </c>
      <c r="F260" s="95">
        <f t="shared" si="32"/>
        <v>2.2663025909444467</v>
      </c>
      <c r="G260" s="96">
        <f t="shared" si="26"/>
        <v>2.3552257626186801</v>
      </c>
    </row>
    <row r="261" spans="1:7">
      <c r="A261" s="91">
        <f>2015</f>
        <v>2015</v>
      </c>
      <c r="B261" s="92" t="s">
        <v>57</v>
      </c>
      <c r="C261" s="93">
        <f t="shared" si="31"/>
        <v>597.09279812474233</v>
      </c>
      <c r="D261" s="94">
        <v>0.40757031596787563</v>
      </c>
      <c r="E261" s="94">
        <f t="shared" si="34"/>
        <v>0.63362812769629517</v>
      </c>
      <c r="F261" s="95">
        <f t="shared" si="32"/>
        <v>1.6674214384702291</v>
      </c>
      <c r="G261" s="96">
        <f t="shared" si="26"/>
        <v>2.3456655262219077</v>
      </c>
    </row>
    <row r="262" spans="1:7">
      <c r="A262" s="91">
        <f>2015</f>
        <v>2015</v>
      </c>
      <c r="B262" s="92" t="s">
        <v>58</v>
      </c>
      <c r="C262" s="93">
        <f t="shared" si="31"/>
        <v>604.48286736981231</v>
      </c>
      <c r="D262" s="94">
        <v>1.2376751600889468</v>
      </c>
      <c r="E262" s="94">
        <f t="shared" si="34"/>
        <v>1.8791455457290773</v>
      </c>
      <c r="F262" s="95">
        <f t="shared" si="32"/>
        <v>0.99532075622996707</v>
      </c>
      <c r="G262" s="96">
        <f t="shared" si="26"/>
        <v>2.3169887322211467</v>
      </c>
    </row>
    <row r="263" spans="1:7">
      <c r="A263" s="91">
        <f>2015</f>
        <v>2015</v>
      </c>
      <c r="B263" s="92" t="s">
        <v>59</v>
      </c>
      <c r="C263" s="93">
        <f t="shared" si="31"/>
        <v>611.21501947738329</v>
      </c>
      <c r="D263" s="94">
        <v>1.1137043696314299</v>
      </c>
      <c r="E263" s="94">
        <f t="shared" si="34"/>
        <v>3.0137780414150273</v>
      </c>
      <c r="F263" s="95">
        <f t="shared" si="32"/>
        <v>1.8495778843735211</v>
      </c>
      <c r="G263" s="96">
        <f t="shared" ref="G263:G326" si="35">+$C$396/C263</f>
        <v>2.2914685468857501</v>
      </c>
    </row>
    <row r="264" spans="1:7">
      <c r="A264" s="91">
        <f>2015</f>
        <v>2015</v>
      </c>
      <c r="B264" s="92" t="s">
        <v>60</v>
      </c>
      <c r="C264" s="93">
        <f t="shared" si="31"/>
        <v>612.35587579028072</v>
      </c>
      <c r="D264" s="94">
        <v>0.186653841372042</v>
      </c>
      <c r="E264" s="94">
        <f t="shared" si="34"/>
        <v>3.206057215271807</v>
      </c>
      <c r="F264" s="95">
        <f t="shared" si="32"/>
        <v>3.2908262652191711</v>
      </c>
      <c r="G264" s="96">
        <f t="shared" si="35"/>
        <v>2.2871994013433046</v>
      </c>
    </row>
    <row r="265" spans="1:7">
      <c r="A265" s="91">
        <f>2015</f>
        <v>2015</v>
      </c>
      <c r="B265" s="92" t="s">
        <v>61</v>
      </c>
      <c r="C265" s="93">
        <f t="shared" si="31"/>
        <v>615.00554207352195</v>
      </c>
      <c r="D265" s="94">
        <v>0.43270039334915023</v>
      </c>
      <c r="E265" s="94">
        <f t="shared" si="34"/>
        <v>3.652630230802445</v>
      </c>
      <c r="F265" s="95">
        <f t="shared" si="32"/>
        <v>5.0032862447185966</v>
      </c>
      <c r="G265" s="96">
        <f t="shared" si="35"/>
        <v>2.2773453191892541</v>
      </c>
    </row>
    <row r="266" spans="1:7">
      <c r="A266" s="91">
        <f>2015</f>
        <v>2015</v>
      </c>
      <c r="B266" s="92" t="s">
        <v>62</v>
      </c>
      <c r="C266" s="93">
        <f t="shared" si="31"/>
        <v>618.76206895130963</v>
      </c>
      <c r="D266" s="94">
        <v>0.61081187416984761</v>
      </c>
      <c r="E266" s="94">
        <f t="shared" si="34"/>
        <v>4.2857528041415405</v>
      </c>
      <c r="F266" s="95">
        <f t="shared" si="32"/>
        <v>6.7263615009710342</v>
      </c>
      <c r="G266" s="96">
        <f t="shared" si="35"/>
        <v>2.2635194734711455</v>
      </c>
    </row>
    <row r="267" spans="1:7">
      <c r="A267" s="91">
        <f>2015</f>
        <v>2015</v>
      </c>
      <c r="B267" s="92" t="s">
        <v>63</v>
      </c>
      <c r="C267" s="93">
        <f t="shared" si="31"/>
        <v>621.47672704904528</v>
      </c>
      <c r="D267" s="94">
        <v>0.43872406437850398</v>
      </c>
      <c r="E267" s="94">
        <f t="shared" si="34"/>
        <v>4.7432794974115788</v>
      </c>
      <c r="F267" s="95">
        <f t="shared" si="32"/>
        <v>7.1519077902801875</v>
      </c>
      <c r="G267" s="96">
        <f t="shared" si="35"/>
        <v>2.2536322464832299</v>
      </c>
    </row>
    <row r="268" spans="1:7">
      <c r="A268" s="91">
        <f>2015</f>
        <v>2015</v>
      </c>
      <c r="B268" s="92" t="s">
        <v>64</v>
      </c>
      <c r="C268" s="93">
        <f t="shared" si="31"/>
        <v>634.03314560940112</v>
      </c>
      <c r="D268" s="94">
        <v>2.0204165359461568</v>
      </c>
      <c r="E268" s="94">
        <f t="shared" si="34"/>
        <v>6.8595300366695922</v>
      </c>
      <c r="F268" s="95">
        <f t="shared" si="32"/>
        <v>9.5167613685429373</v>
      </c>
      <c r="G268" s="96">
        <f t="shared" si="35"/>
        <v>2.2090012205441045</v>
      </c>
    </row>
    <row r="269" spans="1:7">
      <c r="A269" s="91">
        <f>2015</f>
        <v>2015</v>
      </c>
      <c r="B269" s="92" t="s">
        <v>65</v>
      </c>
      <c r="C269" s="93">
        <f t="shared" si="31"/>
        <v>649.09824820924814</v>
      </c>
      <c r="D269" s="94">
        <v>2.3760749267086378</v>
      </c>
      <c r="E269" s="94">
        <f t="shared" si="34"/>
        <v>9.39859253666957</v>
      </c>
      <c r="F269" s="95">
        <f t="shared" si="32"/>
        <v>11.307717367076521</v>
      </c>
      <c r="G269" s="96">
        <f t="shared" si="35"/>
        <v>2.1577318940245909</v>
      </c>
    </row>
    <row r="270" spans="1:7">
      <c r="A270" s="91">
        <f>2015</f>
        <v>2015</v>
      </c>
      <c r="B270" s="92" t="s">
        <v>66</v>
      </c>
      <c r="C270" s="93">
        <f t="shared" si="31"/>
        <v>658.24509619381058</v>
      </c>
      <c r="D270" s="94">
        <v>1.4091623278597698</v>
      </c>
      <c r="E270" s="94">
        <f t="shared" si="34"/>
        <v>10.940196289905145</v>
      </c>
      <c r="F270" s="95">
        <f t="shared" si="32"/>
        <v>11.269086324101663</v>
      </c>
      <c r="G270" s="96">
        <f t="shared" si="35"/>
        <v>2.1277484642349767</v>
      </c>
    </row>
    <row r="271" spans="1:7">
      <c r="A271" s="91">
        <f>2015</f>
        <v>2015</v>
      </c>
      <c r="B271" s="92" t="s">
        <v>55</v>
      </c>
      <c r="C271" s="93">
        <f t="shared" si="31"/>
        <v>660.44281939779705</v>
      </c>
      <c r="D271" s="94">
        <v>0.33387612254074384</v>
      </c>
      <c r="E271" s="94">
        <f t="shared" si="34"/>
        <v>11.310599115616959</v>
      </c>
      <c r="F271" s="95">
        <f t="shared" si="32"/>
        <v>11.310599115616959</v>
      </c>
      <c r="G271" s="96">
        <f t="shared" si="35"/>
        <v>2.120668059944474</v>
      </c>
    </row>
    <row r="272" spans="1:7">
      <c r="A272" s="91">
        <f>2016</f>
        <v>2016</v>
      </c>
      <c r="B272" s="92" t="s">
        <v>56</v>
      </c>
      <c r="C272" s="93">
        <f t="shared" si="31"/>
        <v>671.17746740416578</v>
      </c>
      <c r="D272" s="94">
        <v>1.6253712949982235</v>
      </c>
      <c r="E272" s="94">
        <f t="shared" ref="E272:E283" si="36">+((C272/$C$271)-1)*100</f>
        <v>1.6253712949982235</v>
      </c>
      <c r="F272" s="95">
        <f t="shared" si="32"/>
        <v>12.865703563213792</v>
      </c>
      <c r="G272" s="96">
        <f t="shared" si="35"/>
        <v>2.086750614458861</v>
      </c>
    </row>
    <row r="273" spans="1:7">
      <c r="A273" s="91">
        <f>2016</f>
        <v>2016</v>
      </c>
      <c r="B273" s="92" t="s">
        <v>57</v>
      </c>
      <c r="C273" s="93">
        <f t="shared" si="31"/>
        <v>676.81475740602002</v>
      </c>
      <c r="D273" s="94">
        <v>0.83991049694456255</v>
      </c>
      <c r="E273" s="94">
        <f t="shared" si="36"/>
        <v>2.4789334560638032</v>
      </c>
      <c r="F273" s="95">
        <f t="shared" si="32"/>
        <v>13.351686627548709</v>
      </c>
      <c r="G273" s="96">
        <f t="shared" si="35"/>
        <v>2.0693697606188266</v>
      </c>
    </row>
    <row r="274" spans="1:7">
      <c r="A274" s="91">
        <f>2016</f>
        <v>2016</v>
      </c>
      <c r="B274" s="92" t="s">
        <v>58</v>
      </c>
      <c r="C274" s="93">
        <f t="shared" si="31"/>
        <v>679.34343892689435</v>
      </c>
      <c r="D274" s="94">
        <v>0.37361500960260141</v>
      </c>
      <c r="E274" s="94">
        <f t="shared" si="36"/>
        <v>2.8618101331363111</v>
      </c>
      <c r="F274" s="95">
        <f t="shared" si="32"/>
        <v>12.384233796866839</v>
      </c>
      <c r="G274" s="96">
        <f t="shared" si="35"/>
        <v>2.0616670630233385</v>
      </c>
    </row>
    <row r="275" spans="1:7">
      <c r="A275" s="91">
        <f>2016</f>
        <v>2016</v>
      </c>
      <c r="B275" s="92" t="s">
        <v>59</v>
      </c>
      <c r="C275" s="93">
        <f t="shared" si="31"/>
        <v>681.30419197649292</v>
      </c>
      <c r="D275" s="94">
        <v>0.28862471281032587</v>
      </c>
      <c r="E275" s="94">
        <f t="shared" si="36"/>
        <v>3.1586947372245877</v>
      </c>
      <c r="F275" s="95">
        <f t="shared" si="32"/>
        <v>11.467187530672774</v>
      </c>
      <c r="G275" s="96">
        <f t="shared" si="35"/>
        <v>2.0557337075138813</v>
      </c>
    </row>
    <row r="276" spans="1:7">
      <c r="A276" s="91">
        <f>2016</f>
        <v>2016</v>
      </c>
      <c r="B276" s="92" t="s">
        <v>60</v>
      </c>
      <c r="C276" s="93">
        <f t="shared" si="31"/>
        <v>691.44891428206449</v>
      </c>
      <c r="D276" s="94">
        <v>1.489015101483715</v>
      </c>
      <c r="E276" s="94">
        <f t="shared" si="36"/>
        <v>4.6947432803553513</v>
      </c>
      <c r="F276" s="95">
        <f t="shared" si="32"/>
        <v>12.916188383055793</v>
      </c>
      <c r="G276" s="96">
        <f t="shared" si="35"/>
        <v>2.0255726252326474</v>
      </c>
    </row>
    <row r="277" spans="1:7">
      <c r="A277" s="91">
        <f>2016</f>
        <v>2016</v>
      </c>
      <c r="B277" s="92" t="s">
        <v>61</v>
      </c>
      <c r="C277" s="93">
        <f t="shared" si="31"/>
        <v>705.96934148198784</v>
      </c>
      <c r="D277" s="94">
        <v>2.1</v>
      </c>
      <c r="E277" s="94">
        <f t="shared" si="36"/>
        <v>6.8933328892428092</v>
      </c>
      <c r="F277" s="95">
        <f t="shared" si="32"/>
        <v>14.790728405759879</v>
      </c>
      <c r="G277" s="96">
        <f t="shared" si="35"/>
        <v>1.9839105046353058</v>
      </c>
    </row>
    <row r="278" spans="1:7">
      <c r="A278" s="91">
        <f>2016</f>
        <v>2016</v>
      </c>
      <c r="B278" s="92" t="s">
        <v>62</v>
      </c>
      <c r="C278" s="93">
        <f t="shared" si="31"/>
        <v>700.27005722142098</v>
      </c>
      <c r="D278" s="94">
        <v>-0.80729911706970414</v>
      </c>
      <c r="E278" s="94">
        <f t="shared" si="36"/>
        <v>6.0303839566215656</v>
      </c>
      <c r="F278" s="95">
        <f t="shared" si="32"/>
        <v>13.17275126580606</v>
      </c>
      <c r="G278" s="96">
        <f t="shared" si="35"/>
        <v>2.0000569467069624</v>
      </c>
    </row>
    <row r="279" spans="1:7">
      <c r="A279" s="91">
        <f>2016</f>
        <v>2016</v>
      </c>
      <c r="B279" s="92" t="s">
        <v>63</v>
      </c>
      <c r="C279" s="93">
        <f t="shared" si="31"/>
        <v>703.76761798343205</v>
      </c>
      <c r="D279" s="94">
        <v>0.4994588481890716</v>
      </c>
      <c r="E279" s="94">
        <f t="shared" si="36"/>
        <v>6.5599620910617551</v>
      </c>
      <c r="F279" s="95">
        <f t="shared" si="32"/>
        <v>13.241186250871873</v>
      </c>
      <c r="G279" s="96">
        <f t="shared" si="35"/>
        <v>1.9901171306088101</v>
      </c>
    </row>
    <row r="280" spans="1:7">
      <c r="A280" s="91">
        <f>2016</f>
        <v>2016</v>
      </c>
      <c r="B280" s="92" t="s">
        <v>64</v>
      </c>
      <c r="C280" s="93">
        <f t="shared" si="31"/>
        <v>703.55764435277956</v>
      </c>
      <c r="D280" s="94">
        <v>-2.9835648200771114E-2</v>
      </c>
      <c r="E280" s="94">
        <f t="shared" si="36"/>
        <v>6.5281692356494059</v>
      </c>
      <c r="F280" s="95">
        <f t="shared" si="32"/>
        <v>10.965435990977257</v>
      </c>
      <c r="G280" s="96">
        <f t="shared" si="35"/>
        <v>1.9907110721609937</v>
      </c>
    </row>
    <row r="281" spans="1:7">
      <c r="A281" s="91">
        <f>2016</f>
        <v>2016</v>
      </c>
      <c r="B281" s="92" t="s">
        <v>65</v>
      </c>
      <c r="C281" s="93">
        <f t="shared" si="31"/>
        <v>703.84760793796636</v>
      </c>
      <c r="D281" s="94">
        <v>4.121390585607454E-2</v>
      </c>
      <c r="E281" s="94">
        <f t="shared" si="36"/>
        <v>6.5720736550283876</v>
      </c>
      <c r="F281" s="95">
        <f t="shared" si="32"/>
        <v>8.4346799394024572</v>
      </c>
      <c r="G281" s="96">
        <f t="shared" si="35"/>
        <v>1.9898909603739467</v>
      </c>
    </row>
    <row r="282" spans="1:7">
      <c r="A282" s="91">
        <f>2016</f>
        <v>2016</v>
      </c>
      <c r="B282" s="92" t="s">
        <v>66</v>
      </c>
      <c r="C282" s="93">
        <f t="shared" si="31"/>
        <v>703.80061383967745</v>
      </c>
      <c r="D282" s="94">
        <v>-6.6767433403058796E-3</v>
      </c>
      <c r="E282" s="94">
        <f t="shared" si="36"/>
        <v>6.5649581111979938</v>
      </c>
      <c r="F282" s="95">
        <f t="shared" si="32"/>
        <v>6.9207530613268231</v>
      </c>
      <c r="G282" s="96">
        <f t="shared" si="35"/>
        <v>1.9900238291574304</v>
      </c>
    </row>
    <row r="283" spans="1:7">
      <c r="A283" s="91">
        <f>2016</f>
        <v>2016</v>
      </c>
      <c r="B283" s="92" t="s">
        <v>55</v>
      </c>
      <c r="C283" s="93">
        <f t="shared" si="31"/>
        <v>711.51664482893966</v>
      </c>
      <c r="D283" s="94">
        <v>1.0963376327801644</v>
      </c>
      <c r="E283" s="94">
        <f t="shared" si="36"/>
        <v>7.7332698503274733</v>
      </c>
      <c r="F283" s="95">
        <f t="shared" si="32"/>
        <v>7.7332698503274733</v>
      </c>
      <c r="G283" s="96">
        <f t="shared" si="35"/>
        <v>1.9684430472505776</v>
      </c>
    </row>
    <row r="284" spans="1:7">
      <c r="A284" s="91">
        <f>2017</f>
        <v>2017</v>
      </c>
      <c r="B284" s="92" t="s">
        <v>56</v>
      </c>
      <c r="C284" s="93">
        <f t="shared" si="31"/>
        <v>713.93034170701128</v>
      </c>
      <c r="D284" s="94">
        <v>0.33923266526700857</v>
      </c>
      <c r="E284" s="94">
        <f t="shared" ref="E284:E295" si="37">+((C284/$C$283)-1)*100</f>
        <v>0.33923266526700857</v>
      </c>
      <c r="F284" s="95">
        <f t="shared" si="32"/>
        <v>6.3698315839171071</v>
      </c>
      <c r="G284" s="96">
        <f t="shared" si="35"/>
        <v>1.9617880214584951</v>
      </c>
    </row>
    <row r="285" spans="1:7">
      <c r="A285" s="91">
        <f>2017</f>
        <v>2017</v>
      </c>
      <c r="B285" s="92" t="s">
        <v>57</v>
      </c>
      <c r="C285" s="93">
        <f t="shared" si="31"/>
        <v>713.0464527094075</v>
      </c>
      <c r="D285" s="94">
        <v>-0.12380605585278204</v>
      </c>
      <c r="E285" s="94">
        <f t="shared" si="37"/>
        <v>0.21500661883118166</v>
      </c>
      <c r="F285" s="95">
        <f t="shared" si="32"/>
        <v>5.353266149551783</v>
      </c>
      <c r="G285" s="96">
        <f t="shared" si="35"/>
        <v>1.9642198445763428</v>
      </c>
    </row>
    <row r="286" spans="1:7">
      <c r="A286" s="91">
        <f>2017</f>
        <v>2017</v>
      </c>
      <c r="B286" s="92" t="s">
        <v>58</v>
      </c>
      <c r="C286" s="93">
        <f t="shared" si="31"/>
        <v>707.46515363177866</v>
      </c>
      <c r="D286" s="94">
        <v>-0.78273989814005018</v>
      </c>
      <c r="E286" s="94">
        <f t="shared" si="37"/>
        <v>-0.56941622189808916</v>
      </c>
      <c r="F286" s="95">
        <f t="shared" si="32"/>
        <v>4.1395431373129954</v>
      </c>
      <c r="G286" s="96">
        <f t="shared" si="35"/>
        <v>1.9797158705650661</v>
      </c>
    </row>
    <row r="287" spans="1:7">
      <c r="A287" s="91">
        <f>2017</f>
        <v>2017</v>
      </c>
      <c r="B287" s="92" t="s">
        <v>59</v>
      </c>
      <c r="C287" s="93">
        <f t="shared" si="31"/>
        <v>693.60189463655763</v>
      </c>
      <c r="D287" s="94">
        <v>-1.9595677503059905</v>
      </c>
      <c r="E287" s="94">
        <f t="shared" si="37"/>
        <v>-2.5178258755547467</v>
      </c>
      <c r="F287" s="95">
        <f t="shared" si="32"/>
        <v>1.8050237771748634</v>
      </c>
      <c r="G287" s="96">
        <f t="shared" si="35"/>
        <v>2.0192851307744464</v>
      </c>
    </row>
    <row r="288" spans="1:7">
      <c r="A288" s="91">
        <f>2017</f>
        <v>2017</v>
      </c>
      <c r="B288" s="92" t="s">
        <v>60</v>
      </c>
      <c r="C288" s="93">
        <f t="shared" si="31"/>
        <v>685.95785460637626</v>
      </c>
      <c r="D288" s="94">
        <v>-1.1020788854947949</v>
      </c>
      <c r="E288" s="94">
        <f t="shared" si="37"/>
        <v>-3.592156333701535</v>
      </c>
      <c r="F288" s="95">
        <f t="shared" si="32"/>
        <v>-0.79413815862153792</v>
      </c>
      <c r="G288" s="96">
        <f t="shared" si="35"/>
        <v>2.0417872367979237</v>
      </c>
    </row>
    <row r="289" spans="1:7">
      <c r="A289" s="91">
        <f>2017</f>
        <v>2017</v>
      </c>
      <c r="B289" s="92" t="s">
        <v>61</v>
      </c>
      <c r="C289" s="93">
        <f t="shared" si="31"/>
        <v>675.43517608739273</v>
      </c>
      <c r="D289" s="94">
        <v>-1.5340123957063967</v>
      </c>
      <c r="E289" s="94">
        <f t="shared" si="37"/>
        <v>-5.0710646059758062</v>
      </c>
      <c r="F289" s="95">
        <f t="shared" si="32"/>
        <v>-4.3251404275569616</v>
      </c>
      <c r="G289" s="96">
        <f t="shared" si="35"/>
        <v>2.0735964635862669</v>
      </c>
    </row>
    <row r="290" spans="1:7">
      <c r="A290" s="91">
        <f>2017</f>
        <v>2017</v>
      </c>
      <c r="B290" s="92" t="s">
        <v>62</v>
      </c>
      <c r="C290" s="93">
        <f t="shared" si="31"/>
        <v>670.92874202381824</v>
      </c>
      <c r="D290" s="94">
        <v>-0.6671897205115962</v>
      </c>
      <c r="E290" s="94">
        <f t="shared" si="37"/>
        <v>-5.7044207047158295</v>
      </c>
      <c r="F290" s="95">
        <f t="shared" si="32"/>
        <v>-4.1899999714431928</v>
      </c>
      <c r="G290" s="96">
        <f t="shared" si="35"/>
        <v>2.0875242105321279</v>
      </c>
    </row>
    <row r="291" spans="1:7">
      <c r="A291" s="91">
        <f>2017</f>
        <v>2017</v>
      </c>
      <c r="B291" s="92" t="s">
        <v>63</v>
      </c>
      <c r="C291" s="93">
        <f t="shared" si="31"/>
        <v>672.67052328380203</v>
      </c>
      <c r="D291" s="94">
        <v>0.25960748897562169</v>
      </c>
      <c r="E291" s="94">
        <f t="shared" si="37"/>
        <v>-5.4596223190923165</v>
      </c>
      <c r="F291" s="95">
        <f t="shared" si="32"/>
        <v>-4.4186594985338061</v>
      </c>
      <c r="G291" s="96">
        <f t="shared" si="35"/>
        <v>2.0821188740058338</v>
      </c>
    </row>
    <row r="292" spans="1:7">
      <c r="A292" s="91">
        <f>2017</f>
        <v>2017</v>
      </c>
      <c r="B292" s="92" t="s">
        <v>64</v>
      </c>
      <c r="C292" s="93">
        <f t="shared" si="31"/>
        <v>679.22070068572737</v>
      </c>
      <c r="D292" s="94">
        <v>0.97375716271155266</v>
      </c>
      <c r="E292" s="94">
        <f t="shared" si="37"/>
        <v>-4.5390286197699243</v>
      </c>
      <c r="F292" s="95">
        <f t="shared" si="32"/>
        <v>-3.4591257535749431</v>
      </c>
      <c r="G292" s="96">
        <f t="shared" si="35"/>
        <v>2.062039615551452</v>
      </c>
    </row>
    <row r="293" spans="1:7">
      <c r="A293" s="91">
        <f>2017</f>
        <v>2017</v>
      </c>
      <c r="B293" s="92" t="s">
        <v>65</v>
      </c>
      <c r="C293" s="93">
        <f t="shared" si="31"/>
        <v>679.0167263016649</v>
      </c>
      <c r="D293" s="94">
        <v>-3.0030648927004133E-2</v>
      </c>
      <c r="E293" s="94">
        <f t="shared" si="37"/>
        <v>-4.5676961689474327</v>
      </c>
      <c r="F293" s="95">
        <f t="shared" si="32"/>
        <v>-3.5278775343213109</v>
      </c>
      <c r="G293" s="96">
        <f t="shared" si="35"/>
        <v>2.0626590454479512</v>
      </c>
    </row>
    <row r="294" spans="1:7">
      <c r="A294" s="91">
        <f>2017</f>
        <v>2017</v>
      </c>
      <c r="B294" s="92" t="s">
        <v>66</v>
      </c>
      <c r="C294" s="93">
        <f t="shared" si="31"/>
        <v>686.24681831713144</v>
      </c>
      <c r="D294" s="94">
        <v>1.0647885001074942</v>
      </c>
      <c r="E294" s="94">
        <f t="shared" si="37"/>
        <v>-3.551543972366733</v>
      </c>
      <c r="F294" s="95">
        <f t="shared" si="32"/>
        <v>-2.4941432527003538</v>
      </c>
      <c r="G294" s="96">
        <f t="shared" si="35"/>
        <v>2.0409274842995959</v>
      </c>
    </row>
    <row r="295" spans="1:7">
      <c r="A295" s="91">
        <f>2017</f>
        <v>2017</v>
      </c>
      <c r="B295" s="92" t="s">
        <v>55</v>
      </c>
      <c r="C295" s="93">
        <f t="shared" si="31"/>
        <v>693.56889878031234</v>
      </c>
      <c r="D295" s="94">
        <v>1.0669747775496674</v>
      </c>
      <c r="E295" s="94">
        <f t="shared" si="37"/>
        <v>-2.5224632732158025</v>
      </c>
      <c r="F295" s="95">
        <f t="shared" si="32"/>
        <v>-2.5224632732158025</v>
      </c>
      <c r="G295" s="96">
        <f t="shared" si="35"/>
        <v>2.0193811962727848</v>
      </c>
    </row>
    <row r="296" spans="1:7">
      <c r="A296" s="91">
        <f>2018</f>
        <v>2018</v>
      </c>
      <c r="B296" s="92" t="s">
        <v>56</v>
      </c>
      <c r="C296" s="93">
        <f t="shared" si="31"/>
        <v>697.58939387009127</v>
      </c>
      <c r="D296" s="94">
        <v>0.57968214792347705</v>
      </c>
      <c r="E296" s="94">
        <f t="shared" ref="E296:E307" si="38">+((C296/$C$295)-1)*100</f>
        <v>0.57968214792347705</v>
      </c>
      <c r="F296" s="95">
        <f t="shared" si="32"/>
        <v>-2.2888714601831728</v>
      </c>
      <c r="G296" s="96">
        <f t="shared" si="35"/>
        <v>2.0077426704360248</v>
      </c>
    </row>
    <row r="297" spans="1:7">
      <c r="A297" s="91">
        <f>2018</f>
        <v>2018</v>
      </c>
      <c r="B297" s="92" t="s">
        <v>57</v>
      </c>
      <c r="C297" s="93">
        <f t="shared" si="31"/>
        <v>698.65725976312376</v>
      </c>
      <c r="D297" s="94">
        <v>0.15307943360609588</v>
      </c>
      <c r="E297" s="94">
        <f t="shared" si="38"/>
        <v>0.73364895567833432</v>
      </c>
      <c r="F297" s="95">
        <f t="shared" si="32"/>
        <v>-2.0179881537322308</v>
      </c>
      <c r="G297" s="96">
        <f t="shared" si="35"/>
        <v>2.0046739269430116</v>
      </c>
    </row>
    <row r="298" spans="1:7">
      <c r="A298" s="91">
        <f>2018</f>
        <v>2018</v>
      </c>
      <c r="B298" s="92" t="s">
        <v>58</v>
      </c>
      <c r="C298" s="93">
        <f t="shared" si="31"/>
        <v>704.04258345214362</v>
      </c>
      <c r="D298" s="94">
        <v>0.77081052458336519</v>
      </c>
      <c r="E298" s="94">
        <f t="shared" si="38"/>
        <v>1.5101145236255498</v>
      </c>
      <c r="F298" s="95">
        <f t="shared" si="32"/>
        <v>-0.48377932991685579</v>
      </c>
      <c r="G298" s="96">
        <f t="shared" si="35"/>
        <v>1.989339885734039</v>
      </c>
    </row>
    <row r="299" spans="1:7">
      <c r="A299" s="91">
        <f>2018</f>
        <v>2018</v>
      </c>
      <c r="B299" s="92" t="s">
        <v>59</v>
      </c>
      <c r="C299" s="93">
        <f t="shared" si="31"/>
        <v>712.94646526623967</v>
      </c>
      <c r="D299" s="94">
        <v>1.2646794417515927</v>
      </c>
      <c r="E299" s="94">
        <f t="shared" si="38"/>
        <v>2.7938920733043382</v>
      </c>
      <c r="F299" s="95">
        <f t="shared" si="32"/>
        <v>2.7890019879225569</v>
      </c>
      <c r="G299" s="96">
        <f t="shared" si="35"/>
        <v>1.9644953173216988</v>
      </c>
    </row>
    <row r="300" spans="1:7">
      <c r="A300" s="91">
        <f>2018</f>
        <v>2018</v>
      </c>
      <c r="B300" s="92" t="s">
        <v>60</v>
      </c>
      <c r="C300" s="93">
        <f t="shared" si="31"/>
        <v>729.73335709968842</v>
      </c>
      <c r="D300" s="94">
        <v>2.3545795724199126</v>
      </c>
      <c r="E300" s="94">
        <f t="shared" si="38"/>
        <v>5.2142560577577379</v>
      </c>
      <c r="F300" s="95">
        <f t="shared" si="32"/>
        <v>6.3816606515034291</v>
      </c>
      <c r="G300" s="96">
        <f t="shared" si="35"/>
        <v>1.9193037825256667</v>
      </c>
    </row>
    <row r="301" spans="1:7">
      <c r="A301" s="91">
        <f>2018</f>
        <v>2018</v>
      </c>
      <c r="B301" s="92" t="s">
        <v>61</v>
      </c>
      <c r="C301" s="93">
        <f t="shared" si="31"/>
        <v>741.93382491502814</v>
      </c>
      <c r="D301" s="94">
        <v>1.6719076490939511</v>
      </c>
      <c r="E301" s="94">
        <f t="shared" si="38"/>
        <v>6.9733412527246852</v>
      </c>
      <c r="F301" s="95">
        <f t="shared" si="32"/>
        <v>9.8453043581241175</v>
      </c>
      <c r="G301" s="96">
        <f t="shared" si="35"/>
        <v>1.8877424717453608</v>
      </c>
    </row>
    <row r="302" spans="1:7">
      <c r="A302" s="91">
        <f>2018</f>
        <v>2018</v>
      </c>
      <c r="B302" s="92" t="s">
        <v>62</v>
      </c>
      <c r="C302" s="93">
        <f t="shared" si="31"/>
        <v>745.79334022130661</v>
      </c>
      <c r="D302" s="94">
        <v>0.52019670443257393</v>
      </c>
      <c r="E302" s="94">
        <f t="shared" si="38"/>
        <v>7.5298130485427661</v>
      </c>
      <c r="F302" s="95">
        <f t="shared" si="32"/>
        <v>11.158353116854647</v>
      </c>
      <c r="G302" s="96">
        <f t="shared" si="35"/>
        <v>1.8779733164431007</v>
      </c>
    </row>
    <row r="303" spans="1:7">
      <c r="A303" s="91">
        <f>2018</f>
        <v>2018</v>
      </c>
      <c r="B303" s="92" t="s">
        <v>63</v>
      </c>
      <c r="C303" s="93">
        <f t="shared" si="31"/>
        <v>753.1804125225467</v>
      </c>
      <c r="D303" s="94">
        <v>0.99049856077395582</v>
      </c>
      <c r="E303" s="94">
        <f t="shared" si="38"/>
        <v>8.5948942991915125</v>
      </c>
      <c r="F303" s="95">
        <f t="shared" si="32"/>
        <v>11.96869588483176</v>
      </c>
      <c r="G303" s="96">
        <f t="shared" si="35"/>
        <v>1.8595544563164781</v>
      </c>
    </row>
    <row r="304" spans="1:7">
      <c r="A304" s="91">
        <f>2018</f>
        <v>2018</v>
      </c>
      <c r="B304" s="92" t="s">
        <v>64</v>
      </c>
      <c r="C304" s="93">
        <f t="shared" si="31"/>
        <v>772.33900650793657</v>
      </c>
      <c r="D304" s="94">
        <v>2.5436925425641466</v>
      </c>
      <c r="E304" s="94">
        <f t="shared" si="38"/>
        <v>11.357214527085446</v>
      </c>
      <c r="F304" s="95">
        <f t="shared" si="32"/>
        <v>13.709580071425798</v>
      </c>
      <c r="G304" s="96">
        <f t="shared" si="35"/>
        <v>1.8134264626218806</v>
      </c>
    </row>
    <row r="305" spans="1:7">
      <c r="A305" s="91">
        <f>2018</f>
        <v>2018</v>
      </c>
      <c r="B305" s="92" t="s">
        <v>65</v>
      </c>
      <c r="C305" s="93">
        <f t="shared" ref="C305:C368" si="39">+C304*(1+D305/100)</f>
        <v>773.66983937650059</v>
      </c>
      <c r="D305" s="94">
        <v>0.17231201031542298</v>
      </c>
      <c r="E305" s="94">
        <f t="shared" si="38"/>
        <v>11.549096382068335</v>
      </c>
      <c r="F305" s="95">
        <f t="shared" si="32"/>
        <v>13.939732175726171</v>
      </c>
      <c r="G305" s="96">
        <f t="shared" si="35"/>
        <v>1.8103070860889581</v>
      </c>
    </row>
    <row r="306" spans="1:7">
      <c r="A306" s="91">
        <f>2018</f>
        <v>2018</v>
      </c>
      <c r="B306" s="92" t="s">
        <v>66</v>
      </c>
      <c r="C306" s="93">
        <f t="shared" si="39"/>
        <v>760.50349286015944</v>
      </c>
      <c r="D306" s="94">
        <v>-1.7018042899219044</v>
      </c>
      <c r="E306" s="94">
        <f t="shared" si="38"/>
        <v>9.6507490744691893</v>
      </c>
      <c r="F306" s="95">
        <f t="shared" si="32"/>
        <v>10.820694910488049</v>
      </c>
      <c r="G306" s="96">
        <f t="shared" si="35"/>
        <v>1.8416483364845271</v>
      </c>
    </row>
    <row r="307" spans="1:7">
      <c r="A307" s="91">
        <f>2018</f>
        <v>2018</v>
      </c>
      <c r="B307" s="92" t="s">
        <v>55</v>
      </c>
      <c r="C307" s="93">
        <f t="shared" si="39"/>
        <v>754.27227540193962</v>
      </c>
      <c r="D307" s="94">
        <v>-0.81935421950332099</v>
      </c>
      <c r="E307" s="94">
        <f t="shared" si="38"/>
        <v>8.7523210352105316</v>
      </c>
      <c r="F307" s="95">
        <f t="shared" si="32"/>
        <v>8.7523210352105316</v>
      </c>
      <c r="G307" s="96">
        <f t="shared" si="35"/>
        <v>1.8568626187012354</v>
      </c>
    </row>
    <row r="308" spans="1:7">
      <c r="A308" s="91">
        <f>2019</f>
        <v>2019</v>
      </c>
      <c r="B308" s="92" t="s">
        <v>56</v>
      </c>
      <c r="C308" s="93">
        <f t="shared" si="39"/>
        <v>752.85045396009298</v>
      </c>
      <c r="D308" s="94">
        <v>-0.18850241328158823</v>
      </c>
      <c r="E308" s="94">
        <f t="shared" ref="E308:E319" si="40">+((C308/$C$307)-1)*100</f>
        <v>-0.18850241328159933</v>
      </c>
      <c r="F308" s="95">
        <f t="shared" ref="F308:F371" si="41">100*((C308/C296)-1)</f>
        <v>7.921717356312441</v>
      </c>
      <c r="G308" s="96">
        <f t="shared" si="35"/>
        <v>1.8603694600293443</v>
      </c>
    </row>
    <row r="309" spans="1:7">
      <c r="A309" s="91">
        <f>2019</f>
        <v>2019</v>
      </c>
      <c r="B309" s="92" t="s">
        <v>57</v>
      </c>
      <c r="C309" s="93">
        <f t="shared" si="39"/>
        <v>766.30576418718908</v>
      </c>
      <c r="D309" s="94">
        <v>1.7872487366275003</v>
      </c>
      <c r="E309" s="94">
        <f t="shared" si="40"/>
        <v>1.5953773163460028</v>
      </c>
      <c r="F309" s="95">
        <f t="shared" si="41"/>
        <v>9.6826453140988136</v>
      </c>
      <c r="G309" s="96">
        <f t="shared" si="35"/>
        <v>1.8277038461300923</v>
      </c>
    </row>
    <row r="310" spans="1:7">
      <c r="A310" s="91">
        <f>2019</f>
        <v>2019</v>
      </c>
      <c r="B310" s="92" t="s">
        <v>58</v>
      </c>
      <c r="C310" s="93">
        <f t="shared" si="39"/>
        <v>776.68546066244255</v>
      </c>
      <c r="D310" s="94">
        <v>1.3545110790420756</v>
      </c>
      <c r="E310" s="94">
        <f t="shared" si="40"/>
        <v>2.9714979578905121</v>
      </c>
      <c r="F310" s="95">
        <f t="shared" si="41"/>
        <v>10.317966401138401</v>
      </c>
      <c r="G310" s="96">
        <f t="shared" si="35"/>
        <v>1.8032782425488134</v>
      </c>
    </row>
    <row r="311" spans="1:7">
      <c r="A311" s="91">
        <f>2019</f>
        <v>2019</v>
      </c>
      <c r="B311" s="92" t="s">
        <v>59</v>
      </c>
      <c r="C311" s="93">
        <f t="shared" si="39"/>
        <v>785.15139747546357</v>
      </c>
      <c r="D311" s="94">
        <v>1.0900084064661586</v>
      </c>
      <c r="E311" s="94">
        <f t="shared" si="40"/>
        <v>4.0938959418956422</v>
      </c>
      <c r="F311" s="95">
        <f t="shared" si="41"/>
        <v>10.127679387856992</v>
      </c>
      <c r="G311" s="96">
        <f t="shared" si="35"/>
        <v>1.7838342987351734</v>
      </c>
    </row>
    <row r="312" spans="1:7">
      <c r="A312" s="91">
        <f>2019</f>
        <v>2019</v>
      </c>
      <c r="B312" s="92" t="s">
        <v>60</v>
      </c>
      <c r="C312" s="93">
        <f t="shared" si="39"/>
        <v>789.27188000841022</v>
      </c>
      <c r="D312" s="94">
        <v>0.52480101878382701</v>
      </c>
      <c r="E312" s="94">
        <f t="shared" si="40"/>
        <v>4.6401817682904856</v>
      </c>
      <c r="F312" s="95">
        <f t="shared" si="41"/>
        <v>8.1589422121741251</v>
      </c>
      <c r="G312" s="96">
        <f t="shared" si="35"/>
        <v>1.7745215913452546</v>
      </c>
    </row>
    <row r="313" spans="1:7">
      <c r="A313" s="91">
        <f>2019</f>
        <v>2019</v>
      </c>
      <c r="B313" s="92" t="s">
        <v>61</v>
      </c>
      <c r="C313" s="93">
        <f t="shared" si="39"/>
        <v>795.83805540124229</v>
      </c>
      <c r="D313" s="94">
        <v>0.83192820612867369</v>
      </c>
      <c r="E313" s="94">
        <f t="shared" si="40"/>
        <v>5.5107129553652046</v>
      </c>
      <c r="F313" s="95">
        <f t="shared" si="41"/>
        <v>7.2653690499132617</v>
      </c>
      <c r="G313" s="96">
        <f t="shared" si="35"/>
        <v>1.7598806478416598</v>
      </c>
    </row>
    <row r="314" spans="1:7">
      <c r="A314" s="91">
        <f>2019</f>
        <v>2019</v>
      </c>
      <c r="B314" s="92" t="s">
        <v>62</v>
      </c>
      <c r="C314" s="93">
        <f t="shared" si="39"/>
        <v>794.1142718810288</v>
      </c>
      <c r="D314" s="94">
        <v>-0.21659978541040958</v>
      </c>
      <c r="E314" s="94">
        <f t="shared" si="40"/>
        <v>5.2821769775188931</v>
      </c>
      <c r="F314" s="95">
        <f t="shared" si="41"/>
        <v>6.4791315574611374</v>
      </c>
      <c r="G314" s="96">
        <f t="shared" si="35"/>
        <v>1.7637008200331332</v>
      </c>
    </row>
    <row r="315" spans="1:7">
      <c r="A315" s="91">
        <f>2019</f>
        <v>2019</v>
      </c>
      <c r="B315" s="92" t="s">
        <v>63</v>
      </c>
      <c r="C315" s="93">
        <f t="shared" si="39"/>
        <v>786.93917295930453</v>
      </c>
      <c r="D315" s="94">
        <v>-0.90353481555349724</v>
      </c>
      <c r="E315" s="94">
        <f t="shared" si="40"/>
        <v>4.3309158539543535</v>
      </c>
      <c r="F315" s="95">
        <f t="shared" si="41"/>
        <v>4.4821612292987201</v>
      </c>
      <c r="G315" s="96">
        <f t="shared" si="35"/>
        <v>1.7797817679474117</v>
      </c>
    </row>
    <row r="316" spans="1:7">
      <c r="A316" s="91">
        <f>2019</f>
        <v>2019</v>
      </c>
      <c r="B316" s="92" t="s">
        <v>64</v>
      </c>
      <c r="C316" s="93">
        <f t="shared" si="39"/>
        <v>792.40848610058538</v>
      </c>
      <c r="D316" s="94">
        <v>0.69501091433958884</v>
      </c>
      <c r="E316" s="94">
        <f t="shared" si="40"/>
        <v>5.0560271061697915</v>
      </c>
      <c r="F316" s="95">
        <f t="shared" si="41"/>
        <v>2.5985324350496386</v>
      </c>
      <c r="G316" s="96">
        <f t="shared" si="35"/>
        <v>1.767497467636661</v>
      </c>
    </row>
    <row r="317" spans="1:7">
      <c r="A317" s="91">
        <f>2019</f>
        <v>2019</v>
      </c>
      <c r="B317" s="92" t="s">
        <v>65</v>
      </c>
      <c r="C317" s="93">
        <f t="shared" si="39"/>
        <v>799.08964705306039</v>
      </c>
      <c r="D317" s="94">
        <v>0.8431460628788523</v>
      </c>
      <c r="E317" s="94">
        <f t="shared" si="40"/>
        <v>5.9418028625324082</v>
      </c>
      <c r="F317" s="95">
        <f t="shared" si="41"/>
        <v>3.2856144033022616</v>
      </c>
      <c r="G317" s="96">
        <f t="shared" si="35"/>
        <v>1.7527194823281012</v>
      </c>
    </row>
    <row r="318" spans="1:7">
      <c r="A318" s="91">
        <f>2019</f>
        <v>2019</v>
      </c>
      <c r="B318" s="92" t="s">
        <v>66</v>
      </c>
      <c r="C318" s="93">
        <f t="shared" si="39"/>
        <v>807.99552861601978</v>
      </c>
      <c r="D318" s="94">
        <v>1.1145034347276539</v>
      </c>
      <c r="E318" s="94">
        <f t="shared" si="40"/>
        <v>7.122527894247721</v>
      </c>
      <c r="F318" s="95">
        <f t="shared" si="41"/>
        <v>6.2448149419075838</v>
      </c>
      <c r="G318" s="96">
        <f t="shared" si="35"/>
        <v>1.7334006722977504</v>
      </c>
    </row>
    <row r="319" spans="1:7">
      <c r="A319" s="91">
        <f>2019</f>
        <v>2019</v>
      </c>
      <c r="B319" s="92" t="s">
        <v>55</v>
      </c>
      <c r="C319" s="93">
        <f t="shared" si="39"/>
        <v>826.90177151482897</v>
      </c>
      <c r="D319" s="94">
        <v>2.3398944956035672</v>
      </c>
      <c r="E319" s="94">
        <f t="shared" si="40"/>
        <v>9.6290820279966169</v>
      </c>
      <c r="F319" s="95">
        <f t="shared" si="41"/>
        <v>9.6290820279966169</v>
      </c>
      <c r="G319" s="96">
        <f t="shared" si="35"/>
        <v>1.6937682815104094</v>
      </c>
    </row>
    <row r="320" spans="1:7">
      <c r="A320" s="91">
        <f>2020</f>
        <v>2020</v>
      </c>
      <c r="B320" s="92" t="s">
        <v>56</v>
      </c>
      <c r="C320" s="93">
        <f t="shared" si="39"/>
        <v>825.84916247124897</v>
      </c>
      <c r="D320" s="94">
        <v>-0.12729553616165346</v>
      </c>
      <c r="E320" s="94">
        <f t="shared" ref="E320:E331" si="42">+((C320/$C$319)-1)*100</f>
        <v>-0.12729553616165346</v>
      </c>
      <c r="F320" s="95">
        <f t="shared" si="41"/>
        <v>9.6963092905334882</v>
      </c>
      <c r="G320" s="96">
        <f t="shared" si="35"/>
        <v>1.6959271210320379</v>
      </c>
    </row>
    <row r="321" spans="1:7">
      <c r="A321" s="91">
        <f>2020</f>
        <v>2020</v>
      </c>
      <c r="B321" s="92" t="s">
        <v>57</v>
      </c>
      <c r="C321" s="93">
        <f t="shared" si="39"/>
        <v>825.59160919462829</v>
      </c>
      <c r="D321" s="94">
        <v>-3.1186479120470789E-2</v>
      </c>
      <c r="E321" s="94">
        <f t="shared" si="42"/>
        <v>-0.15844231628631134</v>
      </c>
      <c r="F321" s="95">
        <f t="shared" si="41"/>
        <v>7.7365782404524852</v>
      </c>
      <c r="G321" s="96">
        <f t="shared" si="35"/>
        <v>1.6964561859862684</v>
      </c>
    </row>
    <row r="322" spans="1:7">
      <c r="A322" s="91">
        <f>2020</f>
        <v>2020</v>
      </c>
      <c r="B322" s="92" t="s">
        <v>58</v>
      </c>
      <c r="C322" s="93">
        <f t="shared" si="39"/>
        <v>844.85516908985596</v>
      </c>
      <c r="D322" s="94">
        <v>2.3333037400924406</v>
      </c>
      <c r="E322" s="94">
        <f t="shared" si="42"/>
        <v>2.1711644833143362</v>
      </c>
      <c r="F322" s="95">
        <f t="shared" si="41"/>
        <v>8.7770032889853198</v>
      </c>
      <c r="G322" s="96">
        <f t="shared" si="35"/>
        <v>1.6577752539827617</v>
      </c>
    </row>
    <row r="323" spans="1:7">
      <c r="A323" s="91">
        <f>2020</f>
        <v>2020</v>
      </c>
      <c r="B323" s="92" t="s">
        <v>59</v>
      </c>
      <c r="C323" s="93">
        <f t="shared" si="39"/>
        <v>845.7448985909092</v>
      </c>
      <c r="D323" s="94">
        <v>0.10531148220489506</v>
      </c>
      <c r="E323" s="94">
        <f t="shared" si="42"/>
        <v>2.278762451017724</v>
      </c>
      <c r="F323" s="95">
        <f t="shared" si="41"/>
        <v>7.7174289328497681</v>
      </c>
      <c r="G323" s="96">
        <f t="shared" si="35"/>
        <v>1.6560312629140104</v>
      </c>
    </row>
    <row r="324" spans="1:7">
      <c r="A324" s="91">
        <f>2020</f>
        <v>2020</v>
      </c>
      <c r="B324" s="92" t="s">
        <v>60</v>
      </c>
      <c r="C324" s="93">
        <f t="shared" si="39"/>
        <v>860.71963653197565</v>
      </c>
      <c r="D324" s="94">
        <v>1.7705974893866605</v>
      </c>
      <c r="E324" s="94">
        <f t="shared" si="42"/>
        <v>4.0897076511511976</v>
      </c>
      <c r="F324" s="95">
        <f t="shared" si="41"/>
        <v>9.052363112544203</v>
      </c>
      <c r="G324" s="96">
        <f t="shared" si="35"/>
        <v>1.6272197508585056</v>
      </c>
    </row>
    <row r="325" spans="1:7">
      <c r="A325" s="91">
        <f>2020</f>
        <v>2020</v>
      </c>
      <c r="B325" s="92" t="s">
        <v>61</v>
      </c>
      <c r="C325" s="93">
        <f t="shared" si="39"/>
        <v>879.84678481033689</v>
      </c>
      <c r="D325" s="94">
        <v>2.2222274787907281</v>
      </c>
      <c r="E325" s="94">
        <f t="shared" si="42"/>
        <v>6.4028177371679984</v>
      </c>
      <c r="F325" s="95">
        <f t="shared" si="41"/>
        <v>10.556008077138191</v>
      </c>
      <c r="G325" s="96">
        <f t="shared" si="35"/>
        <v>1.5918453265911512</v>
      </c>
    </row>
    <row r="326" spans="1:7">
      <c r="A326" s="97">
        <f>2020</f>
        <v>2020</v>
      </c>
      <c r="B326" s="98" t="s">
        <v>62</v>
      </c>
      <c r="C326" s="99">
        <f t="shared" si="39"/>
        <v>907.46402924291237</v>
      </c>
      <c r="D326" s="100">
        <v>3.1388697338399441</v>
      </c>
      <c r="E326" s="100">
        <f t="shared" si="42"/>
        <v>9.7426635790728522</v>
      </c>
      <c r="F326" s="101">
        <f t="shared" si="41"/>
        <v>14.273733815838696</v>
      </c>
      <c r="G326" s="96">
        <f t="shared" si="35"/>
        <v>1.5434000107806742</v>
      </c>
    </row>
    <row r="327" spans="1:7">
      <c r="A327" s="97">
        <f>2020</f>
        <v>2020</v>
      </c>
      <c r="B327" s="98" t="s">
        <v>63</v>
      </c>
      <c r="C327" s="99">
        <f t="shared" si="39"/>
        <v>956.78599071433712</v>
      </c>
      <c r="D327" s="100">
        <v>5.4351423177151803</v>
      </c>
      <c r="E327" s="100">
        <f t="shared" si="42"/>
        <v>15.707333527846835</v>
      </c>
      <c r="F327" s="101">
        <f t="shared" si="41"/>
        <v>21.583220608566144</v>
      </c>
      <c r="G327" s="96">
        <f t="shared" ref="G327:G377" si="43">+$C$396/C327</f>
        <v>1.4638383150561296</v>
      </c>
    </row>
    <row r="328" spans="1:7">
      <c r="A328" s="97">
        <f>2020</f>
        <v>2020</v>
      </c>
      <c r="B328" s="98" t="s">
        <v>64</v>
      </c>
      <c r="C328" s="99">
        <f t="shared" si="39"/>
        <v>998.66232109800137</v>
      </c>
      <c r="D328" s="100">
        <v>4.3767708547236772</v>
      </c>
      <c r="E328" s="100">
        <f t="shared" si="42"/>
        <v>20.771578378471546</v>
      </c>
      <c r="F328" s="101">
        <f t="shared" si="41"/>
        <v>26.028726170309447</v>
      </c>
      <c r="G328" s="96">
        <f t="shared" si="43"/>
        <v>1.4024560283566985</v>
      </c>
    </row>
    <row r="329" spans="1:7">
      <c r="A329" s="97">
        <f>2020</f>
        <v>2020</v>
      </c>
      <c r="B329" s="98" t="s">
        <v>65</v>
      </c>
      <c r="C329" s="99">
        <f t="shared" si="39"/>
        <v>1047.1973707795933</v>
      </c>
      <c r="D329" s="100">
        <v>4.860006095777103</v>
      </c>
      <c r="E329" s="100">
        <f t="shared" si="42"/>
        <v>26.641084449631471</v>
      </c>
      <c r="F329" s="101">
        <f t="shared" si="41"/>
        <v>31.048797170820851</v>
      </c>
      <c r="G329" s="96">
        <f t="shared" si="43"/>
        <v>1.3374556044520181</v>
      </c>
    </row>
    <row r="330" spans="1:7">
      <c r="A330" s="97">
        <f>2020</f>
        <v>2020</v>
      </c>
      <c r="B330" s="98" t="s">
        <v>66</v>
      </c>
      <c r="C330" s="99">
        <f t="shared" si="39"/>
        <v>1081.8290838303615</v>
      </c>
      <c r="D330" s="100">
        <v>3.3070855616249784</v>
      </c>
      <c r="E330" s="100">
        <f t="shared" si="42"/>
        <v>30.82921346855052</v>
      </c>
      <c r="F330" s="101">
        <f t="shared" si="41"/>
        <v>33.890479033142576</v>
      </c>
      <c r="G330" s="96">
        <f t="shared" si="43"/>
        <v>1.29464072786585</v>
      </c>
    </row>
    <row r="331" spans="1:7">
      <c r="A331" s="97">
        <f>2020</f>
        <v>2020</v>
      </c>
      <c r="B331" s="98" t="s">
        <v>55</v>
      </c>
      <c r="C331" s="99">
        <f t="shared" si="39"/>
        <v>1089.1561768329029</v>
      </c>
      <c r="D331" s="100">
        <v>0.67728748580127007</v>
      </c>
      <c r="E331" s="100">
        <f t="shared" si="42"/>
        <v>31.715303359145231</v>
      </c>
      <c r="F331" s="101">
        <f t="shared" si="41"/>
        <v>31.715303359145231</v>
      </c>
      <c r="G331" s="96">
        <f t="shared" si="43"/>
        <v>1.2859312762557653</v>
      </c>
    </row>
    <row r="332" spans="1:7">
      <c r="A332" s="97">
        <f>2021</f>
        <v>2021</v>
      </c>
      <c r="B332" s="98" t="s">
        <v>56</v>
      </c>
      <c r="C332" s="99">
        <f t="shared" si="39"/>
        <v>1131.8748888198827</v>
      </c>
      <c r="D332" s="100">
        <v>3.9221842464502332</v>
      </c>
      <c r="E332" s="100">
        <f t="shared" ref="E332:E343" si="44">+((C332/$C$331)-1)*100</f>
        <v>3.9221842464502332</v>
      </c>
      <c r="F332" s="101">
        <f t="shared" si="41"/>
        <v>37.055886262921248</v>
      </c>
      <c r="G332" s="96">
        <f t="shared" si="43"/>
        <v>1.2373982375179822</v>
      </c>
    </row>
    <row r="333" spans="1:7">
      <c r="A333" s="97">
        <f>2021</f>
        <v>2021</v>
      </c>
      <c r="B333" s="98" t="s">
        <v>57</v>
      </c>
      <c r="C333" s="99">
        <f t="shared" si="39"/>
        <v>1170.4031195331652</v>
      </c>
      <c r="D333" s="100">
        <v>3.4039301599360305</v>
      </c>
      <c r="E333" s="100">
        <f t="shared" si="44"/>
        <v>7.4596228188794411</v>
      </c>
      <c r="F333" s="101">
        <f t="shared" si="41"/>
        <v>41.765384543443162</v>
      </c>
      <c r="G333" s="96">
        <f t="shared" si="43"/>
        <v>1.1966646099467249</v>
      </c>
    </row>
    <row r="334" spans="1:7">
      <c r="A334" s="97">
        <f>2021</f>
        <v>2021</v>
      </c>
      <c r="B334" s="98" t="s">
        <v>58</v>
      </c>
      <c r="C334" s="99">
        <f t="shared" si="39"/>
        <v>1200.7383644300139</v>
      </c>
      <c r="D334" s="100">
        <v>2.5918629564955831</v>
      </c>
      <c r="E334" s="100">
        <f t="shared" si="44"/>
        <v>10.244828975911858</v>
      </c>
      <c r="F334" s="101">
        <f t="shared" si="41"/>
        <v>42.123574354589465</v>
      </c>
      <c r="G334" s="96">
        <f t="shared" si="43"/>
        <v>1.1664322836735836</v>
      </c>
    </row>
    <row r="335" spans="1:7">
      <c r="A335" s="97">
        <f>2021</f>
        <v>2021</v>
      </c>
      <c r="B335" s="98" t="s">
        <v>59</v>
      </c>
      <c r="C335" s="99">
        <f t="shared" si="39"/>
        <v>1235.6110476518538</v>
      </c>
      <c r="D335" s="100">
        <v>2.9042699271455197</v>
      </c>
      <c r="E335" s="100">
        <f t="shared" si="44"/>
        <v>13.446636390092269</v>
      </c>
      <c r="F335" s="101">
        <f t="shared" si="41"/>
        <v>46.097369278904132</v>
      </c>
      <c r="G335" s="96">
        <f t="shared" si="43"/>
        <v>1.1335120345340364</v>
      </c>
    </row>
    <row r="336" spans="1:7">
      <c r="A336" s="97">
        <f>2021</f>
        <v>2021</v>
      </c>
      <c r="B336" s="98" t="s">
        <v>60</v>
      </c>
      <c r="C336" s="99">
        <f t="shared" si="39"/>
        <v>1287.5426192083501</v>
      </c>
      <c r="D336" s="100">
        <v>4.2029060564962251</v>
      </c>
      <c r="E336" s="100">
        <f t="shared" si="44"/>
        <v>18.214691941822725</v>
      </c>
      <c r="F336" s="101">
        <f t="shared" si="41"/>
        <v>49.589083896834964</v>
      </c>
      <c r="G336" s="96">
        <f t="shared" si="43"/>
        <v>1.0877931119497515</v>
      </c>
    </row>
    <row r="337" spans="1:7">
      <c r="A337" s="97">
        <f>2021</f>
        <v>2021</v>
      </c>
      <c r="B337" s="98" t="s">
        <v>61</v>
      </c>
      <c r="C337" s="99">
        <f t="shared" si="39"/>
        <v>1284.1900342141466</v>
      </c>
      <c r="D337" s="100">
        <v>-0.26038633162021041</v>
      </c>
      <c r="E337" s="100">
        <f t="shared" si="44"/>
        <v>17.906877042039259</v>
      </c>
      <c r="F337" s="101">
        <f t="shared" si="41"/>
        <v>45.956097855261426</v>
      </c>
      <c r="G337" s="96">
        <f t="shared" si="43"/>
        <v>1.0906329711347298</v>
      </c>
    </row>
    <row r="338" spans="1:7">
      <c r="A338" s="97">
        <f>2021</f>
        <v>2021</v>
      </c>
      <c r="B338" s="98" t="s">
        <v>62</v>
      </c>
      <c r="C338" s="99">
        <f t="shared" si="39"/>
        <v>1305.3734119914184</v>
      </c>
      <c r="D338" s="100">
        <v>1.6495516405587773</v>
      </c>
      <c r="E338" s="100">
        <f t="shared" si="44"/>
        <v>19.85181186661784</v>
      </c>
      <c r="F338" s="101">
        <f t="shared" si="41"/>
        <v>43.848501970979228</v>
      </c>
      <c r="G338" s="96">
        <f t="shared" si="43"/>
        <v>1.0729343647193823</v>
      </c>
    </row>
    <row r="339" spans="1:7">
      <c r="A339" s="97">
        <f>2021</f>
        <v>2021</v>
      </c>
      <c r="B339" s="98" t="s">
        <v>63</v>
      </c>
      <c r="C339" s="99">
        <f t="shared" si="39"/>
        <v>1299.9010893927677</v>
      </c>
      <c r="D339" s="100">
        <v>-0.41921511104644482</v>
      </c>
      <c r="E339" s="100">
        <f t="shared" si="44"/>
        <v>19.349374960410024</v>
      </c>
      <c r="F339" s="101">
        <f t="shared" si="41"/>
        <v>35.861216824700847</v>
      </c>
      <c r="G339" s="96">
        <f t="shared" si="43"/>
        <v>1.0774512029764112</v>
      </c>
    </row>
    <row r="340" spans="1:7">
      <c r="A340" s="97">
        <f>2021</f>
        <v>2021</v>
      </c>
      <c r="B340" s="98" t="s">
        <v>64</v>
      </c>
      <c r="C340" s="99">
        <f t="shared" si="39"/>
        <v>1284.6869726997177</v>
      </c>
      <c r="D340" s="100">
        <v>-1.1704057191118444</v>
      </c>
      <c r="E340" s="100">
        <f t="shared" si="44"/>
        <v>17.952503050149147</v>
      </c>
      <c r="F340" s="101">
        <f t="shared" si="41"/>
        <v>28.640777323734422</v>
      </c>
      <c r="G340" s="96">
        <f t="shared" si="43"/>
        <v>1.0902110959943205</v>
      </c>
    </row>
    <row r="341" spans="1:7">
      <c r="A341" s="97">
        <f>2021</f>
        <v>2021</v>
      </c>
      <c r="B341" s="98" t="s">
        <v>65</v>
      </c>
      <c r="C341" s="99">
        <f t="shared" si="39"/>
        <v>1309.0949513139428</v>
      </c>
      <c r="D341" s="100">
        <v>1.8999164102156962</v>
      </c>
      <c r="E341" s="100">
        <f t="shared" si="44"/>
        <v>20.193502011859099</v>
      </c>
      <c r="F341" s="101">
        <f t="shared" si="41"/>
        <v>25.00938102426462</v>
      </c>
      <c r="G341" s="96">
        <f t="shared" si="43"/>
        <v>1.0698841906851893</v>
      </c>
    </row>
    <row r="342" spans="1:7">
      <c r="A342" s="97">
        <f>2021</f>
        <v>2021</v>
      </c>
      <c r="B342" s="98" t="s">
        <v>66</v>
      </c>
      <c r="C342" s="99">
        <f t="shared" si="39"/>
        <v>1293.9508259568886</v>
      </c>
      <c r="D342" s="100">
        <v>-1.1568393371202079</v>
      </c>
      <c r="E342" s="100">
        <f t="shared" si="44"/>
        <v>18.803056299923561</v>
      </c>
      <c r="F342" s="101">
        <f t="shared" si="41"/>
        <v>19.607694532992358</v>
      </c>
      <c r="G342" s="96">
        <f t="shared" si="43"/>
        <v>1.0824058877823608</v>
      </c>
    </row>
    <row r="343" spans="1:7">
      <c r="A343" s="97">
        <f>2021</f>
        <v>2021</v>
      </c>
      <c r="B343" s="98" t="s">
        <v>55</v>
      </c>
      <c r="C343" s="99">
        <f t="shared" si="39"/>
        <v>1313.9053558493176</v>
      </c>
      <c r="D343" s="100">
        <v>1.5421397391722769</v>
      </c>
      <c r="E343" s="100">
        <f t="shared" si="44"/>
        <v>20.635165442475877</v>
      </c>
      <c r="F343" s="101">
        <f t="shared" si="41"/>
        <v>20.635165442475877</v>
      </c>
      <c r="G343" s="96">
        <f t="shared" si="43"/>
        <v>1.0659671842278473</v>
      </c>
    </row>
    <row r="344" spans="1:7">
      <c r="A344" s="97">
        <f>2022</f>
        <v>2022</v>
      </c>
      <c r="B344" s="98" t="s">
        <v>56</v>
      </c>
      <c r="C344" s="99">
        <f t="shared" si="39"/>
        <v>1347.6211822747682</v>
      </c>
      <c r="D344" s="100">
        <v>2.5660772501879592</v>
      </c>
      <c r="E344" s="100">
        <f t="shared" ref="E344:E355" si="45">+((C344/$C$343)-1)*100</f>
        <v>2.5660772501879592</v>
      </c>
      <c r="F344" s="101">
        <f t="shared" si="41"/>
        <v>19.06096650662754</v>
      </c>
      <c r="G344" s="96">
        <f t="shared" si="43"/>
        <v>1.0392979948210839</v>
      </c>
    </row>
    <row r="345" spans="1:7">
      <c r="A345" s="97">
        <f>2022</f>
        <v>2022</v>
      </c>
      <c r="B345" s="98" t="s">
        <v>57</v>
      </c>
      <c r="C345" s="99">
        <f t="shared" si="39"/>
        <v>1373.831937729002</v>
      </c>
      <c r="D345" s="100">
        <v>1.9449646383555841</v>
      </c>
      <c r="E345" s="100">
        <f t="shared" si="45"/>
        <v>4.5609511836526062</v>
      </c>
      <c r="F345" s="101">
        <f t="shared" si="41"/>
        <v>17.381089882687405</v>
      </c>
      <c r="G345" s="96">
        <f t="shared" si="43"/>
        <v>1.0194696702362289</v>
      </c>
    </row>
    <row r="346" spans="1:7">
      <c r="A346" s="97">
        <f>2022</f>
        <v>2022</v>
      </c>
      <c r="B346" s="98" t="s">
        <v>58</v>
      </c>
      <c r="C346" s="99">
        <f t="shared" si="39"/>
        <v>1412.3171737644586</v>
      </c>
      <c r="D346" s="100">
        <v>2.8013059660757511</v>
      </c>
      <c r="E346" s="100">
        <f t="shared" si="45"/>
        <v>7.4900233473458089</v>
      </c>
      <c r="F346" s="101">
        <f t="shared" si="41"/>
        <v>17.620725347180887</v>
      </c>
      <c r="G346" s="96">
        <f t="shared" si="43"/>
        <v>0.99168941547556999</v>
      </c>
    </row>
    <row r="347" spans="1:7">
      <c r="A347" s="97">
        <f>2022</f>
        <v>2022</v>
      </c>
      <c r="B347" s="98" t="s">
        <v>59</v>
      </c>
      <c r="C347" s="99">
        <f t="shared" si="39"/>
        <v>1414.9678456462459</v>
      </c>
      <c r="D347" s="100">
        <v>0.18768247890961209</v>
      </c>
      <c r="E347" s="100">
        <f t="shared" si="45"/>
        <v>7.6917632877446351</v>
      </c>
      <c r="F347" s="101">
        <f t="shared" si="41"/>
        <v>14.515635671535998</v>
      </c>
      <c r="G347" s="96">
        <f t="shared" si="43"/>
        <v>0.98983167485117673</v>
      </c>
    </row>
    <row r="348" spans="1:7">
      <c r="A348" s="97">
        <f>2022</f>
        <v>2022</v>
      </c>
      <c r="B348" s="98" t="s">
        <v>60</v>
      </c>
      <c r="C348" s="99">
        <f t="shared" si="39"/>
        <v>1422.7608809712742</v>
      </c>
      <c r="D348" s="100">
        <v>0.55075706130049973</v>
      </c>
      <c r="E348" s="100">
        <f t="shared" si="45"/>
        <v>8.2848832784909057</v>
      </c>
      <c r="F348" s="101">
        <f t="shared" si="41"/>
        <v>10.502041621431024</v>
      </c>
      <c r="G348" s="96">
        <f t="shared" si="43"/>
        <v>0.98440996744333664</v>
      </c>
    </row>
    <row r="349" spans="1:7">
      <c r="A349" s="97">
        <f>2022</f>
        <v>2022</v>
      </c>
      <c r="B349" s="98" t="s">
        <v>61</v>
      </c>
      <c r="C349" s="99">
        <f t="shared" si="39"/>
        <v>1428.953114454454</v>
      </c>
      <c r="D349" s="100">
        <v>0.43522657714292201</v>
      </c>
      <c r="E349" s="100">
        <f t="shared" si="45"/>
        <v>8.7561678695470935</v>
      </c>
      <c r="F349" s="101">
        <f t="shared" si="41"/>
        <v>11.272714815054163</v>
      </c>
      <c r="G349" s="96">
        <f t="shared" si="43"/>
        <v>0.98014411973992499</v>
      </c>
    </row>
    <row r="350" spans="1:7">
      <c r="A350" s="97">
        <f>2022</f>
        <v>2022</v>
      </c>
      <c r="B350" s="98" t="s">
        <v>62</v>
      </c>
      <c r="C350" s="99">
        <f t="shared" si="39"/>
        <v>1424.3576833082093</v>
      </c>
      <c r="D350" s="100">
        <v>-0.321594256645652</v>
      </c>
      <c r="E350" s="100">
        <f t="shared" si="45"/>
        <v>8.4064142799307184</v>
      </c>
      <c r="F350" s="101">
        <f t="shared" si="41"/>
        <v>9.1149605334211579</v>
      </c>
      <c r="G350" s="96">
        <f t="shared" si="43"/>
        <v>0.98330637657221165</v>
      </c>
    </row>
    <row r="351" spans="1:7">
      <c r="A351" s="97">
        <f>2022</f>
        <v>2022</v>
      </c>
      <c r="B351" s="98" t="s">
        <v>63</v>
      </c>
      <c r="C351" s="99">
        <f t="shared" si="39"/>
        <v>1415.4287885875901</v>
      </c>
      <c r="D351" s="100">
        <v>-0.62687166469878042</v>
      </c>
      <c r="E351" s="100">
        <f t="shared" si="45"/>
        <v>7.726845186093878</v>
      </c>
      <c r="F351" s="101">
        <f t="shared" si="41"/>
        <v>8.8874222921676136</v>
      </c>
      <c r="G351" s="96">
        <f t="shared" si="43"/>
        <v>0.9895093301826775</v>
      </c>
    </row>
    <row r="352" spans="1:7">
      <c r="A352" s="97">
        <f>2022</f>
        <v>2022</v>
      </c>
      <c r="B352" s="98" t="s">
        <v>64</v>
      </c>
      <c r="C352" s="99">
        <f t="shared" si="39"/>
        <v>1391.6457326161853</v>
      </c>
      <c r="D352" s="100">
        <v>-1.6802721665098441</v>
      </c>
      <c r="E352" s="100">
        <f t="shared" si="45"/>
        <v>5.9167409905727775</v>
      </c>
      <c r="F352" s="101">
        <f t="shared" si="41"/>
        <v>8.3256670449221026</v>
      </c>
      <c r="G352" s="96">
        <f t="shared" si="43"/>
        <v>1.0064199240446086</v>
      </c>
    </row>
    <row r="353" spans="1:7">
      <c r="A353" s="97">
        <f>2022</f>
        <v>2022</v>
      </c>
      <c r="B353" s="98" t="s">
        <v>65</v>
      </c>
      <c r="C353" s="99">
        <f t="shared" si="39"/>
        <v>1377.2285172772597</v>
      </c>
      <c r="D353" s="100">
        <v>-1.0359831529697217</v>
      </c>
      <c r="E353" s="100">
        <f t="shared" si="45"/>
        <v>4.8194613977358802</v>
      </c>
      <c r="F353" s="101">
        <f t="shared" si="41"/>
        <v>5.2046313290667667</v>
      </c>
      <c r="G353" s="96">
        <f t="shared" si="43"/>
        <v>1.0169554107734353</v>
      </c>
    </row>
    <row r="354" spans="1:7">
      <c r="A354" s="97">
        <f>2022</f>
        <v>2022</v>
      </c>
      <c r="B354" s="98" t="s">
        <v>66</v>
      </c>
      <c r="C354" s="99">
        <f t="shared" si="39"/>
        <v>1371.2600065004169</v>
      </c>
      <c r="D354" s="100">
        <v>-0.43337112918939713</v>
      </c>
      <c r="E354" s="100">
        <f t="shared" si="45"/>
        <v>4.3652041142662634</v>
      </c>
      <c r="F354" s="101">
        <f t="shared" si="41"/>
        <v>5.9746614007806231</v>
      </c>
      <c r="G354" s="96">
        <f t="shared" si="43"/>
        <v>1.0213817845464592</v>
      </c>
    </row>
    <row r="355" spans="1:7">
      <c r="A355" s="97">
        <f>2022</f>
        <v>2022</v>
      </c>
      <c r="B355" s="98" t="s">
        <v>55</v>
      </c>
      <c r="C355" s="99">
        <f t="shared" si="39"/>
        <v>1375.6874608628257</v>
      </c>
      <c r="D355" s="100">
        <v>0.3228748991015884</v>
      </c>
      <c r="E355" s="100">
        <f t="shared" si="45"/>
        <v>4.7021731617473916</v>
      </c>
      <c r="F355" s="101">
        <f t="shared" si="41"/>
        <v>4.7021731617473916</v>
      </c>
      <c r="G355" s="96">
        <f t="shared" si="43"/>
        <v>1.0180946125932897</v>
      </c>
    </row>
    <row r="356" spans="1:7">
      <c r="A356" s="97">
        <f>2023</f>
        <v>2023</v>
      </c>
      <c r="B356" s="98" t="s">
        <v>56</v>
      </c>
      <c r="C356" s="99">
        <f t="shared" si="39"/>
        <v>1373.1207771798304</v>
      </c>
      <c r="D356" s="100">
        <v>-0.18657462221728371</v>
      </c>
      <c r="E356" s="100">
        <f t="shared" ref="E356:E367" si="46">+((C356/$C$355)-1)*100</f>
        <v>-0.18657462221728371</v>
      </c>
      <c r="F356" s="101">
        <f t="shared" si="41"/>
        <v>1.8921930910895224</v>
      </c>
      <c r="G356" s="96">
        <f t="shared" si="43"/>
        <v>1.0199976693915822</v>
      </c>
    </row>
    <row r="357" spans="1:7">
      <c r="A357" s="97">
        <f>2023</f>
        <v>2023</v>
      </c>
      <c r="B357" s="98" t="s">
        <v>57</v>
      </c>
      <c r="C357" s="99">
        <f t="shared" si="39"/>
        <v>1372.521850991239</v>
      </c>
      <c r="D357" s="100">
        <v>-4.3617881146729154E-2</v>
      </c>
      <c r="E357" s="100">
        <f t="shared" si="46"/>
        <v>-0.2301111234670361</v>
      </c>
      <c r="F357" s="101">
        <f t="shared" si="41"/>
        <v>-9.5360043815007067E-2</v>
      </c>
      <c r="G357" s="96">
        <f t="shared" si="43"/>
        <v>1.0204427649039483</v>
      </c>
    </row>
    <row r="358" spans="1:7">
      <c r="A358" s="97">
        <f>2023</f>
        <v>2023</v>
      </c>
      <c r="B358" s="98" t="s">
        <v>58</v>
      </c>
      <c r="C358" s="99">
        <f t="shared" si="39"/>
        <v>1362.7960495948637</v>
      </c>
      <c r="D358" s="100">
        <v>-0.70860812812206797</v>
      </c>
      <c r="E358" s="100">
        <f t="shared" si="46"/>
        <v>-0.93708866546450276</v>
      </c>
      <c r="F358" s="101">
        <f t="shared" si="41"/>
        <v>-3.5063741409869675</v>
      </c>
      <c r="G358" s="96">
        <f t="shared" si="43"/>
        <v>1.0277253099852717</v>
      </c>
    </row>
    <row r="359" spans="1:7">
      <c r="A359" s="97">
        <f>2023</f>
        <v>2023</v>
      </c>
      <c r="B359" s="98" t="s">
        <v>59</v>
      </c>
      <c r="C359" s="99">
        <f t="shared" si="39"/>
        <v>1341.4966745207828</v>
      </c>
      <c r="D359" s="100">
        <v>-1.5629172890846643</v>
      </c>
      <c r="E359" s="100">
        <f t="shared" si="46"/>
        <v>-2.4853600337825688</v>
      </c>
      <c r="F359" s="101">
        <f t="shared" si="41"/>
        <v>-5.1924269057794241</v>
      </c>
      <c r="G359" s="96">
        <f t="shared" si="43"/>
        <v>1.0440428359741616</v>
      </c>
    </row>
    <row r="360" spans="1:7">
      <c r="A360" s="97">
        <f>2023</f>
        <v>2023</v>
      </c>
      <c r="B360" s="98" t="s">
        <v>60</v>
      </c>
      <c r="C360" s="99">
        <f t="shared" si="39"/>
        <v>1296.329240936074</v>
      </c>
      <c r="D360" s="100">
        <v>-3.3669433881260757</v>
      </c>
      <c r="E360" s="100">
        <f t="shared" si="46"/>
        <v>-5.7686227565800774</v>
      </c>
      <c r="F360" s="101">
        <f t="shared" si="41"/>
        <v>-8.8863590309630425</v>
      </c>
      <c r="G360" s="96">
        <f t="shared" si="43"/>
        <v>1.0804199645340344</v>
      </c>
    </row>
    <row r="361" spans="1:7">
      <c r="A361" s="97">
        <f>2023</f>
        <v>2023</v>
      </c>
      <c r="B361" s="98" t="s">
        <v>61</v>
      </c>
      <c r="C361" s="99">
        <f t="shared" si="39"/>
        <v>1268.7066451330245</v>
      </c>
      <c r="D361" s="100">
        <v>-2.1308318080600741</v>
      </c>
      <c r="E361" s="100">
        <f t="shared" si="46"/>
        <v>-7.7765349160559545</v>
      </c>
      <c r="F361" s="101">
        <f t="shared" si="41"/>
        <v>-11.214256626090101</v>
      </c>
      <c r="G361" s="96">
        <f t="shared" si="43"/>
        <v>1.103943136019228</v>
      </c>
    </row>
    <row r="362" spans="1:7">
      <c r="A362" s="97">
        <f>2023</f>
        <v>2023</v>
      </c>
      <c r="B362" s="98" t="s">
        <v>62</v>
      </c>
      <c r="C362" s="99">
        <f t="shared" si="39"/>
        <v>1260.9925958091799</v>
      </c>
      <c r="D362" s="100">
        <v>-0.60802466460131432</v>
      </c>
      <c r="E362" s="100">
        <f t="shared" si="46"/>
        <v>-8.3372763303163122</v>
      </c>
      <c r="F362" s="101">
        <f t="shared" si="41"/>
        <v>-11.46938647598671</v>
      </c>
      <c r="G362" s="96">
        <f t="shared" si="43"/>
        <v>1.1106964443497243</v>
      </c>
    </row>
    <row r="363" spans="1:7">
      <c r="A363" s="97">
        <f>2023</f>
        <v>2023</v>
      </c>
      <c r="B363" s="98" t="s">
        <v>63</v>
      </c>
      <c r="C363" s="99">
        <f t="shared" si="39"/>
        <v>1262.2894359871484</v>
      </c>
      <c r="D363" s="100">
        <v>0.10284280671262191</v>
      </c>
      <c r="E363" s="100">
        <f t="shared" si="46"/>
        <v>-8.2430078125851676</v>
      </c>
      <c r="F363" s="101">
        <f t="shared" si="41"/>
        <v>-10.819290510069003</v>
      </c>
      <c r="G363" s="96">
        <f t="shared" si="43"/>
        <v>1.1095553464893646</v>
      </c>
    </row>
    <row r="364" spans="1:7">
      <c r="A364" s="97">
        <f>2023</f>
        <v>2023</v>
      </c>
      <c r="B364" s="98" t="s">
        <v>64</v>
      </c>
      <c r="C364" s="99">
        <f t="shared" si="39"/>
        <v>1268.7266426685369</v>
      </c>
      <c r="D364" s="100">
        <v>0.50996281026105539</v>
      </c>
      <c r="E364" s="100">
        <f t="shared" si="46"/>
        <v>-7.7750812766152144</v>
      </c>
      <c r="F364" s="101">
        <f t="shared" si="41"/>
        <v>-8.8326423217329975</v>
      </c>
      <c r="G364" s="96">
        <f t="shared" si="43"/>
        <v>1.1039257357839656</v>
      </c>
    </row>
    <row r="365" spans="1:7">
      <c r="A365" s="97">
        <f>2023</f>
        <v>2023</v>
      </c>
      <c r="B365" s="98" t="s">
        <v>65</v>
      </c>
      <c r="C365" s="99">
        <f t="shared" si="39"/>
        <v>1275.977749045273</v>
      </c>
      <c r="D365" s="100">
        <v>0.57152629517456255</v>
      </c>
      <c r="E365" s="100">
        <f t="shared" si="46"/>
        <v>-7.2479916154077006</v>
      </c>
      <c r="F365" s="101">
        <f t="shared" si="41"/>
        <v>-7.3517769173235381</v>
      </c>
      <c r="G365" s="96">
        <f t="shared" si="43"/>
        <v>1.0976523638947022</v>
      </c>
    </row>
    <row r="366" spans="1:7">
      <c r="A366" s="97">
        <f>2023</f>
        <v>2023</v>
      </c>
      <c r="B366" s="98" t="s">
        <v>66</v>
      </c>
      <c r="C366" s="99">
        <f t="shared" si="39"/>
        <v>1284.0387556102546</v>
      </c>
      <c r="D366" s="100">
        <v>0.63175134292217106</v>
      </c>
      <c r="E366" s="100">
        <f t="shared" si="46"/>
        <v>-6.662029556850757</v>
      </c>
      <c r="F366" s="101">
        <f t="shared" si="41"/>
        <v>-6.36066467895896</v>
      </c>
      <c r="G366" s="96">
        <f t="shared" si="43"/>
        <v>1.0907614636997018</v>
      </c>
    </row>
    <row r="367" spans="1:7">
      <c r="A367" s="97">
        <f>2023</f>
        <v>2023</v>
      </c>
      <c r="B367" s="98" t="s">
        <v>55</v>
      </c>
      <c r="C367" s="99">
        <f t="shared" si="39"/>
        <v>1294.1885047594894</v>
      </c>
      <c r="D367" s="100">
        <v>0.79045504700603342</v>
      </c>
      <c r="E367" s="100">
        <f t="shared" si="46"/>
        <v>-5.9242348587098759</v>
      </c>
      <c r="F367" s="101">
        <f t="shared" si="41"/>
        <v>-5.9242348587098759</v>
      </c>
      <c r="G367" s="96">
        <f t="shared" si="43"/>
        <v>1.082207103034706</v>
      </c>
    </row>
    <row r="368" spans="1:7">
      <c r="A368" s="97">
        <f>2024</f>
        <v>2024</v>
      </c>
      <c r="B368" s="98" t="s">
        <v>56</v>
      </c>
      <c r="C368" s="99">
        <f t="shared" si="39"/>
        <v>1286.4954528479329</v>
      </c>
      <c r="D368" s="100">
        <v>-0.59443055499757147</v>
      </c>
      <c r="E368" s="100">
        <f t="shared" ref="E368:E379" si="47">+((C368/$C$367)-1)*100</f>
        <v>-0.59443055499756037</v>
      </c>
      <c r="F368" s="101">
        <f t="shared" si="41"/>
        <v>-6.3086456611494812</v>
      </c>
      <c r="G368" s="96">
        <f t="shared" si="43"/>
        <v>1.0886785409276818</v>
      </c>
    </row>
    <row r="369" spans="1:7">
      <c r="A369" s="97">
        <f>2024</f>
        <v>2024</v>
      </c>
      <c r="B369" s="98" t="s">
        <v>57</v>
      </c>
      <c r="C369" s="99">
        <f t="shared" ref="C369:C380" si="48">+C368*(1+D369/100)</f>
        <v>1276.7596526838015</v>
      </c>
      <c r="D369" s="100">
        <v>-0.75676910808967213</v>
      </c>
      <c r="E369" s="100">
        <f t="shared" si="47"/>
        <v>-1.3467011962779663</v>
      </c>
      <c r="F369" s="101">
        <f t="shared" si="41"/>
        <v>-6.9770982690204768</v>
      </c>
      <c r="G369" s="96">
        <f t="shared" si="43"/>
        <v>1.0969801478081704</v>
      </c>
    </row>
    <row r="370" spans="1:7">
      <c r="A370" s="97">
        <f>2024</f>
        <v>2024</v>
      </c>
      <c r="B370" s="98" t="s">
        <v>58</v>
      </c>
      <c r="C370" s="99">
        <f t="shared" si="48"/>
        <v>1270.3174466185351</v>
      </c>
      <c r="D370" s="100">
        <v>-0.50457469044581371</v>
      </c>
      <c r="E370" s="100">
        <f t="shared" si="47"/>
        <v>-1.8444807733314361</v>
      </c>
      <c r="F370" s="101">
        <f t="shared" si="41"/>
        <v>-6.7859459237367918</v>
      </c>
      <c r="G370" s="96">
        <f t="shared" si="43"/>
        <v>1.102543302262593</v>
      </c>
    </row>
    <row r="371" spans="1:7">
      <c r="A371" s="97">
        <f>2024</f>
        <v>2024</v>
      </c>
      <c r="B371" s="98" t="s">
        <v>59</v>
      </c>
      <c r="C371" s="99">
        <f t="shared" si="48"/>
        <v>1280.9881315678635</v>
      </c>
      <c r="D371" s="100">
        <v>0.84000144827836021</v>
      </c>
      <c r="E371" s="100">
        <f t="shared" si="47"/>
        <v>-1.0199729902622634</v>
      </c>
      <c r="F371" s="101">
        <f t="shared" si="41"/>
        <v>-4.5105250055528012</v>
      </c>
      <c r="G371" s="96">
        <f t="shared" si="43"/>
        <v>1.0933590702377134</v>
      </c>
    </row>
    <row r="372" spans="1:7">
      <c r="A372" s="97">
        <f>2024</f>
        <v>2024</v>
      </c>
      <c r="B372" s="98" t="s">
        <v>60</v>
      </c>
      <c r="C372" s="99">
        <f t="shared" si="48"/>
        <v>1293.4335977939027</v>
      </c>
      <c r="D372" s="100">
        <v>0.97155203232106579</v>
      </c>
      <c r="E372" s="100">
        <f t="shared" si="47"/>
        <v>-5.8330526257233117E-2</v>
      </c>
      <c r="F372" s="101">
        <f t="shared" ref="F372:F380" si="49">100*((C372/C360)-1)</f>
        <v>-0.22337250836681477</v>
      </c>
      <c r="G372" s="96">
        <f t="shared" si="43"/>
        <v>1.0828387285635943</v>
      </c>
    </row>
    <row r="373" spans="1:7">
      <c r="A373" s="97">
        <f>2024</f>
        <v>2024</v>
      </c>
      <c r="B373" s="98" t="s">
        <v>61</v>
      </c>
      <c r="C373" s="99">
        <f t="shared" si="48"/>
        <v>1300.501726720702</v>
      </c>
      <c r="D373" s="100">
        <v>0.54646244993594717</v>
      </c>
      <c r="E373" s="100">
        <f t="shared" si="47"/>
        <v>0.48781316925587959</v>
      </c>
      <c r="F373" s="101">
        <f t="shared" si="49"/>
        <v>2.506101919592596</v>
      </c>
      <c r="G373" s="96">
        <f t="shared" si="43"/>
        <v>1.0769535816367093</v>
      </c>
    </row>
    <row r="374" spans="1:7">
      <c r="A374" s="97">
        <f>2024</f>
        <v>2024</v>
      </c>
      <c r="B374" s="98" t="s">
        <v>62</v>
      </c>
      <c r="C374" s="99">
        <f t="shared" si="48"/>
        <v>1312.6552289282627</v>
      </c>
      <c r="D374" s="100">
        <v>0.93452411156780268</v>
      </c>
      <c r="E374" s="100">
        <f t="shared" si="47"/>
        <v>1.4268960125097818</v>
      </c>
      <c r="F374" s="101">
        <f t="shared" si="49"/>
        <v>4.0969814803655469</v>
      </c>
      <c r="G374" s="96">
        <f t="shared" si="43"/>
        <v>1.0669823740847091</v>
      </c>
    </row>
    <row r="375" spans="1:7">
      <c r="A375" s="97">
        <f>2024</f>
        <v>2024</v>
      </c>
      <c r="B375" s="98" t="s">
        <v>63</v>
      </c>
      <c r="C375" s="99">
        <f t="shared" si="48"/>
        <v>1314.1130492671048</v>
      </c>
      <c r="D375" s="100">
        <v>0.11105889091931331</v>
      </c>
      <c r="E375" s="100">
        <f t="shared" si="47"/>
        <v>1.539539598315165</v>
      </c>
      <c r="F375" s="101">
        <f t="shared" si="49"/>
        <v>4.1055253892249066</v>
      </c>
      <c r="G375" s="96">
        <f t="shared" si="43"/>
        <v>1.0657987098581083</v>
      </c>
    </row>
    <row r="376" spans="1:7">
      <c r="A376" s="97">
        <f>2024</f>
        <v>2024</v>
      </c>
      <c r="B376" s="98" t="s">
        <v>64</v>
      </c>
      <c r="C376" s="99">
        <f t="shared" si="48"/>
        <v>1329.9051030611163</v>
      </c>
      <c r="D376" s="100">
        <v>1.2017271879933622</v>
      </c>
      <c r="E376" s="100">
        <f t="shared" si="47"/>
        <v>2.7597678522314206</v>
      </c>
      <c r="F376" s="101">
        <f t="shared" si="49"/>
        <v>4.8220363894858842</v>
      </c>
      <c r="G376" s="96">
        <f t="shared" si="43"/>
        <v>1.0531428064249038</v>
      </c>
    </row>
    <row r="377" spans="1:7">
      <c r="A377" s="97">
        <f>2024</f>
        <v>2024</v>
      </c>
      <c r="B377" s="98" t="s">
        <v>65</v>
      </c>
      <c r="C377" s="99">
        <f t="shared" si="48"/>
        <v>1356.6773842665743</v>
      </c>
      <c r="D377" s="100">
        <v>2.0130971107513496</v>
      </c>
      <c r="E377" s="100">
        <f t="shared" si="47"/>
        <v>4.8284217698794762</v>
      </c>
      <c r="F377" s="101">
        <f t="shared" si="49"/>
        <v>6.3245331105251212</v>
      </c>
      <c r="G377" s="96">
        <f t="shared" si="43"/>
        <v>1.032360389256245</v>
      </c>
    </row>
    <row r="378" spans="1:7">
      <c r="A378" s="97">
        <f>2024</f>
        <v>2024</v>
      </c>
      <c r="B378" s="98" t="s">
        <v>66</v>
      </c>
      <c r="C378" s="99">
        <f t="shared" si="48"/>
        <v>1379.2376136084933</v>
      </c>
      <c r="D378" s="100">
        <v>1.6629030308568993</v>
      </c>
      <c r="E378" s="100">
        <f t="shared" si="47"/>
        <v>6.5716167726902697</v>
      </c>
      <c r="F378" s="101">
        <f t="shared" si="49"/>
        <v>7.4140174961459193</v>
      </c>
      <c r="G378" s="96">
        <f t="shared" ref="G378:G396" si="50">+$C$396/C378</f>
        <v>1.0154740406566014</v>
      </c>
    </row>
    <row r="379" spans="1:7">
      <c r="A379" s="97">
        <f>2024</f>
        <v>2024</v>
      </c>
      <c r="B379" s="98" t="s">
        <v>55</v>
      </c>
      <c r="C379" s="99">
        <f t="shared" si="48"/>
        <v>1394.0947889748709</v>
      </c>
      <c r="D379" s="100">
        <v>1.0772020150688011</v>
      </c>
      <c r="E379" s="100">
        <f t="shared" si="47"/>
        <v>7.7196083760570744</v>
      </c>
      <c r="F379" s="101">
        <f t="shared" si="49"/>
        <v>7.7196083760570744</v>
      </c>
      <c r="G379" s="96">
        <f t="shared" si="50"/>
        <v>1.0046519100372528</v>
      </c>
    </row>
    <row r="380" spans="1:7">
      <c r="A380" s="97">
        <f>2025</f>
        <v>2025</v>
      </c>
      <c r="B380" s="98" t="s">
        <v>56</v>
      </c>
      <c r="C380" s="99">
        <f t="shared" si="48"/>
        <v>1394.5517328568571</v>
      </c>
      <c r="D380" s="100">
        <v>3.2777102790992885E-2</v>
      </c>
      <c r="E380" s="100">
        <f t="shared" ref="E380:E385" si="51">+((C380/$C$379)-1)*100</f>
        <v>3.2777102790992885E-2</v>
      </c>
      <c r="F380" s="101">
        <f t="shared" si="49"/>
        <v>8.3992741497623378</v>
      </c>
      <c r="G380" s="96">
        <f t="shared" si="50"/>
        <v>1.0043227221462616</v>
      </c>
    </row>
    <row r="381" spans="1:7">
      <c r="A381" s="97">
        <f>2025</f>
        <v>2025</v>
      </c>
      <c r="B381" s="98" t="s">
        <v>57</v>
      </c>
      <c r="C381" s="99">
        <f t="shared" ref="C381:C386" si="52">+C380*(1+D381/100)</f>
        <v>1408.9819606573526</v>
      </c>
      <c r="D381" s="100">
        <v>1.0347574392908232</v>
      </c>
      <c r="E381" s="100">
        <f t="shared" si="51"/>
        <v>1.0678737055913379</v>
      </c>
      <c r="F381" s="101">
        <f t="shared" ref="F381:F386" si="53">100*((C381/C369)-1)</f>
        <v>10.356084459249182</v>
      </c>
      <c r="G381" s="96">
        <f t="shared" si="50"/>
        <v>0.99403685187222146</v>
      </c>
    </row>
    <row r="382" spans="1:7">
      <c r="A382" s="97">
        <f>2025</f>
        <v>2025</v>
      </c>
      <c r="B382" s="98" t="s">
        <v>58</v>
      </c>
      <c r="C382" s="99">
        <f t="shared" si="52"/>
        <v>1396.5564866498171</v>
      </c>
      <c r="D382" s="100">
        <v>-0.8818760178972429</v>
      </c>
      <c r="E382" s="100">
        <f t="shared" si="51"/>
        <v>0.17658036558305668</v>
      </c>
      <c r="F382" s="101">
        <f t="shared" si="53"/>
        <v>9.9375979104528778</v>
      </c>
      <c r="G382" s="96">
        <f t="shared" si="50"/>
        <v>1.0028810190674204</v>
      </c>
    </row>
    <row r="383" spans="1:7">
      <c r="A383" s="97">
        <f>2025</f>
        <v>2025</v>
      </c>
      <c r="B383" s="98" t="s">
        <v>59</v>
      </c>
      <c r="C383" s="99">
        <f t="shared" si="52"/>
        <v>1399.4111360657271</v>
      </c>
      <c r="D383" s="100">
        <v>0.20440629814824085</v>
      </c>
      <c r="E383" s="100">
        <f t="shared" si="51"/>
        <v>0.38134760511985277</v>
      </c>
      <c r="F383" s="654">
        <f t="shared" si="53"/>
        <v>9.24466055379607</v>
      </c>
      <c r="G383" s="96">
        <f t="shared" si="50"/>
        <v>1.0008352487848167</v>
      </c>
    </row>
    <row r="384" spans="1:7">
      <c r="A384" s="97">
        <f>2025</f>
        <v>2025</v>
      </c>
      <c r="B384" s="98" t="s">
        <v>60</v>
      </c>
      <c r="C384" s="99">
        <f t="shared" si="52"/>
        <v>1380.0715111961886</v>
      </c>
      <c r="D384" s="100">
        <v>-1.3819830620977913</v>
      </c>
      <c r="E384" s="100">
        <f t="shared" si="51"/>
        <v>-1.0059056162884161</v>
      </c>
      <c r="F384" s="654">
        <f t="shared" si="53"/>
        <v>6.6982884587238667</v>
      </c>
      <c r="G384" s="96">
        <f t="shared" si="50"/>
        <v>1.0148604482840318</v>
      </c>
    </row>
    <row r="385" spans="1:7">
      <c r="A385" s="97">
        <f>2025</f>
        <v>2025</v>
      </c>
      <c r="B385" s="98" t="s">
        <v>61</v>
      </c>
      <c r="C385" s="99">
        <f t="shared" si="52"/>
        <v>1342.5361209778825</v>
      </c>
      <c r="D385" s="100">
        <v>-2.7198148729098759</v>
      </c>
      <c r="E385" s="100">
        <f t="shared" si="51"/>
        <v>-3.6983617186390427</v>
      </c>
      <c r="F385" s="654">
        <f t="shared" si="53"/>
        <v>3.2321675083948564</v>
      </c>
      <c r="G385" s="96">
        <f t="shared" si="50"/>
        <v>1.0432344952450323</v>
      </c>
    </row>
    <row r="386" spans="1:7">
      <c r="A386" s="97">
        <f>2025</f>
        <v>2025</v>
      </c>
      <c r="B386" s="98" t="s">
        <v>62</v>
      </c>
      <c r="C386" s="99">
        <f t="shared" si="52"/>
        <v>1337.9966784741237</v>
      </c>
      <c r="D386" s="100">
        <v>-0.33812442233974727</v>
      </c>
      <c r="E386" s="100">
        <f t="shared" ref="E386" si="54">+((C386/$C$379)-1)*100</f>
        <v>-4.0239810767816024</v>
      </c>
      <c r="F386" s="654">
        <f t="shared" si="53"/>
        <v>1.9305487829086143</v>
      </c>
      <c r="G386" s="96">
        <f t="shared" si="50"/>
        <v>1.0467738934253801</v>
      </c>
    </row>
    <row r="387" spans="1:7">
      <c r="A387" s="97">
        <f>2025</f>
        <v>2025</v>
      </c>
      <c r="B387" s="98" t="s">
        <v>63</v>
      </c>
      <c r="C387" s="99">
        <f t="shared" ref="C387" si="55">+C386*(1+D387/100)</f>
        <v>1342.6171110313635</v>
      </c>
      <c r="D387" s="100">
        <v>0.34532466571659537</v>
      </c>
      <c r="E387" s="100">
        <f t="shared" ref="E387" si="56">+((C387/$C$379)-1)*100</f>
        <v>-3.6925522102669084</v>
      </c>
      <c r="F387" s="654">
        <f t="shared" ref="F387" si="57">100*((C387/C375)-1)</f>
        <v>2.1690722712293109</v>
      </c>
      <c r="G387" s="96">
        <f t="shared" si="50"/>
        <v>1.0431715647067061</v>
      </c>
    </row>
    <row r="388" spans="1:7">
      <c r="A388" s="97">
        <f>2025</f>
        <v>2025</v>
      </c>
      <c r="B388" s="98" t="s">
        <v>64</v>
      </c>
      <c r="C388" s="99">
        <f t="shared" ref="C388" si="58">+C387*(1+D388/100)</f>
        <v>1346.6156199680445</v>
      </c>
      <c r="D388" s="100">
        <v>0.29781453728154883</v>
      </c>
      <c r="E388" s="100">
        <f t="shared" ref="E388" si="59">+((C388/$C$379)-1)*100</f>
        <v>-3.4057346302642455</v>
      </c>
      <c r="F388" s="654">
        <f t="shared" ref="F388" si="60">100*((C388/C376)-1)</f>
        <v>1.2565194966516646</v>
      </c>
      <c r="G388" s="96">
        <f t="shared" si="50"/>
        <v>1.040074072919057</v>
      </c>
    </row>
    <row r="389" spans="1:7">
      <c r="A389" s="97">
        <f>2025</f>
        <v>2025</v>
      </c>
      <c r="B389" s="98" t="s">
        <v>65</v>
      </c>
      <c r="C389" s="99">
        <f t="shared" ref="C389" si="61">+C388*(1+D389/100)</f>
        <v>1344.8688344935806</v>
      </c>
      <c r="D389" s="100">
        <v>-0.12971670969518234</v>
      </c>
      <c r="E389" s="100">
        <f t="shared" ref="E389" si="62">+((C389/$C$379)-1)*100</f>
        <v>-3.5310335330560938</v>
      </c>
      <c r="F389" s="654">
        <f t="shared" ref="F389" si="63">100*((C389/C377)-1)</f>
        <v>-0.87040219804190855</v>
      </c>
      <c r="G389" s="96">
        <f t="shared" si="50"/>
        <v>1.0414249751307403</v>
      </c>
    </row>
    <row r="390" spans="1:7">
      <c r="A390" s="97">
        <f>2025</f>
        <v>2025</v>
      </c>
      <c r="B390" s="98" t="s">
        <v>66</v>
      </c>
      <c r="C390" s="99">
        <f t="shared" ref="C390" si="64">+C389*(1+D390/100)</f>
        <v>1343.3620195479496</v>
      </c>
      <c r="D390" s="100">
        <v>-0.11204177738258769</v>
      </c>
      <c r="E390" s="100">
        <f t="shared" ref="E390" si="65">+((C390/$C$379)-1)*100</f>
        <v>-3.6391190777082638</v>
      </c>
      <c r="F390" s="654">
        <f t="shared" ref="F390" si="66">100*((C390/C378)-1)</f>
        <v>-2.6011177266752949</v>
      </c>
      <c r="G390" s="96">
        <f t="shared" si="50"/>
        <v>1.0425931149876411</v>
      </c>
    </row>
    <row r="391" spans="1:7">
      <c r="A391" s="97">
        <f>2025</f>
        <v>2025</v>
      </c>
      <c r="B391" s="98" t="s">
        <v>55</v>
      </c>
      <c r="C391" s="99">
        <f t="shared" ref="C391" si="67">+C390*(1+D391/100)</f>
        <v>1343.7779684645934</v>
      </c>
      <c r="D391" s="100">
        <v>3.0963277998874439E-2</v>
      </c>
      <c r="E391" s="100">
        <f t="shared" ref="E391" si="68">+((C391/$C$379)-1)*100</f>
        <v>-3.6092825902661385</v>
      </c>
      <c r="F391" s="654">
        <f t="shared" ref="F391" si="69">100*((C391/C379)-1)</f>
        <v>-3.6092825902661385</v>
      </c>
      <c r="G391" s="96">
        <f t="shared" si="50"/>
        <v>1.0422703939080753</v>
      </c>
    </row>
    <row r="392" spans="1:7">
      <c r="A392" s="91">
        <f>2026</f>
        <v>2026</v>
      </c>
      <c r="B392" s="92" t="s">
        <v>56</v>
      </c>
      <c r="C392" s="93">
        <f t="shared" ref="C392" si="70">+C391*(1+D392/100)</f>
        <v>1343.827962324767</v>
      </c>
      <c r="D392" s="94">
        <v>3.7203958798803782E-3</v>
      </c>
      <c r="E392" s="94">
        <f>+((C392/$C$391)-1)*100</f>
        <v>3.7203958798803782E-3</v>
      </c>
      <c r="F392" s="681">
        <f t="shared" ref="F392" si="71">100*((C392/C380)-1)</f>
        <v>-3.6372813813208782</v>
      </c>
      <c r="G392" s="96">
        <f t="shared" si="50"/>
        <v>1.0422316187658718</v>
      </c>
    </row>
    <row r="393" spans="1:7">
      <c r="A393" s="91">
        <f>2026</f>
        <v>2026</v>
      </c>
      <c r="B393" s="92" t="s">
        <v>57</v>
      </c>
      <c r="C393" s="93">
        <f t="shared" ref="C393" si="72">+C392*(1+D393/100)</f>
        <v>1327.5159656273393</v>
      </c>
      <c r="D393" s="94">
        <v>-1.2138456078268134</v>
      </c>
      <c r="E393" s="94">
        <f>+((C393/$C$391)-1)*100</f>
        <v>-1.2101703718089052</v>
      </c>
      <c r="F393" s="681">
        <f t="shared" ref="F393" si="73">100*((C393/C381)-1)</f>
        <v>-5.7819047585255028</v>
      </c>
      <c r="G393" s="96">
        <f t="shared" si="50"/>
        <v>1.0550381530475366</v>
      </c>
    </row>
    <row r="394" spans="1:7">
      <c r="A394" s="91">
        <f>2026</f>
        <v>2026</v>
      </c>
      <c r="B394" s="92" t="s">
        <v>58</v>
      </c>
      <c r="C394" s="93">
        <f t="shared" ref="C394:C395" si="74">+C393*(1+D394/100)</f>
        <v>1345.8087190648434</v>
      </c>
      <c r="D394" s="94">
        <v>1.3779686204270725</v>
      </c>
      <c r="E394" s="94">
        <f t="shared" ref="E394:E395" si="75">+((C394/$C$391)-1)*100</f>
        <v>0.15112248064093059</v>
      </c>
      <c r="F394" s="681">
        <f t="shared" ref="F394:F395" si="76">100*((C394/C382)-1)</f>
        <v>-3.6337783734556872</v>
      </c>
      <c r="G394" s="96">
        <f t="shared" si="50"/>
        <v>1.040697665779577</v>
      </c>
    </row>
    <row r="395" spans="1:7">
      <c r="A395" s="91">
        <f>2026</f>
        <v>2026</v>
      </c>
      <c r="B395" s="92" t="s">
        <v>59</v>
      </c>
      <c r="C395" s="93">
        <f t="shared" si="74"/>
        <v>1387.4096099924632</v>
      </c>
      <c r="D395" s="94">
        <v>3.091144405464008</v>
      </c>
      <c r="E395" s="94">
        <f t="shared" si="75"/>
        <v>3.2469383002106778</v>
      </c>
      <c r="F395" s="681">
        <f t="shared" si="76"/>
        <v>-0.85761258889255343</v>
      </c>
      <c r="G395" s="96">
        <f t="shared" si="50"/>
        <v>1.0094927860015279</v>
      </c>
    </row>
    <row r="396" spans="1:7" ht="16.5" thickBot="1">
      <c r="A396" s="103">
        <f>2026</f>
        <v>2026</v>
      </c>
      <c r="B396" s="104" t="s">
        <v>60</v>
      </c>
      <c r="C396" s="105">
        <f t="shared" ref="C396" si="77">+C395*(1+D396/100)</f>
        <v>1400.579992516585</v>
      </c>
      <c r="D396" s="106">
        <v>0.94927860015279197</v>
      </c>
      <c r="E396" s="106">
        <f t="shared" ref="E396" si="78">+((C396/$C$391)-1)*100</f>
        <v>4.2270393908075299</v>
      </c>
      <c r="F396" s="655">
        <f t="shared" ref="F396" si="79">100*((C396/C384)-1)</f>
        <v>1.4860448284031769</v>
      </c>
      <c r="G396" s="108">
        <f t="shared" si="50"/>
        <v>1</v>
      </c>
    </row>
    <row r="397" spans="1:7">
      <c r="A397" s="175" t="s">
        <v>134</v>
      </c>
      <c r="B397" s="139"/>
      <c r="C397" s="171"/>
      <c r="D397" s="172"/>
      <c r="E397" s="171"/>
      <c r="F397" s="171"/>
      <c r="G397" s="212"/>
    </row>
    <row r="398" spans="1:7">
      <c r="A398" s="196" t="s">
        <v>88</v>
      </c>
      <c r="B398" s="139"/>
      <c r="C398" s="171"/>
      <c r="D398" s="172"/>
      <c r="E398" s="171"/>
      <c r="F398" s="171"/>
      <c r="G398" s="173"/>
    </row>
    <row r="399" spans="1:7">
      <c r="A399" s="196" t="s">
        <v>89</v>
      </c>
      <c r="B399" s="139"/>
      <c r="C399" s="171"/>
      <c r="D399" s="172"/>
      <c r="E399" s="171"/>
      <c r="F399" s="171"/>
      <c r="G399" s="173"/>
    </row>
    <row r="400" spans="1:7">
      <c r="A400" s="196" t="s">
        <v>90</v>
      </c>
      <c r="B400" s="139"/>
      <c r="C400" s="171"/>
      <c r="D400" s="172"/>
      <c r="E400" s="171"/>
      <c r="F400" s="171"/>
      <c r="G400" s="173"/>
    </row>
    <row r="401" spans="1:7">
      <c r="D401" s="161"/>
      <c r="E401" s="161"/>
      <c r="F401" s="161"/>
      <c r="G401" s="163"/>
    </row>
    <row r="402" spans="1:7">
      <c r="A402" s="111"/>
      <c r="D402" s="161"/>
      <c r="E402" s="161"/>
      <c r="F402" s="161"/>
      <c r="G402" s="163"/>
    </row>
    <row r="403" spans="1:7" ht="15" customHeight="1">
      <c r="A403" s="705" t="s">
        <v>135</v>
      </c>
      <c r="B403" s="705"/>
      <c r="C403" s="705"/>
      <c r="D403" s="110"/>
      <c r="E403" s="110"/>
      <c r="F403" s="110"/>
      <c r="G403" s="110"/>
    </row>
    <row r="404" spans="1:7">
      <c r="A404" s="110"/>
      <c r="B404" s="110"/>
      <c r="C404" s="110"/>
      <c r="D404" s="110"/>
      <c r="E404" s="110"/>
      <c r="F404" s="110"/>
      <c r="G404" s="110"/>
    </row>
    <row r="405" spans="1:7">
      <c r="A405" s="110"/>
      <c r="B405" s="110"/>
      <c r="C405" s="110"/>
      <c r="D405" s="110"/>
      <c r="E405" s="110"/>
      <c r="F405" s="110"/>
      <c r="G405" s="110"/>
    </row>
    <row r="406" spans="1:7">
      <c r="A406" s="110"/>
      <c r="B406" s="110"/>
      <c r="C406" s="110"/>
      <c r="D406" s="110"/>
      <c r="E406" s="110"/>
      <c r="F406" s="110"/>
      <c r="G406" s="110"/>
    </row>
  </sheetData>
  <mergeCells count="7">
    <mergeCell ref="A1:G3"/>
    <mergeCell ref="A403:C40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 Silva | NTC</dc:creator>
  <cp:keywords/>
  <dc:description/>
  <cp:lastModifiedBy>Estágio | NTC</cp:lastModifiedBy>
  <cp:revision/>
  <dcterms:created xsi:type="dcterms:W3CDTF">2025-03-11T13:02:31Z</dcterms:created>
  <dcterms:modified xsi:type="dcterms:W3CDTF">2026-06-22T17:46:03Z</dcterms:modified>
  <cp:category/>
  <cp:contentStatus/>
</cp:coreProperties>
</file>